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ыыыыыыыыыыыыыыыы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0.000000"/>
    <numFmt numFmtId="169" formatCode="_-* #,##0.0\ _₽_-;\-* #,##0.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19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0" fontId="0" fillId="0" borderId="0" pivotButton="0" quotePrefix="0" xfId="0"/>
    <xf numFmtId="43" fontId="0" fillId="0" borderId="0" pivotButton="0" quotePrefix="0" xfId="0"/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167" fontId="3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16" fillId="0" borderId="0" pivotButton="0" quotePrefix="0" xfId="0"/>
    <xf numFmtId="169" fontId="16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3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243" min="1" max="2"/>
    <col width="51.7109375" customWidth="1" style="243" min="3" max="3"/>
    <col width="47" customWidth="1" style="243" min="4" max="4"/>
    <col width="37.42578125" customWidth="1" style="243" min="5" max="5"/>
    <col width="9.140625" customWidth="1" style="243" min="6" max="6"/>
  </cols>
  <sheetData>
    <row r="3">
      <c r="B3" s="266" t="inlineStr">
        <is>
          <t>Приложение № 1</t>
        </is>
      </c>
    </row>
    <row r="4">
      <c r="B4" s="267" t="inlineStr">
        <is>
          <t>Сравнительная таблица отбора объекта-представителя</t>
        </is>
      </c>
    </row>
    <row r="5" ht="84" customHeight="1" s="241">
      <c r="B5" s="2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1">
      <c r="B6" s="125" t="n"/>
      <c r="C6" s="125" t="n"/>
      <c r="D6" s="125" t="n"/>
    </row>
    <row r="7" ht="64.5" customHeight="1" s="241">
      <c r="B7" s="268" t="inlineStr">
        <is>
          <t>Наименование разрабатываемого показателя УНЦ - Демонтаж однополюсного разъединителя 330 кВ</t>
        </is>
      </c>
    </row>
    <row r="8" ht="31.5" customHeight="1" s="241">
      <c r="B8" s="269" t="inlineStr">
        <is>
          <t>Сопоставимый уровень цен: 4 квартал 2018</t>
        </is>
      </c>
    </row>
    <row r="9" ht="15.75" customHeight="1" s="241">
      <c r="B9" s="269" t="inlineStr">
        <is>
          <t>Единица измерения  — 1 ед.</t>
        </is>
      </c>
    </row>
    <row r="10">
      <c r="B10" s="269" t="n"/>
    </row>
    <row r="11">
      <c r="B11" s="273" t="inlineStr">
        <is>
          <t>№ п/п</t>
        </is>
      </c>
      <c r="C11" s="273" t="inlineStr">
        <is>
          <t>Параметр</t>
        </is>
      </c>
      <c r="D11" s="273" t="inlineStr">
        <is>
          <t xml:space="preserve">Объект-представитель </t>
        </is>
      </c>
      <c r="E11" s="126" t="n"/>
    </row>
    <row r="12" ht="96.75" customHeight="1" s="241">
      <c r="B12" s="273" t="n">
        <v>1</v>
      </c>
      <c r="C12" s="282" t="inlineStr">
        <is>
          <t>Наименование объекта-представителя</t>
        </is>
      </c>
      <c r="D12" s="273" t="inlineStr">
        <is>
          <t>ПС 500 кВ Белобережская (МЭС Сибири)</t>
        </is>
      </c>
    </row>
    <row r="13">
      <c r="B13" s="273" t="n">
        <v>2</v>
      </c>
      <c r="C13" s="282" t="inlineStr">
        <is>
          <t>Наименование субъекта Российской Федерации</t>
        </is>
      </c>
      <c r="D13" s="273" t="inlineStr">
        <is>
          <t>Брянская область</t>
        </is>
      </c>
    </row>
    <row r="14">
      <c r="B14" s="273" t="n">
        <v>3</v>
      </c>
      <c r="C14" s="282" t="inlineStr">
        <is>
          <t>Климатический район и подрайон</t>
        </is>
      </c>
      <c r="D14" s="273" t="inlineStr">
        <is>
          <t>II</t>
        </is>
      </c>
    </row>
    <row r="15">
      <c r="B15" s="273" t="n">
        <v>4</v>
      </c>
      <c r="C15" s="282" t="inlineStr">
        <is>
          <t>Мощность объекта</t>
        </is>
      </c>
      <c r="D15" s="273" t="n">
        <v>1</v>
      </c>
    </row>
    <row r="16" ht="134.25" customHeight="1" s="241">
      <c r="B16" s="273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3" t="inlineStr">
        <is>
          <t>Разъединитель однополюсный без заземл. ножей,330 кВ,3150А,63 кА РГ-330.II/3150 УХЛ1 ком-но: - с двигательным приводом ПД-11-04 УХЛ1(6шт) для оперирования главным ножом; - блоком управления БУ-1-14 (6 шт); - с опорными стойками Н=2325мм. Монолитные фундаменты, мет.стойки в комплекте</t>
        </is>
      </c>
    </row>
    <row r="17" ht="79.5" customHeight="1" s="241">
      <c r="B17" s="273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7">
        <f>D18+D19</f>
        <v/>
      </c>
      <c r="E17" s="128" t="n"/>
    </row>
    <row r="18">
      <c r="B18" s="129" t="inlineStr">
        <is>
          <t>6.1</t>
        </is>
      </c>
      <c r="C18" s="282" t="inlineStr">
        <is>
          <t>строительно-монтажные работы</t>
        </is>
      </c>
      <c r="D18" s="127">
        <f>'Прил.2 Расч стоим'!F14</f>
        <v/>
      </c>
    </row>
    <row r="19" ht="15.75" customHeight="1" s="241">
      <c r="B19" s="129" t="inlineStr">
        <is>
          <t>6.2</t>
        </is>
      </c>
      <c r="C19" s="282" t="inlineStr">
        <is>
          <t>оборудование и инвентарь</t>
        </is>
      </c>
      <c r="D19" s="127" t="n">
        <v>0</v>
      </c>
    </row>
    <row r="20" ht="16.5" customHeight="1" s="241">
      <c r="B20" s="129" t="inlineStr">
        <is>
          <t>6.3</t>
        </is>
      </c>
      <c r="C20" s="282" t="inlineStr">
        <is>
          <t>пусконаладочные работы</t>
        </is>
      </c>
      <c r="D20" s="127" t="n"/>
    </row>
    <row r="21" ht="35.25" customHeight="1" s="241">
      <c r="B21" s="129" t="inlineStr">
        <is>
          <t>6.4</t>
        </is>
      </c>
      <c r="C21" s="130" t="inlineStr">
        <is>
          <t>прочие и лимитированные затраты</t>
        </is>
      </c>
      <c r="D21" s="127" t="n"/>
    </row>
    <row r="22">
      <c r="B22" s="273" t="n">
        <v>7</v>
      </c>
      <c r="C22" s="130" t="inlineStr">
        <is>
          <t>Сопоставимый уровень цен</t>
        </is>
      </c>
      <c r="D22" s="131" t="inlineStr">
        <is>
          <t>4 квартал 2018</t>
        </is>
      </c>
      <c r="E22" s="132" t="n"/>
    </row>
    <row r="23" ht="78.75" customHeight="1" s="241">
      <c r="B23" s="273" t="n">
        <v>8</v>
      </c>
      <c r="C23" s="1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7">
        <f>D17</f>
        <v/>
      </c>
      <c r="E23" s="128" t="n"/>
    </row>
    <row r="24" ht="31.5" customHeight="1" s="241">
      <c r="B24" s="273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27">
        <f>D17/D15</f>
        <v/>
      </c>
      <c r="E24" s="132" t="n"/>
    </row>
    <row r="25">
      <c r="B25" s="273" t="n">
        <v>10</v>
      </c>
      <c r="C25" s="282" t="inlineStr">
        <is>
          <t>Примечание</t>
        </is>
      </c>
      <c r="D25" s="273" t="n"/>
    </row>
    <row r="26">
      <c r="B26" s="134" t="n"/>
      <c r="C26" s="135" t="n"/>
      <c r="D26" s="135" t="n"/>
    </row>
    <row r="27">
      <c r="B27" s="117" t="n"/>
    </row>
    <row r="28">
      <c r="B28" s="243" t="inlineStr">
        <is>
          <t>Составил ______________________    Д.Ю. Нефедова</t>
        </is>
      </c>
    </row>
    <row r="29">
      <c r="B29" s="117" t="inlineStr">
        <is>
          <t xml:space="preserve">                         (подпись, инициалы, фамилия)</t>
        </is>
      </c>
    </row>
    <row r="31">
      <c r="B31" s="243" t="inlineStr">
        <is>
          <t>Проверил ______________________        А.В. Костянецкая</t>
        </is>
      </c>
    </row>
    <row r="32">
      <c r="B32" s="11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1" sqref="C21"/>
    </sheetView>
  </sheetViews>
  <sheetFormatPr baseColWidth="8" defaultColWidth="9.140625" defaultRowHeight="15.75"/>
  <cols>
    <col width="5.5703125" customWidth="1" style="243" min="1" max="1"/>
    <col width="9.140625" customWidth="1" style="243" min="2" max="2"/>
    <col width="35.28515625" customWidth="1" style="243" min="3" max="3"/>
    <col width="13.85546875" customWidth="1" style="243" min="4" max="4"/>
    <col width="24.85546875" customWidth="1" style="243" min="5" max="5"/>
    <col width="15.570312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>
      <c r="B3" s="266" t="inlineStr">
        <is>
          <t>Приложение № 2</t>
        </is>
      </c>
      <c r="K3" s="117" t="n"/>
    </row>
    <row r="4">
      <c r="B4" s="267" t="inlineStr">
        <is>
          <t>Расчет стоимости основных видов работ для выбора объекта-представителя</t>
        </is>
      </c>
    </row>
    <row r="5">
      <c r="B5" s="118" t="n"/>
      <c r="C5" s="118" t="n"/>
      <c r="D5" s="118" t="n"/>
      <c r="E5" s="118" t="n"/>
      <c r="F5" s="118" t="n"/>
      <c r="G5" s="118" t="n"/>
      <c r="H5" s="118" t="n"/>
      <c r="I5" s="118" t="n"/>
      <c r="J5" s="118" t="n"/>
      <c r="K5" s="118" t="n"/>
    </row>
    <row r="6" ht="29.25" customHeight="1" s="241">
      <c r="B6" s="269">
        <f>'Прил.1 Сравнит табл'!B7:D7</f>
        <v/>
      </c>
    </row>
    <row r="7">
      <c r="B7" s="269">
        <f>'Прил.1 Сравнит табл'!B9:D9</f>
        <v/>
      </c>
    </row>
    <row r="8" ht="18.75" customHeight="1" s="241">
      <c r="B8" s="112" t="n"/>
    </row>
    <row r="9" ht="15.75" customHeight="1" s="241">
      <c r="B9" s="273" t="inlineStr">
        <is>
          <t>№ п/п</t>
        </is>
      </c>
      <c r="C9" s="2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3" t="inlineStr">
        <is>
          <t>Объект-представитель 1</t>
        </is>
      </c>
      <c r="E9" s="364" t="n"/>
      <c r="F9" s="364" t="n"/>
      <c r="G9" s="364" t="n"/>
      <c r="H9" s="364" t="n"/>
      <c r="I9" s="364" t="n"/>
      <c r="J9" s="365" t="n"/>
    </row>
    <row r="10" ht="15.75" customHeight="1" s="241">
      <c r="B10" s="366" t="n"/>
      <c r="C10" s="366" t="n"/>
      <c r="D10" s="273" t="inlineStr">
        <is>
          <t>Номер сметы</t>
        </is>
      </c>
      <c r="E10" s="273" t="inlineStr">
        <is>
          <t>Наименование сметы</t>
        </is>
      </c>
      <c r="F10" s="273" t="inlineStr">
        <is>
          <t>Сметная стоимость в уровне цен 4 кв. 2018г., тыс. руб.</t>
        </is>
      </c>
      <c r="G10" s="364" t="n"/>
      <c r="H10" s="364" t="n"/>
      <c r="I10" s="364" t="n"/>
      <c r="J10" s="365" t="n"/>
    </row>
    <row r="11" ht="31.5" customHeight="1" s="241">
      <c r="B11" s="367" t="n"/>
      <c r="C11" s="367" t="n"/>
      <c r="D11" s="367" t="n"/>
      <c r="E11" s="367" t="n"/>
      <c r="F11" s="273" t="inlineStr">
        <is>
          <t>Строительные работы</t>
        </is>
      </c>
      <c r="G11" s="273" t="inlineStr">
        <is>
          <t>Монтажные работы</t>
        </is>
      </c>
      <c r="H11" s="273" t="inlineStr">
        <is>
          <t>Оборудование</t>
        </is>
      </c>
      <c r="I11" s="273" t="inlineStr">
        <is>
          <t>Прочее</t>
        </is>
      </c>
      <c r="J11" s="273" t="inlineStr">
        <is>
          <t>Всего</t>
        </is>
      </c>
    </row>
    <row r="12" ht="15" customHeight="1" s="241">
      <c r="B12" s="273" t="n"/>
      <c r="C12" s="127" t="inlineStr">
        <is>
          <t>Демонтаж однополюсного разъединителя 330 кВ</t>
        </is>
      </c>
      <c r="D12" s="273" t="n"/>
      <c r="E12" s="273" t="n"/>
      <c r="F12" s="273" t="n">
        <v>26.068430128</v>
      </c>
      <c r="G12" s="365" t="n"/>
      <c r="H12" s="273" t="n">
        <v>0</v>
      </c>
      <c r="I12" s="273" t="n"/>
      <c r="J12" s="273" t="n">
        <v>26.068430128</v>
      </c>
    </row>
    <row r="13" ht="15" customHeight="1" s="241">
      <c r="B13" s="276" t="inlineStr">
        <is>
          <t>Всего по объекту:</t>
        </is>
      </c>
      <c r="C13" s="364" t="n"/>
      <c r="D13" s="364" t="n"/>
      <c r="E13" s="365" t="n"/>
      <c r="F13" s="119" t="n"/>
      <c r="G13" s="119" t="n"/>
      <c r="H13" s="119" t="n"/>
      <c r="I13" s="119" t="n"/>
      <c r="J13" s="119" t="n"/>
    </row>
    <row r="14" ht="15.75" customHeight="1" s="241">
      <c r="B14" s="276" t="inlineStr">
        <is>
          <t>Всего по объекту в сопоставимом уровне цен 4кв. 2018г:</t>
        </is>
      </c>
      <c r="C14" s="364" t="n"/>
      <c r="D14" s="364" t="n"/>
      <c r="E14" s="365" t="n"/>
      <c r="F14" s="368">
        <f>F12</f>
        <v/>
      </c>
      <c r="G14" s="365" t="n"/>
      <c r="H14" s="119">
        <f>H12</f>
        <v/>
      </c>
      <c r="I14" s="119" t="n"/>
      <c r="J14" s="119">
        <f>J12</f>
        <v/>
      </c>
    </row>
    <row r="15" ht="15.75" customHeight="1" s="241">
      <c r="B15" s="243" t="n"/>
      <c r="C15" s="243" t="n"/>
      <c r="D15" s="243" t="n"/>
      <c r="E15" s="243" t="n"/>
      <c r="F15" s="243" t="n"/>
      <c r="G15" s="243" t="n"/>
      <c r="H15" s="243" t="n"/>
      <c r="I15" s="243" t="n"/>
      <c r="J15" s="243" t="n"/>
    </row>
    <row r="16" ht="15.75" customHeight="1" s="241">
      <c r="B16" s="243" t="n"/>
      <c r="C16" s="243" t="n"/>
      <c r="D16" s="243" t="n"/>
      <c r="E16" s="243" t="n"/>
      <c r="F16" s="243" t="n"/>
      <c r="G16" s="243" t="n"/>
      <c r="H16" s="243" t="n"/>
      <c r="I16" s="243" t="n"/>
      <c r="J16" s="243" t="n"/>
    </row>
    <row r="17" ht="15" customHeight="1" s="241">
      <c r="B17" s="243" t="n"/>
      <c r="C17" s="243" t="n"/>
      <c r="D17" s="243" t="n"/>
      <c r="E17" s="243" t="n"/>
      <c r="F17" s="243" t="n"/>
      <c r="G17" s="243" t="n"/>
      <c r="H17" s="243" t="n"/>
      <c r="I17" s="243" t="n"/>
      <c r="J17" s="243" t="n"/>
    </row>
    <row r="18" ht="15" customHeight="1" s="241"/>
    <row r="19" ht="15" customHeight="1" s="241"/>
    <row r="20" ht="15" customHeight="1" s="241">
      <c r="C20" s="240" t="inlineStr">
        <is>
          <t>Составил ______________________     Д.Ю. Нефедова</t>
        </is>
      </c>
      <c r="D20" s="238" t="n"/>
      <c r="E20" s="238" t="n"/>
    </row>
    <row r="21" ht="15" customHeight="1" s="241">
      <c r="C21" s="237" t="inlineStr">
        <is>
          <t xml:space="preserve">                         (подпись, инициалы, фамилия)</t>
        </is>
      </c>
      <c r="D21" s="238" t="n"/>
      <c r="E21" s="238" t="n"/>
    </row>
    <row r="22" ht="15" customHeight="1" s="241">
      <c r="C22" s="240" t="n"/>
      <c r="D22" s="238" t="n"/>
      <c r="E22" s="238" t="n"/>
    </row>
    <row r="23">
      <c r="C23" s="240" t="inlineStr">
        <is>
          <t>Проверил ______________________        А.В. Костянецкая</t>
        </is>
      </c>
      <c r="D23" s="238" t="n"/>
      <c r="E23" s="238" t="n"/>
    </row>
    <row r="24">
      <c r="C24" s="237" t="inlineStr">
        <is>
          <t xml:space="preserve">                        (подпись, инициалы, фамилия)</t>
        </is>
      </c>
      <c r="D24" s="238" t="n"/>
      <c r="E24" s="238" t="n"/>
    </row>
    <row r="26" ht="15" customHeight="1" s="241"/>
    <row r="28" ht="15" customHeight="1" s="241"/>
    <row r="29" ht="15" customHeight="1" s="241"/>
    <row r="30" ht="15" customHeight="1" s="2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85"/>
  <sheetViews>
    <sheetView view="pageBreakPreview" topLeftCell="C70" zoomScale="145" zoomScaleSheetLayoutView="145" workbookViewId="0">
      <selection activeCell="D92" sqref="D92"/>
    </sheetView>
  </sheetViews>
  <sheetFormatPr baseColWidth="8" defaultColWidth="9.140625" defaultRowHeight="15.75"/>
  <cols>
    <col width="9.140625" customWidth="1" style="243" min="1" max="1"/>
    <col width="12.5703125" customWidth="1" style="243" min="2" max="2"/>
    <col width="22.42578125" customWidth="1" style="243" min="3" max="3"/>
    <col width="49.7109375" customWidth="1" style="243" min="4" max="4"/>
    <col width="10.140625" customWidth="1" style="243" min="5" max="5"/>
    <col width="20.7109375" customWidth="1" style="243" min="6" max="6"/>
    <col width="20" customWidth="1" style="243" min="7" max="7"/>
    <col width="16.7109375" customWidth="1" style="243" min="8" max="8"/>
    <col width="9.140625" customWidth="1" style="243" min="9" max="9"/>
    <col width="15.5703125" customWidth="1" style="243" min="10" max="10"/>
    <col width="15" customWidth="1" style="243" min="11" max="11"/>
    <col width="9.140625" customWidth="1" style="243" min="12" max="12"/>
  </cols>
  <sheetData>
    <row r="2">
      <c r="A2" s="266" t="inlineStr">
        <is>
          <t xml:space="preserve">Приложение № 3 </t>
        </is>
      </c>
    </row>
    <row r="3">
      <c r="A3" s="267" t="inlineStr">
        <is>
          <t>Объектная ресурсная ведомость</t>
        </is>
      </c>
    </row>
    <row r="4" ht="18.75" customHeight="1" s="241">
      <c r="A4" s="27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69" t="n"/>
    </row>
    <row r="6">
      <c r="A6" s="277" t="inlineStr">
        <is>
          <t>Наименование разрабатываемого показателя УНЦ -  Демонтаж однополюсного разъединителя 330 кВ</t>
        </is>
      </c>
    </row>
    <row r="7" s="241">
      <c r="A7" s="277" t="n"/>
      <c r="B7" s="277" t="n"/>
      <c r="C7" s="277" t="n"/>
      <c r="D7" s="277" t="n"/>
      <c r="E7" s="277" t="n"/>
      <c r="F7" s="277" t="n"/>
      <c r="G7" s="277" t="n"/>
      <c r="H7" s="277" t="n"/>
      <c r="I7" s="243" t="n"/>
      <c r="J7" s="243" t="n"/>
      <c r="K7" s="243" t="n"/>
      <c r="L7" s="243" t="n"/>
    </row>
    <row r="8">
      <c r="A8" s="277" t="n"/>
      <c r="B8" s="277" t="n"/>
      <c r="C8" s="277" t="n"/>
      <c r="D8" s="277" t="n"/>
      <c r="E8" s="277" t="n"/>
      <c r="F8" s="277" t="n"/>
      <c r="G8" s="277" t="n"/>
      <c r="H8" s="277" t="n"/>
    </row>
    <row r="9" ht="38.25" customHeight="1" s="241">
      <c r="A9" s="273" t="inlineStr">
        <is>
          <t>п/п</t>
        </is>
      </c>
      <c r="B9" s="273" t="inlineStr">
        <is>
          <t>№ЛСР</t>
        </is>
      </c>
      <c r="C9" s="273" t="inlineStr">
        <is>
          <t>Код ресурса</t>
        </is>
      </c>
      <c r="D9" s="273" t="inlineStr">
        <is>
          <t>Наименование ресурса</t>
        </is>
      </c>
      <c r="E9" s="273" t="inlineStr">
        <is>
          <t>Ед. изм.</t>
        </is>
      </c>
      <c r="F9" s="273" t="inlineStr">
        <is>
          <t>Кол-во единиц по данным объекта-представителя</t>
        </is>
      </c>
      <c r="G9" s="273" t="inlineStr">
        <is>
          <t>Сметная стоимость в ценах на 01.01.2000 (руб.)</t>
        </is>
      </c>
      <c r="H9" s="365" t="n"/>
    </row>
    <row r="10" ht="40.5" customHeight="1" s="241">
      <c r="A10" s="367" t="n"/>
      <c r="B10" s="367" t="n"/>
      <c r="C10" s="367" t="n"/>
      <c r="D10" s="367" t="n"/>
      <c r="E10" s="367" t="n"/>
      <c r="F10" s="367" t="n"/>
      <c r="G10" s="273" t="inlineStr">
        <is>
          <t>на ед.изм.</t>
        </is>
      </c>
      <c r="H10" s="273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</row>
    <row r="12" customFormat="1" s="138">
      <c r="A12" s="283" t="inlineStr">
        <is>
          <t>Затраты труда рабочих</t>
        </is>
      </c>
      <c r="B12" s="364" t="n"/>
      <c r="C12" s="364" t="n"/>
      <c r="D12" s="364" t="n"/>
      <c r="E12" s="365" t="n"/>
      <c r="F12" s="369" t="n">
        <v>119.30331036332</v>
      </c>
      <c r="G12" s="10" t="n"/>
      <c r="H12" s="369">
        <f>SUM(H13:H18)</f>
        <v/>
      </c>
    </row>
    <row r="13">
      <c r="A13" s="139" t="n">
        <v>1</v>
      </c>
      <c r="B13" s="140" t="n"/>
      <c r="C13" s="196" t="inlineStr">
        <is>
          <t>1-4-0</t>
        </is>
      </c>
      <c r="D13" s="197" t="inlineStr">
        <is>
          <t>Затраты труда рабочих (средний разряд работы 4,0)</t>
        </is>
      </c>
      <c r="E13" s="309" t="inlineStr">
        <is>
          <t>чел.-ч</t>
        </is>
      </c>
      <c r="F13" s="199" t="n">
        <v>86.28330563790099</v>
      </c>
      <c r="G13" s="141" t="n">
        <v>9.619999999999999</v>
      </c>
      <c r="H13" s="175">
        <f>ROUND(F13*G13,2)</f>
        <v/>
      </c>
      <c r="I13" s="243" t="n"/>
      <c r="J13" s="243" t="n"/>
      <c r="K13" s="243" t="n"/>
      <c r="L13" s="243" t="n"/>
      <c r="M13" s="210" t="n"/>
    </row>
    <row r="14">
      <c r="A14" s="139" t="n">
        <v>2</v>
      </c>
      <c r="B14" s="140" t="n"/>
      <c r="C14" s="196" t="inlineStr">
        <is>
          <t>1-2-9</t>
        </is>
      </c>
      <c r="D14" s="197" t="inlineStr">
        <is>
          <t>Затраты труда рабочих (средний разряд работы 2,9)</t>
        </is>
      </c>
      <c r="E14" s="309" t="inlineStr">
        <is>
          <t>чел.-ч</t>
        </is>
      </c>
      <c r="F14" s="199" t="n">
        <v>21.282938949932</v>
      </c>
      <c r="G14" s="141" t="n">
        <v>8.460000000000001</v>
      </c>
      <c r="H14" s="175">
        <f>ROUND(F14*G14,2)</f>
        <v/>
      </c>
      <c r="I14" s="243" t="n"/>
      <c r="J14" s="243" t="n"/>
      <c r="K14" s="243" t="n"/>
      <c r="L14" s="243" t="n"/>
      <c r="M14" s="210" t="n"/>
    </row>
    <row r="15">
      <c r="A15" s="139" t="n">
        <v>3</v>
      </c>
      <c r="B15" s="140" t="n"/>
      <c r="C15" s="196" t="inlineStr">
        <is>
          <t>1-2-8</t>
        </is>
      </c>
      <c r="D15" s="197" t="inlineStr">
        <is>
          <t>Затраты труда рабочих (средний разряд работы 2,8)</t>
        </is>
      </c>
      <c r="E15" s="309" t="inlineStr">
        <is>
          <t>чел.-ч</t>
        </is>
      </c>
      <c r="F15" s="199" t="n">
        <v>6.0384076462502</v>
      </c>
      <c r="G15" s="141" t="n">
        <v>8.380000000000001</v>
      </c>
      <c r="H15" s="175">
        <f>ROUND(F15*G15,2)</f>
        <v/>
      </c>
      <c r="I15" s="243" t="n"/>
      <c r="J15" s="243" t="n"/>
      <c r="K15" s="243" t="n"/>
      <c r="L15" s="243" t="n"/>
      <c r="M15" s="210" t="n"/>
    </row>
    <row r="16">
      <c r="A16" s="139" t="n">
        <v>4</v>
      </c>
      <c r="B16" s="140" t="n"/>
      <c r="C16" s="196" t="inlineStr">
        <is>
          <t>1-1-5</t>
        </is>
      </c>
      <c r="D16" s="197" t="inlineStr">
        <is>
          <t>Затраты труда рабочих (средний разряд работы 1,5)</t>
        </is>
      </c>
      <c r="E16" s="309" t="inlineStr">
        <is>
          <t>чел.-ч</t>
        </is>
      </c>
      <c r="F16" s="199" t="n">
        <v>2.8051887841244</v>
      </c>
      <c r="G16" s="141" t="n">
        <v>7.5</v>
      </c>
      <c r="H16" s="175">
        <f>ROUND(F16*G16,2)</f>
        <v/>
      </c>
      <c r="I16" s="243" t="n"/>
      <c r="J16" s="243" t="n"/>
      <c r="K16" s="243" t="n"/>
      <c r="L16" s="243" t="n"/>
      <c r="M16" s="210" t="n"/>
    </row>
    <row r="17">
      <c r="A17" s="139" t="n">
        <v>5</v>
      </c>
      <c r="B17" s="140" t="n"/>
      <c r="C17" s="196" t="inlineStr">
        <is>
          <t>1-3-0</t>
        </is>
      </c>
      <c r="D17" s="197" t="inlineStr">
        <is>
          <t>Затраты труда рабочих (средний разряд работы 3,0)</t>
        </is>
      </c>
      <c r="E17" s="309" t="inlineStr">
        <is>
          <t>чел.-ч</t>
        </is>
      </c>
      <c r="F17" s="199" t="n">
        <v>1.7918679501874</v>
      </c>
      <c r="G17" s="141" t="n">
        <v>8.529999999999999</v>
      </c>
      <c r="H17" s="175">
        <f>ROUND(F17*G17,2)</f>
        <v/>
      </c>
      <c r="I17" s="243" t="n"/>
      <c r="J17" s="243" t="n"/>
      <c r="K17" s="243" t="n"/>
      <c r="L17" s="243" t="n"/>
      <c r="M17" s="210" t="n"/>
    </row>
    <row r="18">
      <c r="A18" s="139" t="n">
        <v>6</v>
      </c>
      <c r="B18" s="140" t="n"/>
      <c r="C18" s="196" t="inlineStr">
        <is>
          <t>1-2-0</t>
        </is>
      </c>
      <c r="D18" s="197" t="inlineStr">
        <is>
          <t>Затраты труда рабочих (средний разряд работы 2,0)</t>
        </is>
      </c>
      <c r="E18" s="309" t="inlineStr">
        <is>
          <t>чел.-ч</t>
        </is>
      </c>
      <c r="F18" s="199" t="n">
        <v>1.101601394924</v>
      </c>
      <c r="G18" s="141" t="n">
        <v>7.8</v>
      </c>
      <c r="H18" s="175">
        <f>ROUND(F18*G18,2)</f>
        <v/>
      </c>
      <c r="I18" s="243" t="n"/>
      <c r="J18" s="243" t="n"/>
      <c r="K18" s="243" t="n"/>
      <c r="L18" s="243" t="n"/>
      <c r="M18" s="210" t="n"/>
    </row>
    <row r="19">
      <c r="A19" s="279" t="inlineStr">
        <is>
          <t>Затраты труда машинистов</t>
        </is>
      </c>
      <c r="B19" s="364" t="n"/>
      <c r="C19" s="364" t="n"/>
      <c r="D19" s="364" t="n"/>
      <c r="E19" s="365" t="n"/>
      <c r="F19" s="283" t="n"/>
      <c r="G19" s="142" t="n"/>
      <c r="H19" s="369">
        <f>H20</f>
        <v/>
      </c>
    </row>
    <row r="20">
      <c r="A20" s="291" t="n">
        <v>7</v>
      </c>
      <c r="B20" s="281" t="n"/>
      <c r="C20" s="200" t="n">
        <v>2</v>
      </c>
      <c r="D20" s="294" t="inlineStr">
        <is>
          <t>Затраты труда машинистов</t>
        </is>
      </c>
      <c r="E20" s="291" t="inlineStr">
        <is>
          <t>чел.-ч</t>
        </is>
      </c>
      <c r="F20" s="295" t="n">
        <v>27.5502</v>
      </c>
      <c r="G20" s="141" t="n"/>
      <c r="H20" s="308" t="n">
        <v>345.2496</v>
      </c>
    </row>
    <row r="21" customFormat="1" s="138">
      <c r="A21" s="283" t="inlineStr">
        <is>
          <t>Машины и механизмы</t>
        </is>
      </c>
      <c r="B21" s="364" t="n"/>
      <c r="C21" s="364" t="n"/>
      <c r="D21" s="364" t="n"/>
      <c r="E21" s="365" t="n"/>
      <c r="F21" s="283" t="n"/>
      <c r="G21" s="142" t="n"/>
      <c r="H21" s="369">
        <f>SUM(H22:H39)</f>
        <v/>
      </c>
    </row>
    <row r="22" ht="25.5" customHeight="1" s="241">
      <c r="A22" s="291" t="n">
        <v>8</v>
      </c>
      <c r="B22" s="281" t="n"/>
      <c r="C22" s="200" t="inlineStr">
        <is>
          <t>91.05.05-014</t>
        </is>
      </c>
      <c r="D22" s="294" t="inlineStr">
        <is>
          <t>Краны на автомобильном ходу, грузоподъемность 10 т</t>
        </is>
      </c>
      <c r="E22" s="291" t="inlineStr">
        <is>
          <t>маш.-ч</t>
        </is>
      </c>
      <c r="F22" s="291" t="n">
        <v>14.1335659</v>
      </c>
      <c r="G22" s="308" t="n">
        <v>111.99</v>
      </c>
      <c r="H22" s="175">
        <f>ROUND(F22*G22,2)</f>
        <v/>
      </c>
      <c r="I22" s="144" t="n"/>
      <c r="J22" s="145" t="n"/>
      <c r="L22" s="144" t="n"/>
    </row>
    <row r="23" customFormat="1" s="138">
      <c r="A23" s="291" t="n">
        <v>9</v>
      </c>
      <c r="B23" s="281" t="n"/>
      <c r="C23" s="200" t="inlineStr">
        <is>
          <t>91.06.06-042</t>
        </is>
      </c>
      <c r="D23" s="294" t="inlineStr">
        <is>
          <t>Подъемники гидравлические высотой подъема: 10 м</t>
        </is>
      </c>
      <c r="E23" s="291" t="inlineStr">
        <is>
          <t>маш.-ч</t>
        </is>
      </c>
      <c r="F23" s="291" t="n">
        <v>5.3666613</v>
      </c>
      <c r="G23" s="308" t="n">
        <v>29.6</v>
      </c>
      <c r="H23" s="175">
        <f>ROUND(F23*G23,2)</f>
        <v/>
      </c>
      <c r="I23" s="144" t="n"/>
      <c r="L23" s="144" t="n"/>
    </row>
    <row r="24">
      <c r="A24" s="291" t="n">
        <v>10</v>
      </c>
      <c r="B24" s="281" t="n"/>
      <c r="C24" s="200" t="inlineStr">
        <is>
          <t>91.14.03-002</t>
        </is>
      </c>
      <c r="D24" s="294" t="inlineStr">
        <is>
          <t>Автомобиль-самосвал, грузоподъемность до 10 т</t>
        </is>
      </c>
      <c r="E24" s="291" t="inlineStr">
        <is>
          <t>маш.-ч</t>
        </is>
      </c>
      <c r="F24" s="291" t="n">
        <v>1.7885</v>
      </c>
      <c r="G24" s="308" t="n">
        <v>87.48999999999999</v>
      </c>
      <c r="H24" s="175">
        <f>ROUND(F24*G24,2)</f>
        <v/>
      </c>
      <c r="I24" s="144" t="n"/>
      <c r="L24" s="144" t="n"/>
    </row>
    <row r="25">
      <c r="A25" s="291" t="n">
        <v>11</v>
      </c>
      <c r="B25" s="281" t="n"/>
      <c r="C25" s="200" t="inlineStr">
        <is>
          <t>91.14.02-001</t>
        </is>
      </c>
      <c r="D25" s="294" t="inlineStr">
        <is>
          <t>Автомобили бортовые, грузоподъемность до 5 т</t>
        </is>
      </c>
      <c r="E25" s="291" t="inlineStr">
        <is>
          <t>маш.-ч</t>
        </is>
      </c>
      <c r="F25" s="291" t="n">
        <v>2.28926124</v>
      </c>
      <c r="G25" s="308" t="n">
        <v>65.70999999999999</v>
      </c>
      <c r="H25" s="175">
        <f>ROUND(F25*G25,2)</f>
        <v/>
      </c>
      <c r="I25" s="144" t="n"/>
      <c r="L25" s="144" t="n"/>
    </row>
    <row r="26" ht="25.5" customHeight="1" s="241">
      <c r="A26" s="291" t="n">
        <v>12</v>
      </c>
      <c r="B26" s="281" t="n"/>
      <c r="C26" s="200" t="inlineStr">
        <is>
          <t>91.05.06-012</t>
        </is>
      </c>
      <c r="D26" s="294" t="inlineStr">
        <is>
          <t>Краны на гусеничном ходу, грузоподъемность до 16 т</t>
        </is>
      </c>
      <c r="E26" s="291" t="inlineStr">
        <is>
          <t>маш.-ч</t>
        </is>
      </c>
      <c r="F26" s="291" t="n">
        <v>1.05616</v>
      </c>
      <c r="G26" s="308" t="n">
        <v>96.89</v>
      </c>
      <c r="H26" s="175">
        <f>ROUND(F26*G26,2)</f>
        <v/>
      </c>
      <c r="I26" s="144" t="n"/>
      <c r="L26" s="144" t="n"/>
    </row>
    <row r="27">
      <c r="A27" s="291" t="n">
        <v>13</v>
      </c>
      <c r="B27" s="281" t="n"/>
      <c r="C27" s="200" t="inlineStr">
        <is>
          <t>91.14.01-004</t>
        </is>
      </c>
      <c r="D27" s="294" t="inlineStr">
        <is>
          <t>Автобетоносмесители, объем барабана 7 м3</t>
        </is>
      </c>
      <c r="E27" s="291" t="inlineStr">
        <is>
          <t>маш.-ч</t>
        </is>
      </c>
      <c r="F27" s="291" t="n">
        <v>0.540067</v>
      </c>
      <c r="G27" s="308" t="n">
        <v>184.39</v>
      </c>
      <c r="H27" s="175">
        <f>ROUND(F27*G27,2)</f>
        <v/>
      </c>
      <c r="I27" s="144" t="n"/>
      <c r="L27" s="144" t="n"/>
    </row>
    <row r="28" ht="38.25" customHeight="1" s="241">
      <c r="A28" s="291" t="n">
        <v>14</v>
      </c>
      <c r="B28" s="281" t="n"/>
      <c r="C28" s="200" t="inlineStr">
        <is>
          <t>91.18.01-007</t>
        </is>
      </c>
      <c r="D28" s="29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8" s="291" t="inlineStr">
        <is>
          <t>маш.-ч</t>
        </is>
      </c>
      <c r="F28" s="291" t="n">
        <v>0.87306408</v>
      </c>
      <c r="G28" s="308" t="n">
        <v>90</v>
      </c>
      <c r="H28" s="175">
        <f>ROUND(F28*G28,2)</f>
        <v/>
      </c>
      <c r="I28" s="144" t="n"/>
      <c r="L28" s="144" t="n"/>
    </row>
    <row r="29" ht="25.5" customHeight="1" s="241">
      <c r="A29" s="291" t="n">
        <v>15</v>
      </c>
      <c r="B29" s="281" t="n"/>
      <c r="C29" s="200" t="inlineStr">
        <is>
          <t>91.01.05-086</t>
        </is>
      </c>
      <c r="D29" s="294" t="inlineStr">
        <is>
          <t>Экскаваторы одноковшовые дизельные на гусеничном ходу, емкость ковша 0,65 м3</t>
        </is>
      </c>
      <c r="E29" s="291" t="inlineStr">
        <is>
          <t>маш.-ч</t>
        </is>
      </c>
      <c r="F29" s="291" t="n">
        <v>0.61596</v>
      </c>
      <c r="G29" s="308" t="n">
        <v>115.27</v>
      </c>
      <c r="H29" s="175">
        <f>ROUND(F29*G29,2)</f>
        <v/>
      </c>
      <c r="I29" s="144" t="n"/>
      <c r="L29" s="144" t="n"/>
    </row>
    <row r="30" ht="25.5" customHeight="1" s="241">
      <c r="A30" s="291" t="n">
        <v>16</v>
      </c>
      <c r="B30" s="281" t="n"/>
      <c r="C30" s="200" t="inlineStr">
        <is>
          <t>91.17.04-233</t>
        </is>
      </c>
      <c r="D30" s="294" t="inlineStr">
        <is>
          <t>Установки для сварки ручной дуговой (постоянного тока)</t>
        </is>
      </c>
      <c r="E30" s="291" t="inlineStr">
        <is>
          <t>маш.-ч</t>
        </is>
      </c>
      <c r="F30" s="291" t="n">
        <v>2.9262505</v>
      </c>
      <c r="G30" s="308" t="n">
        <v>8.1</v>
      </c>
      <c r="H30" s="175">
        <f>ROUND(F30*G30,2)</f>
        <v/>
      </c>
      <c r="I30" s="144" t="n"/>
      <c r="L30" s="144" t="n"/>
    </row>
    <row r="31">
      <c r="A31" s="291" t="n">
        <v>17</v>
      </c>
      <c r="B31" s="281" t="n"/>
      <c r="C31" s="200" t="inlineStr">
        <is>
          <t>91.05.01-017</t>
        </is>
      </c>
      <c r="D31" s="294" t="inlineStr">
        <is>
          <t>Краны башенные, грузоподъемность 8 т</t>
        </is>
      </c>
      <c r="E31" s="291" t="inlineStr">
        <is>
          <t>маш.-ч</t>
        </is>
      </c>
      <c r="F31" s="291" t="n">
        <v>0.108</v>
      </c>
      <c r="G31" s="308" t="n">
        <v>86.40000000000001</v>
      </c>
      <c r="H31" s="175">
        <f>ROUND(F31*G31,2)</f>
        <v/>
      </c>
      <c r="I31" s="144" t="n"/>
      <c r="L31" s="144" t="n"/>
    </row>
    <row r="32">
      <c r="A32" s="291" t="n">
        <v>18</v>
      </c>
      <c r="B32" s="281" t="n"/>
      <c r="C32" s="200" t="inlineStr">
        <is>
          <t>91.01.01-036</t>
        </is>
      </c>
      <c r="D32" s="294" t="inlineStr">
        <is>
          <t>Бульдозеры, мощность 96 кВт (130 л.с.)</t>
        </is>
      </c>
      <c r="E32" s="291" t="inlineStr">
        <is>
          <t>маш.-ч</t>
        </is>
      </c>
      <c r="F32" s="291" t="n">
        <v>0.08285820000000001</v>
      </c>
      <c r="G32" s="308" t="n">
        <v>94.05</v>
      </c>
      <c r="H32" s="175">
        <f>ROUND(F32*G32,2)</f>
        <v/>
      </c>
      <c r="I32" s="144" t="n"/>
      <c r="L32" s="144" t="n"/>
    </row>
    <row r="33" ht="25.5" customHeight="1" s="241">
      <c r="A33" s="291" t="n">
        <v>19</v>
      </c>
      <c r="B33" s="281" t="n"/>
      <c r="C33" s="200" t="inlineStr">
        <is>
          <t>91.07.07-012</t>
        </is>
      </c>
      <c r="D33" s="294" t="inlineStr">
        <is>
          <t>Насосы для строительных растворов, производительность 5 м3/час</t>
        </is>
      </c>
      <c r="E33" s="291" t="inlineStr">
        <is>
          <t>маш.-ч</t>
        </is>
      </c>
      <c r="F33" s="291" t="n">
        <v>0.44685</v>
      </c>
      <c r="G33" s="308" t="n">
        <v>7.54</v>
      </c>
      <c r="H33" s="175">
        <f>ROUND(F33*G33,2)</f>
        <v/>
      </c>
      <c r="I33" s="144" t="n"/>
      <c r="L33" s="144" t="n"/>
    </row>
    <row r="34" ht="25.5" customHeight="1" s="241">
      <c r="A34" s="291" t="n">
        <v>20</v>
      </c>
      <c r="B34" s="281" t="n"/>
      <c r="C34" s="200" t="inlineStr">
        <is>
          <t>91.07.08-025</t>
        </is>
      </c>
      <c r="D34" s="294" t="inlineStr">
        <is>
          <t>Растворосмесители передвижные, объем барабана 250 л</t>
        </is>
      </c>
      <c r="E34" s="291" t="inlineStr">
        <is>
          <t>маш.-ч</t>
        </is>
      </c>
      <c r="F34" s="291" t="n">
        <v>0.13455</v>
      </c>
      <c r="G34" s="308" t="n">
        <v>16.31</v>
      </c>
      <c r="H34" s="175">
        <f>ROUND(F34*G34,2)</f>
        <v/>
      </c>
      <c r="I34" s="144" t="n"/>
      <c r="L34" s="144" t="n"/>
    </row>
    <row r="35">
      <c r="A35" s="291" t="n">
        <v>21</v>
      </c>
      <c r="B35" s="281" t="n"/>
      <c r="C35" s="200" t="inlineStr">
        <is>
          <t>91.07.04-001</t>
        </is>
      </c>
      <c r="D35" s="294" t="inlineStr">
        <is>
          <t>Вибратор глубинный</t>
        </is>
      </c>
      <c r="E35" s="291" t="inlineStr">
        <is>
          <t>маш.-ч</t>
        </is>
      </c>
      <c r="F35" s="291" t="n">
        <v>0.87584</v>
      </c>
      <c r="G35" s="308" t="n">
        <v>1.9</v>
      </c>
      <c r="H35" s="175">
        <f>ROUND(F35*G35,2)</f>
        <v/>
      </c>
      <c r="I35" s="144" t="n"/>
      <c r="L35" s="144" t="n"/>
    </row>
    <row r="36" ht="25.5" customHeight="1" s="241">
      <c r="A36" s="291" t="n">
        <v>22</v>
      </c>
      <c r="B36" s="281" t="n"/>
      <c r="C36" s="200" t="inlineStr">
        <is>
          <t>91.06.06-048</t>
        </is>
      </c>
      <c r="D36" s="294" t="inlineStr">
        <is>
          <t>Подъемники одномачтовые, грузоподъемность до 500 кг, высота подъема 45 м</t>
        </is>
      </c>
      <c r="E36" s="291" t="inlineStr">
        <is>
          <t>маш.-ч</t>
        </is>
      </c>
      <c r="F36" s="291" t="n">
        <v>0.0414</v>
      </c>
      <c r="G36" s="308" t="n">
        <v>31.26</v>
      </c>
      <c r="H36" s="175">
        <f>ROUND(F36*G36,2)</f>
        <v/>
      </c>
      <c r="I36" s="144" t="n"/>
      <c r="L36" s="144" t="n"/>
    </row>
    <row r="37">
      <c r="A37" s="291" t="n">
        <v>23</v>
      </c>
      <c r="B37" s="281" t="n"/>
      <c r="C37" s="200" t="inlineStr">
        <is>
          <t>91.06.05-011</t>
        </is>
      </c>
      <c r="D37" s="294" t="inlineStr">
        <is>
          <t>Погрузчик, грузоподъемность 5 т</t>
        </is>
      </c>
      <c r="E37" s="291" t="inlineStr">
        <is>
          <t>маш.-ч</t>
        </is>
      </c>
      <c r="F37" s="291" t="n">
        <v>0.01242</v>
      </c>
      <c r="G37" s="308" t="n">
        <v>89.98999999999999</v>
      </c>
      <c r="H37" s="175">
        <f>ROUND(F37*G37,2)</f>
        <v/>
      </c>
      <c r="I37" s="144" t="n"/>
      <c r="L37" s="144" t="n"/>
    </row>
    <row r="38" ht="25.5" customHeight="1" s="241">
      <c r="A38" s="291" t="n">
        <v>24</v>
      </c>
      <c r="B38" s="281" t="n"/>
      <c r="C38" s="200" t="inlineStr">
        <is>
          <t>91.08.09-023</t>
        </is>
      </c>
      <c r="D38" s="294" t="inlineStr">
        <is>
          <t>Трамбовки пневматические при работе от передвижных компрессорных станций</t>
        </is>
      </c>
      <c r="E38" s="291" t="inlineStr">
        <is>
          <t>маш.-ч</t>
        </is>
      </c>
      <c r="F38" s="291" t="n">
        <v>1.70766036</v>
      </c>
      <c r="G38" s="308" t="n">
        <v>0.55</v>
      </c>
      <c r="H38" s="175">
        <f>ROUND(F38*G38,2)</f>
        <v/>
      </c>
      <c r="I38" s="144" t="n"/>
      <c r="L38" s="144" t="n"/>
    </row>
    <row r="39">
      <c r="A39" s="291" t="n">
        <v>25</v>
      </c>
      <c r="B39" s="281" t="n"/>
      <c r="C39" s="200" t="inlineStr">
        <is>
          <t>91.07.04-002</t>
        </is>
      </c>
      <c r="D39" s="294" t="inlineStr">
        <is>
          <t>Вибратор поверхностный</t>
        </is>
      </c>
      <c r="E39" s="291" t="inlineStr">
        <is>
          <t>маш.-ч</t>
        </is>
      </c>
      <c r="F39" s="291" t="n">
        <v>0.288</v>
      </c>
      <c r="G39" s="308" t="n">
        <v>0.5</v>
      </c>
      <c r="H39" s="175">
        <f>ROUND(F39*G39,2)</f>
        <v/>
      </c>
      <c r="I39" s="144" t="n"/>
      <c r="L39" s="144" t="n"/>
    </row>
    <row r="40" ht="15" customHeight="1" s="241">
      <c r="A40" s="279" t="inlineStr">
        <is>
          <t>Оборудование</t>
        </is>
      </c>
      <c r="B40" s="364" t="n"/>
      <c r="C40" s="364" t="n"/>
      <c r="D40" s="364" t="n"/>
      <c r="E40" s="365" t="n"/>
      <c r="F40" s="10" t="n"/>
      <c r="G40" s="10" t="n"/>
      <c r="H40" s="369">
        <f>SUM(H41:H42)</f>
        <v/>
      </c>
    </row>
    <row r="41" ht="63.75" customHeight="1" s="241">
      <c r="A41" s="139" t="n">
        <v>26</v>
      </c>
      <c r="B41" s="279" t="n"/>
      <c r="C41" s="200" t="inlineStr">
        <is>
          <t>Прайс из СД ОП</t>
        </is>
      </c>
      <c r="D41" s="294" t="inlineStr">
        <is>
          <t>Разъединитель однополюсный без заземл. ножей,330 кВ,3150А,63 кА РГ-330.II/3150 УХЛ1 ком-но: - с двигательным приводом ПД-11-04 УХЛ1(6шт) для оперирования главным ножом; - блоком управления БУ-1-14 (6 шт); - с опорными стойками Н=2325мм</t>
        </is>
      </c>
      <c r="E41" s="291" t="inlineStr">
        <is>
          <t>полюс</t>
        </is>
      </c>
      <c r="F41" s="370" t="n">
        <v>1</v>
      </c>
      <c r="G41" s="175" t="n"/>
      <c r="H41" s="175">
        <f>ROUND(F41*G41,2)</f>
        <v/>
      </c>
      <c r="I41" s="146" t="n"/>
      <c r="J41" s="371" t="n"/>
    </row>
    <row r="42">
      <c r="A42" s="139" t="n">
        <v>27</v>
      </c>
      <c r="B42" s="279" t="n"/>
      <c r="C42" s="200" t="inlineStr">
        <is>
          <t>Прайс из СД ОП</t>
        </is>
      </c>
      <c r="D42" s="294" t="inlineStr">
        <is>
          <t>Шкаф управления разъединителями</t>
        </is>
      </c>
      <c r="E42" s="291" t="inlineStr">
        <is>
          <t>шт</t>
        </is>
      </c>
      <c r="F42" s="370" t="n">
        <v>1</v>
      </c>
      <c r="G42" s="175" t="n"/>
      <c r="H42" s="175">
        <f>ROUND(F42*G42,2)</f>
        <v/>
      </c>
      <c r="I42" s="146" t="n"/>
      <c r="J42" s="371" t="n"/>
    </row>
    <row r="43">
      <c r="A43" s="280" t="inlineStr">
        <is>
          <t>Материалы</t>
        </is>
      </c>
      <c r="B43" s="364" t="n"/>
      <c r="C43" s="364" t="n"/>
      <c r="D43" s="364" t="n"/>
      <c r="E43" s="365" t="n"/>
      <c r="F43" s="280" t="n"/>
      <c r="G43" s="148" t="n"/>
      <c r="H43" s="369">
        <f>SUM(H44:H78)</f>
        <v/>
      </c>
    </row>
    <row r="44" ht="25.5" customHeight="1" s="241">
      <c r="A44" s="139" t="n">
        <v>28</v>
      </c>
      <c r="B44" s="281" t="n"/>
      <c r="C44" s="200" t="inlineStr">
        <is>
          <t>04.1.02.05-0046</t>
        </is>
      </c>
      <c r="D44" s="294" t="inlineStr">
        <is>
          <t>Смеси бетонные тяжелого бетона (БСТ), крупность заполнителя 20 мм, класс В25 (М350)</t>
        </is>
      </c>
      <c r="E44" s="291" t="inlineStr">
        <is>
          <t>м3</t>
        </is>
      </c>
      <c r="F44" s="291" t="n">
        <v>9.337999999999999</v>
      </c>
      <c r="G44" s="175" t="n">
        <v>720</v>
      </c>
      <c r="H44" s="175">
        <f>ROUND(F44*G44,2)</f>
        <v/>
      </c>
      <c r="I44" s="146" t="n"/>
      <c r="K44" s="144" t="n"/>
    </row>
    <row r="45" ht="25.5" customHeight="1" s="241">
      <c r="A45" s="139" t="n">
        <v>29</v>
      </c>
      <c r="B45" s="281" t="n"/>
      <c r="C45" s="200" t="inlineStr">
        <is>
          <t>14.2.03.02-1002</t>
        </is>
      </c>
      <c r="D45" s="294" t="inlineStr">
        <is>
          <t>Покрытие защитное двухкомпонентное эпоксидное для бетона</t>
        </is>
      </c>
      <c r="E45" s="291" t="inlineStr">
        <is>
          <t>кг</t>
        </is>
      </c>
      <c r="F45" s="291" t="n">
        <v>495</v>
      </c>
      <c r="G45" s="175" t="n">
        <v>7.97</v>
      </c>
      <c r="H45" s="175">
        <f>ROUND(F45*G45,2)</f>
        <v/>
      </c>
      <c r="I45" s="146" t="n"/>
      <c r="K45" s="144" t="n"/>
    </row>
    <row r="46" ht="25.5" customHeight="1" s="241">
      <c r="A46" s="139" t="n">
        <v>30</v>
      </c>
      <c r="B46" s="281" t="n"/>
      <c r="C46" s="200" t="inlineStr">
        <is>
          <t>08.4.03.03-0033</t>
        </is>
      </c>
      <c r="D46" s="294" t="inlineStr">
        <is>
          <t>Сталь арматурная, горячекатаная, периодического профиля, класс А-III, диаметр 14 мм</t>
        </is>
      </c>
      <c r="E46" s="291" t="inlineStr">
        <is>
          <t>т</t>
        </is>
      </c>
      <c r="F46" s="291" t="n">
        <v>0.3322</v>
      </c>
      <c r="G46" s="175" t="n">
        <v>7997.23</v>
      </c>
      <c r="H46" s="175">
        <f>ROUND(F46*G46,2)</f>
        <v/>
      </c>
      <c r="I46" s="146" t="n"/>
      <c r="K46" s="144" t="n"/>
    </row>
    <row r="47" ht="25.5" customHeight="1" s="241">
      <c r="A47" s="139" t="n">
        <v>31</v>
      </c>
      <c r="B47" s="281" t="n"/>
      <c r="C47" s="200" t="inlineStr">
        <is>
          <t>21.1.06.10-0411</t>
        </is>
      </c>
      <c r="D47" s="294" t="inlineStr">
        <is>
          <t>Кабель силовой с медными жилами ВВГнг(A)-LS 5х16мк(N, РЕ)-1000</t>
        </is>
      </c>
      <c r="E47" s="291" t="inlineStr">
        <is>
          <t>1000 м</t>
        </is>
      </c>
      <c r="F47" s="291" t="n">
        <v>0.013</v>
      </c>
      <c r="G47" s="175" t="n">
        <v>98440.41</v>
      </c>
      <c r="H47" s="175">
        <f>ROUND(F47*G47,2)</f>
        <v/>
      </c>
      <c r="I47" s="146" t="n"/>
    </row>
    <row r="48">
      <c r="A48" s="139" t="n">
        <v>32</v>
      </c>
      <c r="B48" s="281" t="n"/>
      <c r="C48" s="200" t="inlineStr">
        <is>
          <t>02.2.04.03-0003</t>
        </is>
      </c>
      <c r="D48" s="294" t="inlineStr">
        <is>
          <t>Смесь песчано-гравийная природная</t>
        </is>
      </c>
      <c r="E48" s="291" t="inlineStr">
        <is>
          <t>м3</t>
        </is>
      </c>
      <c r="F48" s="291" t="n">
        <v>15.733578</v>
      </c>
      <c r="G48" s="175" t="n">
        <v>60</v>
      </c>
      <c r="H48" s="175">
        <f>ROUND(F48*G48,2)</f>
        <v/>
      </c>
      <c r="I48" s="146" t="n"/>
    </row>
    <row r="49">
      <c r="A49" s="139" t="n">
        <v>33</v>
      </c>
      <c r="B49" s="281" t="n"/>
      <c r="C49" s="200" t="inlineStr">
        <is>
          <t>21.1.08.03-0574</t>
        </is>
      </c>
      <c r="D49" s="294" t="inlineStr">
        <is>
          <t>Кабель контрольный КВВГЭнг(А)-LS 4x2,5</t>
        </is>
      </c>
      <c r="E49" s="291" t="inlineStr">
        <is>
          <t>1000 м</t>
        </is>
      </c>
      <c r="F49" s="291" t="n">
        <v>0.02</v>
      </c>
      <c r="G49" s="175" t="n">
        <v>38348.22</v>
      </c>
      <c r="H49" s="175">
        <f>ROUND(F49*G49,2)</f>
        <v/>
      </c>
      <c r="I49" s="146" t="n"/>
    </row>
    <row r="50" ht="25.5" customHeight="1" s="241">
      <c r="A50" s="139" t="n">
        <v>34</v>
      </c>
      <c r="B50" s="281" t="n"/>
      <c r="C50" s="200" t="inlineStr">
        <is>
          <t>08.4.01.01-0022</t>
        </is>
      </c>
      <c r="D50" s="294" t="inlineStr">
        <is>
          <t>Детали анкерные с резьбой из прямых или гнутых круглых стержней</t>
        </is>
      </c>
      <c r="E50" s="291" t="inlineStr">
        <is>
          <t>т</t>
        </is>
      </c>
      <c r="F50" s="291" t="n">
        <v>0.05598</v>
      </c>
      <c r="G50" s="175" t="n">
        <v>10100</v>
      </c>
      <c r="H50" s="175">
        <f>ROUND(F50*G50,2)</f>
        <v/>
      </c>
      <c r="I50" s="146" t="n"/>
    </row>
    <row r="51" ht="25.5" customHeight="1" s="241">
      <c r="A51" s="139" t="n">
        <v>35</v>
      </c>
      <c r="B51" s="281" t="n"/>
      <c r="C51" s="200" t="inlineStr">
        <is>
          <t>05.1.01.10-0131</t>
        </is>
      </c>
      <c r="D51" s="294" t="inlineStr">
        <is>
          <t>Лотки каналов и тоннелей железобетонные для прокладки коммуникаций</t>
        </is>
      </c>
      <c r="E51" s="291" t="inlineStr">
        <is>
          <t>м3</t>
        </is>
      </c>
      <c r="F51" s="291" t="n">
        <v>0.28</v>
      </c>
      <c r="G51" s="175" t="n">
        <v>1837.28</v>
      </c>
      <c r="H51" s="175">
        <f>ROUND(F51*G51,2)</f>
        <v/>
      </c>
      <c r="I51" s="146" t="n"/>
    </row>
    <row r="52">
      <c r="A52" s="139" t="n">
        <v>36</v>
      </c>
      <c r="B52" s="281" t="n"/>
      <c r="C52" s="200" t="inlineStr">
        <is>
          <t>Прайс из СД ОП</t>
        </is>
      </c>
      <c r="D52" s="294" t="inlineStr">
        <is>
          <t>Оцинковка</t>
        </is>
      </c>
      <c r="E52" s="291" t="inlineStr">
        <is>
          <t>т</t>
        </is>
      </c>
      <c r="F52" s="291" t="n">
        <v>0.06582</v>
      </c>
      <c r="G52" s="175" t="n">
        <v>7034.34</v>
      </c>
      <c r="H52" s="175">
        <f>ROUND(F52*G52,2)</f>
        <v/>
      </c>
      <c r="I52" s="146" t="n"/>
    </row>
    <row r="53" ht="25.5" customHeight="1" s="241">
      <c r="A53" s="139" t="n">
        <v>37</v>
      </c>
      <c r="B53" s="281" t="n"/>
      <c r="C53" s="200" t="inlineStr">
        <is>
          <t>04.1.02.05-0040</t>
        </is>
      </c>
      <c r="D53" s="294" t="inlineStr">
        <is>
          <t>Смеси бетонные тяжелого бетона (БСТ), крупность заполнителя 20 мм, класс В7,5 (М100)</t>
        </is>
      </c>
      <c r="E53" s="291" t="inlineStr">
        <is>
          <t>м3</t>
        </is>
      </c>
      <c r="F53" s="291" t="n">
        <v>0.612</v>
      </c>
      <c r="G53" s="175" t="n">
        <v>535.46</v>
      </c>
      <c r="H53" s="175">
        <f>ROUND(F53*G53,2)</f>
        <v/>
      </c>
      <c r="I53" s="146" t="n"/>
    </row>
    <row r="54" ht="25.5" customHeight="1" s="241">
      <c r="A54" s="139" t="n">
        <v>38</v>
      </c>
      <c r="B54" s="281" t="n"/>
      <c r="C54" s="200" t="inlineStr">
        <is>
          <t>21.2.01.02-0093</t>
        </is>
      </c>
      <c r="D54" s="294" t="inlineStr">
        <is>
          <t>Провод неизолированный для воздушных линий электропередачи АС 240/32</t>
        </is>
      </c>
      <c r="E54" s="291" t="inlineStr">
        <is>
          <t>т</t>
        </is>
      </c>
      <c r="F54" s="291" t="n">
        <v>0.009209999999999999</v>
      </c>
      <c r="G54" s="175" t="n">
        <v>32752.18</v>
      </c>
      <c r="H54" s="175">
        <f>ROUND(F54*G54,2)</f>
        <v/>
      </c>
      <c r="I54" s="146" t="n"/>
    </row>
    <row r="55">
      <c r="A55" s="139" t="n">
        <v>39</v>
      </c>
      <c r="B55" s="281" t="n"/>
      <c r="C55" s="200" t="inlineStr">
        <is>
          <t>02.2.05.04-1777</t>
        </is>
      </c>
      <c r="D55" s="294" t="inlineStr">
        <is>
          <t>Щебень М 800, фракция 20-40 мм, группа 2</t>
        </is>
      </c>
      <c r="E55" s="291" t="inlineStr">
        <is>
          <t>м3</t>
        </is>
      </c>
      <c r="F55" s="291" t="n">
        <v>1.4</v>
      </c>
      <c r="G55" s="175" t="n">
        <v>108.4</v>
      </c>
      <c r="H55" s="175">
        <f>ROUND(F55*G55,2)</f>
        <v/>
      </c>
      <c r="I55" s="146" t="n"/>
    </row>
    <row r="56" ht="25.5" customHeight="1" s="241">
      <c r="A56" s="139" t="n">
        <v>40</v>
      </c>
      <c r="B56" s="281" t="n"/>
      <c r="C56" s="200" t="inlineStr">
        <is>
          <t>08.4.03.02-0001</t>
        </is>
      </c>
      <c r="D56" s="294" t="inlineStr">
        <is>
          <t>Горячекатаная арматурная сталь гладкая класса А-I, диаметром 6 мм</t>
        </is>
      </c>
      <c r="E56" s="291" t="inlineStr">
        <is>
          <t>т</t>
        </is>
      </c>
      <c r="F56" s="291" t="n">
        <v>0.0182</v>
      </c>
      <c r="G56" s="175" t="n">
        <v>7418.82</v>
      </c>
      <c r="H56" s="175">
        <f>ROUND(F56*G56,2)</f>
        <v/>
      </c>
      <c r="I56" s="146" t="n"/>
    </row>
    <row r="57">
      <c r="A57" s="139" t="n">
        <v>41</v>
      </c>
      <c r="B57" s="281" t="n"/>
      <c r="C57" s="200" t="inlineStr">
        <is>
          <t>20.1.01.02-0067</t>
        </is>
      </c>
      <c r="D57" s="294" t="inlineStr">
        <is>
          <t>Зажим аппаратный прессуемый: А4А-400-2</t>
        </is>
      </c>
      <c r="E57" s="291" t="inlineStr">
        <is>
          <t>100 шт.</t>
        </is>
      </c>
      <c r="F57" s="291" t="n">
        <v>0.02</v>
      </c>
      <c r="G57" s="175" t="n">
        <v>6505</v>
      </c>
      <c r="H57" s="175">
        <f>ROUND(F57*G57,2)</f>
        <v/>
      </c>
      <c r="I57" s="146" t="n"/>
    </row>
    <row r="58" ht="25.5" customHeight="1" s="241">
      <c r="A58" s="139" t="n">
        <v>42</v>
      </c>
      <c r="B58" s="281" t="n"/>
      <c r="C58" s="200" t="inlineStr">
        <is>
          <t>08.4.03.02-0002</t>
        </is>
      </c>
      <c r="D58" s="294" t="inlineStr">
        <is>
          <t>Горячекатаная арматурная сталь гладкая класса А-I, диаметром 8 мм</t>
        </is>
      </c>
      <c r="E58" s="291" t="inlineStr">
        <is>
          <t>т</t>
        </is>
      </c>
      <c r="F58" s="291" t="n">
        <v>0.0176</v>
      </c>
      <c r="G58" s="175" t="n">
        <v>6780</v>
      </c>
      <c r="H58" s="175">
        <f>ROUND(F58*G58,2)</f>
        <v/>
      </c>
      <c r="I58" s="146" t="n"/>
    </row>
    <row r="59">
      <c r="A59" s="139" t="n">
        <v>43</v>
      </c>
      <c r="B59" s="281" t="n"/>
      <c r="C59" s="200" t="inlineStr">
        <is>
          <t>11.2.13.04-0011</t>
        </is>
      </c>
      <c r="D59" s="294" t="inlineStr">
        <is>
          <t>Щиты из досок толщиной 25 мм</t>
        </is>
      </c>
      <c r="E59" s="291" t="inlineStr">
        <is>
          <t>м2</t>
        </is>
      </c>
      <c r="F59" s="291" t="n">
        <v>2.277</v>
      </c>
      <c r="G59" s="175" t="n">
        <v>35.53</v>
      </c>
      <c r="H59" s="175">
        <f>ROUND(F59*G59,2)</f>
        <v/>
      </c>
      <c r="I59" s="146" t="n"/>
    </row>
    <row r="60" ht="38.25" customHeight="1" s="241">
      <c r="A60" s="139" t="n">
        <v>44</v>
      </c>
      <c r="B60" s="281" t="n"/>
      <c r="C60" s="200" t="inlineStr">
        <is>
          <t>08.4.01.02-0011</t>
        </is>
      </c>
      <c r="D60" s="294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E60" s="291" t="inlineStr">
        <is>
          <t>т</t>
        </is>
      </c>
      <c r="F60" s="291" t="n">
        <v>0.00984</v>
      </c>
      <c r="G60" s="175" t="n">
        <v>5804</v>
      </c>
      <c r="H60" s="175">
        <f>ROUND(F60*G60,2)</f>
        <v/>
      </c>
      <c r="I60" s="146" t="n"/>
    </row>
    <row r="61">
      <c r="A61" s="139" t="n">
        <v>45</v>
      </c>
      <c r="B61" s="281" t="n"/>
      <c r="C61" s="200" t="inlineStr">
        <is>
          <t>01.7.11.07-0034</t>
        </is>
      </c>
      <c r="D61" s="294" t="inlineStr">
        <is>
          <t>Электроды сварочные Э42А, диаметр 4 мм</t>
        </is>
      </c>
      <c r="E61" s="291" t="inlineStr">
        <is>
          <t>кг</t>
        </is>
      </c>
      <c r="F61" s="291" t="n">
        <v>3.8999961</v>
      </c>
      <c r="G61" s="175" t="n">
        <v>10.57</v>
      </c>
      <c r="H61" s="175">
        <f>ROUND(F61*G61,2)</f>
        <v/>
      </c>
      <c r="I61" s="146" t="n"/>
    </row>
    <row r="62" ht="25.5" customHeight="1" s="241">
      <c r="A62" s="139" t="n">
        <v>46</v>
      </c>
      <c r="B62" s="281" t="n"/>
      <c r="C62" s="200" t="inlineStr">
        <is>
          <t>01.3.01.06-0050</t>
        </is>
      </c>
      <c r="D62" s="294" t="inlineStr">
        <is>
          <t>Смазка универсальная тугоплавкая УТ (консталин жировой)</t>
        </is>
      </c>
      <c r="E62" s="291" t="inlineStr">
        <is>
          <t>т</t>
        </is>
      </c>
      <c r="F62" s="291" t="n">
        <v>0.001999998</v>
      </c>
      <c r="G62" s="175" t="n">
        <v>17500</v>
      </c>
      <c r="H62" s="175">
        <f>ROUND(F62*G62,2)</f>
        <v/>
      </c>
      <c r="I62" s="146" t="n"/>
    </row>
    <row r="63">
      <c r="A63" s="139" t="n">
        <v>47</v>
      </c>
      <c r="B63" s="281" t="n"/>
      <c r="C63" s="200" t="inlineStr">
        <is>
          <t>14.4.02.09-0001</t>
        </is>
      </c>
      <c r="D63" s="294" t="inlineStr">
        <is>
          <t>Краска</t>
        </is>
      </c>
      <c r="E63" s="291" t="inlineStr">
        <is>
          <t>кг</t>
        </is>
      </c>
      <c r="F63" s="291" t="n">
        <v>1.1999988</v>
      </c>
      <c r="G63" s="175" t="n">
        <v>28.6</v>
      </c>
      <c r="H63" s="175">
        <f>ROUND(F63*G63,2)</f>
        <v/>
      </c>
      <c r="I63" s="146" t="n"/>
    </row>
    <row r="64" ht="25.5" customHeight="1" s="241">
      <c r="A64" s="139" t="n">
        <v>48</v>
      </c>
      <c r="B64" s="281" t="n"/>
      <c r="C64" s="200" t="inlineStr">
        <is>
          <t>11.1.03.06-0095</t>
        </is>
      </c>
      <c r="D64" s="294" t="inlineStr">
        <is>
          <t>Доска обрезная, хвойных пород, ширина 75-150 мм, толщина 44 мм и более, длина 4-6,5 м, сорт III</t>
        </is>
      </c>
      <c r="E64" s="291" t="inlineStr">
        <is>
          <t>м3</t>
        </is>
      </c>
      <c r="F64" s="291" t="n">
        <v>0.03174</v>
      </c>
      <c r="G64" s="175" t="n">
        <v>1056</v>
      </c>
      <c r="H64" s="175">
        <f>ROUND(F64*G64,2)</f>
        <v/>
      </c>
      <c r="I64" s="146" t="n"/>
    </row>
    <row r="65">
      <c r="A65" s="139" t="n">
        <v>49</v>
      </c>
      <c r="B65" s="281" t="n"/>
      <c r="C65" s="200" t="inlineStr">
        <is>
          <t>01.7.15.03-0042</t>
        </is>
      </c>
      <c r="D65" s="294" t="inlineStr">
        <is>
          <t>Болты с гайками и шайбами строительные</t>
        </is>
      </c>
      <c r="E65" s="291" t="inlineStr">
        <is>
          <t>кг</t>
        </is>
      </c>
      <c r="F65" s="291" t="n">
        <v>3.3666633</v>
      </c>
      <c r="G65" s="175" t="n">
        <v>9.039999999999999</v>
      </c>
      <c r="H65" s="175">
        <f>ROUND(F65*G65,2)</f>
        <v/>
      </c>
      <c r="I65" s="146" t="n"/>
    </row>
    <row r="66">
      <c r="A66" s="139" t="n">
        <v>50</v>
      </c>
      <c r="B66" s="281" t="n"/>
      <c r="C66" s="200" t="inlineStr">
        <is>
          <t>01.7.15.06-0111</t>
        </is>
      </c>
      <c r="D66" s="294" t="inlineStr">
        <is>
          <t>Гвозди строительные</t>
        </is>
      </c>
      <c r="E66" s="291" t="inlineStr">
        <is>
          <t>т</t>
        </is>
      </c>
      <c r="F66" s="291" t="n">
        <v>0.001702</v>
      </c>
      <c r="G66" s="175" t="n">
        <v>11978</v>
      </c>
      <c r="H66" s="175">
        <f>ROUND(F66*G66,2)</f>
        <v/>
      </c>
      <c r="I66" s="146" t="n"/>
    </row>
    <row r="67" ht="25.5" customHeight="1" s="241">
      <c r="A67" s="139" t="n">
        <v>51</v>
      </c>
      <c r="B67" s="281" t="n"/>
      <c r="C67" s="200" t="inlineStr">
        <is>
          <t>11.1.02.04-0031</t>
        </is>
      </c>
      <c r="D67" s="294" t="inlineStr">
        <is>
          <t>Лесоматериалы круглые хвойных пород для строительства диаметром 14-24 см, длиной 3-6,5 м</t>
        </is>
      </c>
      <c r="E67" s="291" t="inlineStr">
        <is>
          <t>м3</t>
        </is>
      </c>
      <c r="F67" s="291" t="n">
        <v>0.03174</v>
      </c>
      <c r="G67" s="175" t="n">
        <v>558.33</v>
      </c>
      <c r="H67" s="175">
        <f>ROUND(F67*G67,2)</f>
        <v/>
      </c>
      <c r="I67" s="146" t="n"/>
    </row>
    <row r="68">
      <c r="A68" s="139" t="n">
        <v>52</v>
      </c>
      <c r="B68" s="281" t="n"/>
      <c r="C68" s="200" t="inlineStr">
        <is>
          <t>01.7.20.08-0031</t>
        </is>
      </c>
      <c r="D68" s="294" t="inlineStr">
        <is>
          <t xml:space="preserve">Бязь суровая </t>
        </is>
      </c>
      <c r="E68" s="291" t="inlineStr">
        <is>
          <t>10 м2</t>
        </is>
      </c>
      <c r="F68" s="291" t="n">
        <v>0.200999799</v>
      </c>
      <c r="G68" s="175" t="n">
        <v>79.09999999999999</v>
      </c>
      <c r="H68" s="175">
        <f>ROUND(F68*G68,2)</f>
        <v/>
      </c>
      <c r="I68" s="146" t="n"/>
    </row>
    <row r="69">
      <c r="A69" s="139" t="n">
        <v>53</v>
      </c>
      <c r="B69" s="281" t="n"/>
      <c r="C69" s="200" t="inlineStr">
        <is>
          <t>999-9950</t>
        </is>
      </c>
      <c r="D69" s="294" t="inlineStr">
        <is>
          <t>Вспомогательные ненормируемые материалы</t>
        </is>
      </c>
      <c r="E69" s="291" t="inlineStr">
        <is>
          <t>руб</t>
        </is>
      </c>
      <c r="F69" s="291" t="n">
        <v>15.58331775</v>
      </c>
      <c r="G69" s="175" t="n">
        <v>1</v>
      </c>
      <c r="H69" s="175">
        <f>ROUND(F69*G69,2)</f>
        <v/>
      </c>
      <c r="I69" s="146" t="n"/>
    </row>
    <row r="70" ht="25.5" customHeight="1" s="241">
      <c r="A70" s="139" t="n">
        <v>54</v>
      </c>
      <c r="B70" s="281" t="n"/>
      <c r="C70" s="200" t="inlineStr">
        <is>
          <t>08.3.07.01-0076</t>
        </is>
      </c>
      <c r="D70" s="294" t="inlineStr">
        <is>
          <t>Прокат полосовой, горячекатаный, марка стали Ст3сп, ширина 50-200 мм, толщина 4-5 мм</t>
        </is>
      </c>
      <c r="E70" s="291" t="inlineStr">
        <is>
          <t>т</t>
        </is>
      </c>
      <c r="F70" s="291" t="n">
        <v>0.002866664</v>
      </c>
      <c r="G70" s="175" t="n">
        <v>5000</v>
      </c>
      <c r="H70" s="175">
        <f>ROUND(F70*G70,2)</f>
        <v/>
      </c>
      <c r="I70" s="146" t="n"/>
    </row>
    <row r="71" ht="25.5" customHeight="1" s="241">
      <c r="A71" s="139" t="n">
        <v>55</v>
      </c>
      <c r="B71" s="281" t="n"/>
      <c r="C71" s="200" t="inlineStr">
        <is>
          <t>11.1.03.06-0087</t>
        </is>
      </c>
      <c r="D71" s="294" t="inlineStr">
        <is>
          <t>Доска обрезная, хвойных пород, ширина 75-150 мм, толщина 25 мм, длина 4-6,5 м, сорт III</t>
        </is>
      </c>
      <c r="E71" s="291" t="inlineStr">
        <is>
          <t>м3</t>
        </is>
      </c>
      <c r="F71" s="291" t="n">
        <v>0.0092</v>
      </c>
      <c r="G71" s="175" t="n">
        <v>1100</v>
      </c>
      <c r="H71" s="175">
        <f>ROUND(F71*G71,2)</f>
        <v/>
      </c>
      <c r="I71" s="146" t="n"/>
    </row>
    <row r="72" ht="25.5" customHeight="1" s="241">
      <c r="A72" s="139" t="n">
        <v>56</v>
      </c>
      <c r="B72" s="281" t="n"/>
      <c r="C72" s="200" t="inlineStr">
        <is>
          <t>08.3.03.06-0002</t>
        </is>
      </c>
      <c r="D72" s="294" t="inlineStr">
        <is>
          <t>Проволока горячекатаная в мотках, диаметром 6,3-6,5 мм</t>
        </is>
      </c>
      <c r="E72" s="291" t="inlineStr">
        <is>
          <t>т</t>
        </is>
      </c>
      <c r="F72" s="291" t="n">
        <v>0.00184</v>
      </c>
      <c r="G72" s="175" t="n">
        <v>4455.2</v>
      </c>
      <c r="H72" s="175">
        <f>ROUND(F72*G72,2)</f>
        <v/>
      </c>
      <c r="I72" s="146" t="n"/>
    </row>
    <row r="73">
      <c r="A73" s="139" t="n">
        <v>57</v>
      </c>
      <c r="B73" s="281" t="n"/>
      <c r="C73" s="200" t="inlineStr">
        <is>
          <t>01.7.07.12-0024</t>
        </is>
      </c>
      <c r="D73" s="294" t="inlineStr">
        <is>
          <t>Пленка полиэтиленовая толщиной 0,15 мм</t>
        </is>
      </c>
      <c r="E73" s="291" t="inlineStr">
        <is>
          <t>м2</t>
        </is>
      </c>
      <c r="F73" s="291" t="n">
        <v>1.9646</v>
      </c>
      <c r="G73" s="175" t="n">
        <v>3.62</v>
      </c>
      <c r="H73" s="175">
        <f>ROUND(F73*G73,2)</f>
        <v/>
      </c>
      <c r="I73" s="146" t="n"/>
    </row>
    <row r="74" ht="25.5" customHeight="1" s="241">
      <c r="A74" s="139" t="n">
        <v>58</v>
      </c>
      <c r="B74" s="281" t="n"/>
      <c r="C74" s="200" t="inlineStr">
        <is>
          <t>11.1.03.01-0079</t>
        </is>
      </c>
      <c r="D74" s="294" t="inlineStr">
        <is>
          <t>Бруски обрезные, хвойных пород, длина 4-6,5 м, ширина 75-150 мм, толщина 40-75 мм, сорт III</t>
        </is>
      </c>
      <c r="E74" s="291" t="inlineStr">
        <is>
          <t>м3</t>
        </is>
      </c>
      <c r="F74" s="291" t="n">
        <v>0.00368</v>
      </c>
      <c r="G74" s="175" t="n">
        <v>1287</v>
      </c>
      <c r="H74" s="175">
        <f>ROUND(F74*G74,2)</f>
        <v/>
      </c>
      <c r="I74" s="146" t="n"/>
    </row>
    <row r="75">
      <c r="A75" s="139" t="n">
        <v>59</v>
      </c>
      <c r="B75" s="281" t="n"/>
      <c r="C75" s="200" t="inlineStr">
        <is>
          <t>14.2.06.06-0011</t>
        </is>
      </c>
      <c r="D75" s="294" t="inlineStr">
        <is>
          <t>Латекс СКС-65 ГП</t>
        </is>
      </c>
      <c r="E75" s="291" t="inlineStr">
        <is>
          <t>т</t>
        </is>
      </c>
      <c r="F75" s="291" t="n">
        <v>0.000315</v>
      </c>
      <c r="G75" s="175" t="n">
        <v>13673</v>
      </c>
      <c r="H75" s="175">
        <f>ROUND(F75*G75,2)</f>
        <v/>
      </c>
      <c r="I75" s="146" t="n"/>
    </row>
    <row r="76">
      <c r="A76" s="139" t="n">
        <v>60</v>
      </c>
      <c r="B76" s="281" t="n"/>
      <c r="C76" s="200" t="inlineStr">
        <is>
          <t>01.7.11.07-0054</t>
        </is>
      </c>
      <c r="D76" s="294" t="inlineStr">
        <is>
          <t>Электроды сварочные Э42, диаметр 6 мм</t>
        </is>
      </c>
      <c r="E76" s="291" t="inlineStr">
        <is>
          <t>т</t>
        </is>
      </c>
      <c r="F76" s="291" t="n">
        <v>0.000184</v>
      </c>
      <c r="G76" s="175" t="n">
        <v>9424</v>
      </c>
      <c r="H76" s="175">
        <f>ROUND(F76*G76,2)</f>
        <v/>
      </c>
      <c r="I76" s="146" t="n"/>
    </row>
    <row r="77">
      <c r="A77" s="139" t="n">
        <v>61</v>
      </c>
      <c r="B77" s="281" t="n"/>
      <c r="C77" s="200" t="inlineStr">
        <is>
          <t>03.1.02.03-0011</t>
        </is>
      </c>
      <c r="D77" s="294" t="inlineStr">
        <is>
          <t>Известь строительная негашеная комовая, сорт I</t>
        </is>
      </c>
      <c r="E77" s="291" t="inlineStr">
        <is>
          <t>т</t>
        </is>
      </c>
      <c r="F77" s="291" t="n">
        <v>0.002116</v>
      </c>
      <c r="G77" s="175" t="n">
        <v>734.5</v>
      </c>
      <c r="H77" s="175">
        <f>ROUND(F77*G77,2)</f>
        <v/>
      </c>
      <c r="I77" s="146" t="n"/>
    </row>
    <row r="78">
      <c r="A78" s="139" t="n">
        <v>62</v>
      </c>
      <c r="B78" s="281" t="n"/>
      <c r="C78" s="200" t="inlineStr">
        <is>
          <t>01.7.03.01-0001</t>
        </is>
      </c>
      <c r="D78" s="294" t="inlineStr">
        <is>
          <t>Вода</t>
        </is>
      </c>
      <c r="E78" s="291" t="inlineStr">
        <is>
          <t>м3</t>
        </is>
      </c>
      <c r="F78" s="291" t="n">
        <v>0.169962</v>
      </c>
      <c r="G78" s="175" t="n">
        <v>2.44</v>
      </c>
      <c r="H78" s="175">
        <f>ROUND(F78*G78,2)</f>
        <v/>
      </c>
      <c r="I78" s="146" t="n"/>
    </row>
    <row r="81">
      <c r="B81" s="243" t="inlineStr">
        <is>
          <t>Составил ______________________     Д.Ю. Нефедова</t>
        </is>
      </c>
    </row>
    <row r="82">
      <c r="B82" s="117" t="inlineStr">
        <is>
          <t xml:space="preserve">                         (подпись, инициалы, фамилия)</t>
        </is>
      </c>
    </row>
    <row r="84">
      <c r="B84" s="243" t="inlineStr">
        <is>
          <t>Проверил ______________________        А.В. Костянецкая</t>
        </is>
      </c>
    </row>
    <row r="85">
      <c r="B85" s="117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12:E12"/>
    <mergeCell ref="A3:H3"/>
    <mergeCell ref="D9:D10"/>
    <mergeCell ref="A43:E43"/>
    <mergeCell ref="E9:E10"/>
    <mergeCell ref="F9:F10"/>
    <mergeCell ref="A9:A10"/>
    <mergeCell ref="A4:H4"/>
    <mergeCell ref="A2:H2"/>
    <mergeCell ref="A19:E19"/>
    <mergeCell ref="G9:H9"/>
    <mergeCell ref="A40:E40"/>
    <mergeCell ref="A6:H6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5" sqref="B45"/>
    </sheetView>
  </sheetViews>
  <sheetFormatPr baseColWidth="8" defaultColWidth="9.140625" defaultRowHeight="15"/>
  <cols>
    <col width="4.140625" customWidth="1" style="241" min="1" max="1"/>
    <col width="36.28515625" customWidth="1" style="241" min="2" max="2"/>
    <col width="18.85546875" customWidth="1" style="241" min="3" max="3"/>
    <col width="18.28515625" customWidth="1" style="241" min="4" max="4"/>
    <col width="18.85546875" customWidth="1" style="241" min="5" max="5"/>
    <col width="13.42578125" customWidth="1" style="241" min="7" max="7"/>
    <col width="13.5703125" customWidth="1" style="241" min="12" max="12"/>
  </cols>
  <sheetData>
    <row r="1">
      <c r="B1" s="240" t="n"/>
      <c r="C1" s="240" t="n"/>
      <c r="D1" s="240" t="n"/>
      <c r="E1" s="240" t="n"/>
    </row>
    <row r="2">
      <c r="B2" s="240" t="n"/>
      <c r="C2" s="240" t="n"/>
      <c r="D2" s="240" t="n"/>
      <c r="E2" s="304" t="inlineStr">
        <is>
          <t>Приложение № 4</t>
        </is>
      </c>
    </row>
    <row r="3">
      <c r="B3" s="240" t="n"/>
      <c r="C3" s="240" t="n"/>
      <c r="D3" s="240" t="n"/>
      <c r="E3" s="240" t="n"/>
    </row>
    <row r="4">
      <c r="B4" s="240" t="n"/>
      <c r="C4" s="240" t="n"/>
      <c r="D4" s="240" t="n"/>
      <c r="E4" s="240" t="n"/>
    </row>
    <row r="5">
      <c r="B5" s="259" t="inlineStr">
        <is>
          <t>Ресурсная модель</t>
        </is>
      </c>
    </row>
    <row r="6">
      <c r="B6" s="149" t="n"/>
      <c r="C6" s="240" t="n"/>
      <c r="D6" s="240" t="n"/>
      <c r="E6" s="240" t="n"/>
    </row>
    <row r="7" ht="25.5" customHeight="1" s="241">
      <c r="B7" s="286" t="inlineStr">
        <is>
          <t>Наименование разрабатываемого показателя УНЦ — Демонтаж однополюсного разъединителя 330 кВ</t>
        </is>
      </c>
    </row>
    <row r="8">
      <c r="B8" s="287" t="inlineStr">
        <is>
          <t>Единица измерения  — 1 ед.</t>
        </is>
      </c>
    </row>
    <row r="9">
      <c r="B9" s="149" t="n"/>
      <c r="C9" s="240" t="n"/>
      <c r="D9" s="240" t="n"/>
      <c r="E9" s="240" t="n"/>
    </row>
    <row r="10" ht="51" customHeight="1" s="241">
      <c r="B10" s="291" t="inlineStr">
        <is>
          <t>Наименование</t>
        </is>
      </c>
      <c r="C10" s="291" t="inlineStr">
        <is>
          <t>Сметная стоимость в ценах на 01.01.2023
 (руб.)</t>
        </is>
      </c>
      <c r="D10" s="291" t="inlineStr">
        <is>
          <t>Удельный вес, 
(в СМР)</t>
        </is>
      </c>
      <c r="E10" s="29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1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1">
        <f>'Прил.5 Расчет СМР и ОБ'!J27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1">
        <f>'Прил.5 Расчет СМР и ОБ'!J42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1">
        <f>'Прил.5 Расчет СМР и ОБ'!J44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1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1">
        <f>'Прил.5 Расчет СМР и ОБ'!J53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1">
        <f>'Прил.5 Расчет СМР и ОБ'!J54</f>
        <v/>
      </c>
      <c r="D17" s="26">
        <f>C17/$C$24</f>
        <v/>
      </c>
      <c r="E17" s="26">
        <f>C17/$C$40</f>
        <v/>
      </c>
      <c r="G17" s="371" t="n"/>
    </row>
    <row r="18">
      <c r="B18" s="24" t="inlineStr">
        <is>
          <t>МАТЕРИАЛЫ, ВСЕГО:</t>
        </is>
      </c>
      <c r="C18" s="23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67">
        <f>'Прил.5 Расчет СМР и ОБ'!D60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67">
        <f>'Прил.5 Расчет СМР и ОБ'!D58</f>
        <v/>
      </c>
      <c r="D23" s="26" t="n"/>
      <c r="E23" s="24" t="n"/>
    </row>
    <row r="24">
      <c r="B24" s="24" t="inlineStr">
        <is>
          <t>ВСЕГО СМР с НР и СП</t>
        </is>
      </c>
      <c r="C24" s="231">
        <f>C19+C20+C22</f>
        <v/>
      </c>
      <c r="D24" s="26">
        <f>C24/$C$24</f>
        <v/>
      </c>
      <c r="E24" s="26">
        <f>C24/$C$40</f>
        <v/>
      </c>
    </row>
    <row r="25" ht="25.5" customHeight="1" s="241">
      <c r="B25" s="24" t="inlineStr">
        <is>
          <t>ВСЕГО стоимость оборудования, в том числе</t>
        </is>
      </c>
      <c r="C25" s="231">
        <f>'Прил.5 Расчет СМР и ОБ'!J49</f>
        <v/>
      </c>
      <c r="D25" s="26" t="n"/>
      <c r="E25" s="26">
        <f>C25/$C$40</f>
        <v/>
      </c>
    </row>
    <row r="26" ht="25.5" customHeight="1" s="241">
      <c r="B26" s="24" t="inlineStr">
        <is>
          <t>стоимость оборудования технологического</t>
        </is>
      </c>
      <c r="C26" s="231">
        <f>'Прил.5 Расчет СМР и ОБ'!J50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69">
        <f>'Прил.5 Расчет СМР и ОБ'!J63</f>
        <v/>
      </c>
      <c r="D27" s="26" t="n"/>
      <c r="E27" s="26">
        <f>C27/$C$40</f>
        <v/>
      </c>
      <c r="G27" s="151" t="n"/>
    </row>
    <row r="28" ht="33" customHeight="1" s="24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1">
      <c r="B29" s="24" t="inlineStr">
        <is>
          <t>Временные здания и сооружения - 3,9%</t>
        </is>
      </c>
      <c r="C29" s="169">
        <f>ROUND(C24*3.9%,2)</f>
        <v/>
      </c>
      <c r="D29" s="24" t="n"/>
      <c r="E29" s="26">
        <f>C29/$C$40</f>
        <v/>
      </c>
    </row>
    <row r="30" ht="38.25" customHeight="1" s="24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69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41">
      <c r="B32" s="24" t="inlineStr">
        <is>
          <t>Затраты по перевозке работников к месту работы и обратно</t>
        </is>
      </c>
      <c r="C32" s="169" t="n">
        <v>0</v>
      </c>
      <c r="D32" s="24" t="n"/>
      <c r="E32" s="26">
        <f>C32/$C$40</f>
        <v/>
      </c>
    </row>
    <row r="33" ht="25.5" customHeight="1" s="241">
      <c r="B33" s="24" t="inlineStr">
        <is>
          <t>Затраты, связанные с осуществлением работ вахтовым методом</t>
        </is>
      </c>
      <c r="C33" s="169">
        <f>ROUND(C27*0%,2)</f>
        <v/>
      </c>
      <c r="D33" s="24" t="n"/>
      <c r="E33" s="26">
        <f>C33/$C$40</f>
        <v/>
      </c>
    </row>
    <row r="34" ht="68.25" customHeight="1" s="24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9" t="n">
        <v>0</v>
      </c>
      <c r="D34" s="24" t="n"/>
      <c r="E34" s="26">
        <f>C34/$C$40</f>
        <v/>
      </c>
    </row>
    <row r="35" ht="88.5" customHeight="1" s="24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9">
        <f>ROUND(C27*0%,2)</f>
        <v/>
      </c>
      <c r="D35" s="24" t="n"/>
      <c r="E35" s="26">
        <f>C35/$C$40</f>
        <v/>
      </c>
    </row>
    <row r="36" ht="25.5" customHeight="1" s="241">
      <c r="B36" s="24" t="inlineStr">
        <is>
          <t>Строительный контроль и содержание службы заказчика - 2,14%</t>
        </is>
      </c>
      <c r="C36" s="169">
        <f>ROUND((C27+C32+C33+C34+C35+C29+C31+C30)*2.14%,2)</f>
        <v/>
      </c>
      <c r="D36" s="24" t="n"/>
      <c r="E36" s="26">
        <f>C36/$C$40</f>
        <v/>
      </c>
      <c r="G36" s="152" t="n"/>
      <c r="L36" s="151" t="n"/>
    </row>
    <row r="37">
      <c r="B37" s="24" t="inlineStr">
        <is>
          <t>Авторский надзор - 0,2%</t>
        </is>
      </c>
      <c r="C37" s="169">
        <f>ROUND((C27+C32+C33+C34+C35+C29+C31+C30)*0.2%,2)</f>
        <v/>
      </c>
      <c r="D37" s="24" t="n"/>
      <c r="E37" s="26">
        <f>C37/$C$40</f>
        <v/>
      </c>
      <c r="G37" s="153" t="n"/>
      <c r="L37" s="151" t="n"/>
    </row>
    <row r="38" ht="38.25" customHeight="1" s="241">
      <c r="B38" s="24" t="inlineStr">
        <is>
          <t>ИТОГО (СМР+ОБОРУДОВАНИЕ+ПРОЧ. ЗАТР., УЧТЕННЫЕ ПОКАЗАТЕЛЕМ)</t>
        </is>
      </c>
      <c r="C38" s="231">
        <f>C27+C32+C33+C34+C35+C29+C31+C30+C36+C37</f>
        <v/>
      </c>
      <c r="D38" s="24" t="n"/>
      <c r="E38" s="26">
        <f>C38/$C$40</f>
        <v/>
      </c>
    </row>
    <row r="39" ht="13.5" customHeight="1" s="241">
      <c r="B39" s="24" t="inlineStr">
        <is>
          <t>Непредвиденные расходы</t>
        </is>
      </c>
      <c r="C39" s="23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1">
        <f>C40/'Прил.5 Расчет СМР и ОБ'!E64</f>
        <v/>
      </c>
      <c r="D41" s="24" t="n"/>
      <c r="E41" s="24" t="n"/>
    </row>
    <row r="42">
      <c r="B42" s="233" t="n"/>
      <c r="C42" s="240" t="n"/>
      <c r="D42" s="240" t="n"/>
      <c r="E42" s="240" t="n"/>
    </row>
    <row r="43">
      <c r="B43" s="233" t="inlineStr">
        <is>
          <t>Составил ____________________________  Д.Ю. Нефедова</t>
        </is>
      </c>
      <c r="C43" s="240" t="n"/>
      <c r="D43" s="240" t="n"/>
      <c r="E43" s="240" t="n"/>
    </row>
    <row r="44">
      <c r="B44" s="233" t="inlineStr">
        <is>
          <t xml:space="preserve">(должность, подпись, инициалы, фамилия) </t>
        </is>
      </c>
      <c r="C44" s="240" t="n"/>
      <c r="D44" s="240" t="n"/>
      <c r="E44" s="240" t="n"/>
    </row>
    <row r="45">
      <c r="B45" s="233" t="n"/>
      <c r="C45" s="240" t="n"/>
      <c r="D45" s="240" t="n"/>
      <c r="E45" s="240" t="n"/>
    </row>
    <row r="46">
      <c r="B46" s="233" t="inlineStr">
        <is>
          <t>Проверил ____________________________ А.В. Костянецкая</t>
        </is>
      </c>
      <c r="C46" s="240" t="n"/>
      <c r="D46" s="240" t="n"/>
      <c r="E46" s="240" t="n"/>
    </row>
    <row r="47">
      <c r="B47" s="287" t="inlineStr">
        <is>
          <t>(должность, подпись, инициалы, фамилия)</t>
        </is>
      </c>
      <c r="D47" s="240" t="n"/>
      <c r="E47" s="240" t="n"/>
    </row>
    <row r="49">
      <c r="B49" s="240" t="n"/>
      <c r="C49" s="240" t="n"/>
      <c r="D49" s="240" t="n"/>
      <c r="E49" s="240" t="n"/>
    </row>
    <row r="50">
      <c r="B50" s="240" t="n"/>
      <c r="C50" s="240" t="n"/>
      <c r="D50" s="240" t="n"/>
      <c r="E50" s="24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0"/>
  <sheetViews>
    <sheetView view="pageBreakPreview" topLeftCell="A31" zoomScale="70" workbookViewId="0">
      <selection activeCell="I74" sqref="I74"/>
    </sheetView>
  </sheetViews>
  <sheetFormatPr baseColWidth="8" defaultColWidth="9.140625" defaultRowHeight="15" outlineLevelRow="1"/>
  <cols>
    <col width="5.7109375" customWidth="1" style="238" min="1" max="1"/>
    <col width="22.5703125" customWidth="1" style="238" min="2" max="2"/>
    <col width="39.140625" customWidth="1" style="238" min="3" max="3"/>
    <col width="13.5703125" customWidth="1" style="238" min="4" max="4"/>
    <col width="12.7109375" customWidth="1" style="238" min="5" max="5"/>
    <col width="14.5703125" customWidth="1" style="238" min="6" max="6"/>
    <col width="15.85546875" customWidth="1" style="238" min="7" max="7"/>
    <col width="12.7109375" customWidth="1" style="238" min="8" max="8"/>
    <col width="15.85546875" customWidth="1" style="238" min="9" max="9"/>
    <col width="17.5703125" customWidth="1" style="238" min="10" max="10"/>
    <col width="10.85546875" customWidth="1" style="238" min="11" max="11"/>
    <col width="13.85546875" customWidth="1" style="238" min="12" max="12"/>
  </cols>
  <sheetData>
    <row r="1">
      <c r="M1" s="238" t="n"/>
      <c r="N1" s="238" t="n"/>
    </row>
    <row r="2" ht="15.75" customHeight="1" s="241">
      <c r="H2" s="288" t="inlineStr">
        <is>
          <t>Приложение №5</t>
        </is>
      </c>
      <c r="M2" s="238" t="n"/>
      <c r="N2" s="238" t="n"/>
    </row>
    <row r="3">
      <c r="M3" s="238" t="n"/>
      <c r="N3" s="238" t="n"/>
    </row>
    <row r="4" ht="12.75" customFormat="1" customHeight="1" s="240">
      <c r="A4" s="259" t="inlineStr">
        <is>
          <t>Расчет стоимости СМР и оборудования</t>
        </is>
      </c>
    </row>
    <row r="5" ht="12.75" customFormat="1" customHeight="1" s="240">
      <c r="A5" s="259" t="n"/>
      <c r="B5" s="259" t="n"/>
      <c r="C5" s="311" t="n"/>
      <c r="D5" s="259" t="n"/>
      <c r="E5" s="259" t="n"/>
      <c r="F5" s="259" t="n"/>
      <c r="G5" s="259" t="n"/>
      <c r="H5" s="259" t="n"/>
      <c r="I5" s="259" t="n"/>
      <c r="J5" s="259" t="n"/>
    </row>
    <row r="6" ht="12.75" customFormat="1" customHeight="1" s="240">
      <c r="A6" s="155" t="inlineStr">
        <is>
          <t>Наименование разрабатываемого показателя УНЦ</t>
        </is>
      </c>
      <c r="B6" s="156" t="n"/>
      <c r="C6" s="156" t="n"/>
      <c r="D6" s="262" t="inlineStr">
        <is>
          <t>Демонтаж однополюсного разъединителя 330 кВ</t>
        </is>
      </c>
    </row>
    <row r="7" ht="12.75" customFormat="1" customHeight="1" s="240">
      <c r="A7" s="262" t="inlineStr">
        <is>
          <t>Единица измерения  — 1 ед.</t>
        </is>
      </c>
      <c r="I7" s="286" t="n"/>
      <c r="J7" s="286" t="n"/>
    </row>
    <row r="8" ht="13.5" customFormat="1" customHeight="1" s="240">
      <c r="A8" s="262" t="n"/>
    </row>
    <row r="9" ht="27" customHeight="1" s="241">
      <c r="A9" s="291" t="inlineStr">
        <is>
          <t>№ пп.</t>
        </is>
      </c>
      <c r="B9" s="291" t="inlineStr">
        <is>
          <t>Код ресурса</t>
        </is>
      </c>
      <c r="C9" s="291" t="inlineStr">
        <is>
          <t>Наименование</t>
        </is>
      </c>
      <c r="D9" s="291" t="inlineStr">
        <is>
          <t>Ед. изм.</t>
        </is>
      </c>
      <c r="E9" s="291" t="inlineStr">
        <is>
          <t>Кол-во единиц по проектным данным</t>
        </is>
      </c>
      <c r="F9" s="291" t="inlineStr">
        <is>
          <t>Сметная стоимость в ценах на 01.01.2000 (руб.)</t>
        </is>
      </c>
      <c r="G9" s="365" t="n"/>
      <c r="H9" s="291" t="inlineStr">
        <is>
          <t>Удельный вес, %</t>
        </is>
      </c>
      <c r="I9" s="291" t="inlineStr">
        <is>
          <t>Сметная стоимость в ценах на 01.01.2023 (руб.)</t>
        </is>
      </c>
      <c r="J9" s="365" t="n"/>
      <c r="M9" s="238" t="n"/>
      <c r="N9" s="238" t="n"/>
    </row>
    <row r="10" ht="28.5" customHeight="1" s="241">
      <c r="A10" s="367" t="n"/>
      <c r="B10" s="367" t="n"/>
      <c r="C10" s="367" t="n"/>
      <c r="D10" s="367" t="n"/>
      <c r="E10" s="367" t="n"/>
      <c r="F10" s="291" t="inlineStr">
        <is>
          <t>на ед. изм.</t>
        </is>
      </c>
      <c r="G10" s="291" t="inlineStr">
        <is>
          <t>общая</t>
        </is>
      </c>
      <c r="H10" s="367" t="n"/>
      <c r="I10" s="291" t="inlineStr">
        <is>
          <t>на ед. изм.</t>
        </is>
      </c>
      <c r="J10" s="291" t="inlineStr">
        <is>
          <t>общая</t>
        </is>
      </c>
      <c r="M10" s="238" t="n"/>
      <c r="N10" s="238" t="n"/>
    </row>
    <row r="11">
      <c r="A11" s="291" t="n">
        <v>1</v>
      </c>
      <c r="B11" s="291" t="n">
        <v>2</v>
      </c>
      <c r="C11" s="291" t="n">
        <v>3</v>
      </c>
      <c r="D11" s="291" t="n">
        <v>4</v>
      </c>
      <c r="E11" s="291" t="n">
        <v>5</v>
      </c>
      <c r="F11" s="291" t="n">
        <v>6</v>
      </c>
      <c r="G11" s="291" t="n">
        <v>7</v>
      </c>
      <c r="H11" s="291" t="n">
        <v>8</v>
      </c>
      <c r="I11" s="292" t="n">
        <v>9</v>
      </c>
      <c r="J11" s="292" t="n">
        <v>10</v>
      </c>
      <c r="M11" s="238" t="n"/>
      <c r="N11" s="238" t="n"/>
    </row>
    <row r="12">
      <c r="A12" s="291" t="n"/>
      <c r="B12" s="279" t="inlineStr">
        <is>
          <t>Затраты труда рабочих-строителей</t>
        </is>
      </c>
      <c r="C12" s="364" t="n"/>
      <c r="D12" s="364" t="n"/>
      <c r="E12" s="364" t="n"/>
      <c r="F12" s="364" t="n"/>
      <c r="G12" s="364" t="n"/>
      <c r="H12" s="365" t="n"/>
      <c r="I12" s="162" t="n"/>
      <c r="J12" s="162" t="n"/>
    </row>
    <row r="13" ht="25.5" customHeight="1" s="241">
      <c r="A13" s="291" t="n">
        <v>1</v>
      </c>
      <c r="B13" s="200" t="inlineStr">
        <is>
          <t>1-3-7</t>
        </is>
      </c>
      <c r="C13" s="294" t="inlineStr">
        <is>
          <t>Затраты труда рабочих (средний разряд работы 3,7)</t>
        </is>
      </c>
      <c r="D13" s="291" t="inlineStr">
        <is>
          <t>чел.-ч.</t>
        </is>
      </c>
      <c r="E13" s="370">
        <f>G13/F13</f>
        <v/>
      </c>
      <c r="F13" s="175" t="n">
        <v>9.289999999999999</v>
      </c>
      <c r="G13" s="175" t="n">
        <v>1105.61</v>
      </c>
      <c r="H13" s="297">
        <f>G13/$G$14</f>
        <v/>
      </c>
      <c r="I13" s="175">
        <f>ФОТр.тек.!E13</f>
        <v/>
      </c>
      <c r="J13" s="175">
        <f>ROUND(I13*E13,2)</f>
        <v/>
      </c>
    </row>
    <row r="14" ht="25.5" customFormat="1" customHeight="1" s="238">
      <c r="A14" s="291" t="n"/>
      <c r="B14" s="291" t="n"/>
      <c r="C14" s="279" t="inlineStr">
        <is>
          <t>Итого по разделу "Затраты труда рабочих-строителей"</t>
        </is>
      </c>
      <c r="D14" s="291" t="inlineStr">
        <is>
          <t>чел.-ч.</t>
        </is>
      </c>
      <c r="E14" s="370">
        <f>SUM(E13:E13)</f>
        <v/>
      </c>
      <c r="F14" s="175" t="n"/>
      <c r="G14" s="175">
        <f>SUM(G13:G13)</f>
        <v/>
      </c>
      <c r="H14" s="298" t="n">
        <v>1</v>
      </c>
      <c r="I14" s="162" t="n"/>
      <c r="J14" s="175">
        <f>SUM(J13:J13)</f>
        <v/>
      </c>
      <c r="K14" s="372" t="n"/>
    </row>
    <row r="15" ht="38.25" customFormat="1" customHeight="1" s="238">
      <c r="A15" s="291" t="n"/>
      <c r="B15" s="291" t="n"/>
      <c r="C15" s="279" t="inlineStr">
        <is>
          <t>Итого по разделу "Затраты труда рабочих-строителей" 
(с коэффициентом на демонтаж 0,7)</t>
        </is>
      </c>
      <c r="D15" s="291" t="inlineStr">
        <is>
          <t>чел.-ч.</t>
        </is>
      </c>
      <c r="E15" s="295" t="n"/>
      <c r="F15" s="296" t="n"/>
      <c r="G15" s="175">
        <f>SUM(G14)*0.7</f>
        <v/>
      </c>
      <c r="H15" s="298" t="n">
        <v>1</v>
      </c>
      <c r="I15" s="162" t="n"/>
      <c r="J15" s="175">
        <f>SUM(J14)*0.7</f>
        <v/>
      </c>
    </row>
    <row r="16" ht="14.25" customFormat="1" customHeight="1" s="238">
      <c r="A16" s="291" t="n"/>
      <c r="B16" s="294" t="inlineStr">
        <is>
          <t>Затраты труда машинистов</t>
        </is>
      </c>
      <c r="C16" s="364" t="n"/>
      <c r="D16" s="364" t="n"/>
      <c r="E16" s="364" t="n"/>
      <c r="F16" s="364" t="n"/>
      <c r="G16" s="364" t="n"/>
      <c r="H16" s="365" t="n"/>
      <c r="I16" s="162" t="n"/>
      <c r="J16" s="162" t="n"/>
    </row>
    <row r="17" ht="14.25" customFormat="1" customHeight="1" s="238">
      <c r="A17" s="291" t="n">
        <v>2</v>
      </c>
      <c r="B17" s="291" t="n">
        <v>2</v>
      </c>
      <c r="C17" s="294" t="inlineStr">
        <is>
          <t>Затраты труда машинистов</t>
        </is>
      </c>
      <c r="D17" s="291" t="inlineStr">
        <is>
          <t>чел.-ч.</t>
        </is>
      </c>
      <c r="E17" s="370">
        <f>Прил.3!F20</f>
        <v/>
      </c>
      <c r="F17" s="175">
        <f>G17/E17</f>
        <v/>
      </c>
      <c r="G17" s="175">
        <f>Прил.3!H19</f>
        <v/>
      </c>
      <c r="H17" s="298" t="n">
        <v>1</v>
      </c>
      <c r="I17" s="175">
        <f>ROUND(F17*Прил.10!D11,2)</f>
        <v/>
      </c>
      <c r="J17" s="175">
        <f>ROUND(I17*E17,2)</f>
        <v/>
      </c>
    </row>
    <row r="18" ht="25.5" customFormat="1" customHeight="1" s="238">
      <c r="A18" s="291" t="n"/>
      <c r="B18" s="291" t="n"/>
      <c r="C18" s="171" t="inlineStr">
        <is>
          <t>Затраты труда машинистов 
(с коэффициентом на демонтаж 0,7)</t>
        </is>
      </c>
      <c r="D18" s="165" t="n"/>
      <c r="E18" s="165" t="n"/>
      <c r="F18" s="165" t="n"/>
      <c r="G18" s="169">
        <f>G17*0.7</f>
        <v/>
      </c>
      <c r="H18" s="167">
        <f>H17</f>
        <v/>
      </c>
      <c r="I18" s="168" t="n"/>
      <c r="J18" s="169">
        <f>J17*0.7</f>
        <v/>
      </c>
    </row>
    <row r="19" ht="14.25" customFormat="1" customHeight="1" s="238">
      <c r="A19" s="291" t="n"/>
      <c r="B19" s="279" t="inlineStr">
        <is>
          <t>Машины и механизмы</t>
        </is>
      </c>
      <c r="C19" s="364" t="n"/>
      <c r="D19" s="364" t="n"/>
      <c r="E19" s="364" t="n"/>
      <c r="F19" s="364" t="n"/>
      <c r="G19" s="364" t="n"/>
      <c r="H19" s="365" t="n"/>
      <c r="I19" s="162" t="n"/>
      <c r="J19" s="162" t="n"/>
    </row>
    <row r="20" ht="14.25" customFormat="1" customHeight="1" s="238">
      <c r="A20" s="291" t="n"/>
      <c r="B20" s="294" t="inlineStr">
        <is>
          <t>Основные машины и механизмы</t>
        </is>
      </c>
      <c r="C20" s="364" t="n"/>
      <c r="D20" s="364" t="n"/>
      <c r="E20" s="364" t="n"/>
      <c r="F20" s="364" t="n"/>
      <c r="G20" s="364" t="n"/>
      <c r="H20" s="365" t="n"/>
      <c r="I20" s="162" t="n"/>
      <c r="J20" s="162" t="n"/>
    </row>
    <row r="21" ht="25.5" customFormat="1" customHeight="1" s="238">
      <c r="A21" s="291" t="n">
        <v>3</v>
      </c>
      <c r="B21" s="200" t="inlineStr">
        <is>
          <t>91.05.05-014</t>
        </is>
      </c>
      <c r="C21" s="294" t="inlineStr">
        <is>
          <t>Краны на автомобильном ходу, грузоподъемность 10 т</t>
        </is>
      </c>
      <c r="D21" s="291" t="inlineStr">
        <is>
          <t>маш.-ч</t>
        </is>
      </c>
      <c r="E21" s="370" t="n">
        <v>14.1335659</v>
      </c>
      <c r="F21" s="296" t="n">
        <v>111.99</v>
      </c>
      <c r="G21" s="175">
        <f>ROUND(E21*F21,2)</f>
        <v/>
      </c>
      <c r="H21" s="297">
        <f>G21/$G$43</f>
        <v/>
      </c>
      <c r="I21" s="175">
        <f>ROUND(F21*Прил.10!$D$12,2)</f>
        <v/>
      </c>
      <c r="J21" s="175">
        <f>ROUND(I21*E21,2)</f>
        <v/>
      </c>
    </row>
    <row r="22" ht="25.5" customFormat="1" customHeight="1" s="238">
      <c r="A22" s="291" t="n">
        <v>4</v>
      </c>
      <c r="B22" s="200" t="inlineStr">
        <is>
          <t>91.06.06-042</t>
        </is>
      </c>
      <c r="C22" s="294" t="inlineStr">
        <is>
          <t>Подъемники гидравлические высотой подъема: 10 м</t>
        </is>
      </c>
      <c r="D22" s="291" t="inlineStr">
        <is>
          <t>маш.-ч</t>
        </is>
      </c>
      <c r="E22" s="370" t="n">
        <v>5.3666613</v>
      </c>
      <c r="F22" s="296" t="n">
        <v>29.6</v>
      </c>
      <c r="G22" s="175">
        <f>ROUND(E22*F22,2)</f>
        <v/>
      </c>
      <c r="H22" s="297">
        <f>G22/$G$43</f>
        <v/>
      </c>
      <c r="I22" s="175">
        <f>ROUND(F22*Прил.10!$D$12,2)</f>
        <v/>
      </c>
      <c r="J22" s="175">
        <f>ROUND(I22*E22,2)</f>
        <v/>
      </c>
    </row>
    <row r="23" ht="25.5" customFormat="1" customHeight="1" s="238">
      <c r="A23" s="291" t="n">
        <v>5</v>
      </c>
      <c r="B23" s="200" t="inlineStr">
        <is>
          <t>91.14.03-002</t>
        </is>
      </c>
      <c r="C23" s="294" t="inlineStr">
        <is>
          <t>Автомобиль-самосвал, грузоподъемность до 10 т</t>
        </is>
      </c>
      <c r="D23" s="291" t="inlineStr">
        <is>
          <t>маш.-ч</t>
        </is>
      </c>
      <c r="E23" s="370" t="n">
        <v>1.7885</v>
      </c>
      <c r="F23" s="296" t="n">
        <v>87.48999999999999</v>
      </c>
      <c r="G23" s="175">
        <f>ROUND(E23*F23,2)</f>
        <v/>
      </c>
      <c r="H23" s="297">
        <f>G23/$G$43</f>
        <v/>
      </c>
      <c r="I23" s="175">
        <f>ROUND(F23*Прил.10!$D$12,2)</f>
        <v/>
      </c>
      <c r="J23" s="175">
        <f>ROUND(I23*E23,2)</f>
        <v/>
      </c>
    </row>
    <row r="24" ht="25.5" customFormat="1" customHeight="1" s="238">
      <c r="A24" s="291" t="n">
        <v>6</v>
      </c>
      <c r="B24" s="200" t="inlineStr">
        <is>
          <t>91.14.02-001</t>
        </is>
      </c>
      <c r="C24" s="294" t="inlineStr">
        <is>
          <t>Автомобили бортовые, грузоподъемность до 5 т</t>
        </is>
      </c>
      <c r="D24" s="291" t="inlineStr">
        <is>
          <t>маш.-ч</t>
        </is>
      </c>
      <c r="E24" s="370" t="n">
        <v>2.28926124</v>
      </c>
      <c r="F24" s="296" t="n">
        <v>65.70999999999999</v>
      </c>
      <c r="G24" s="175">
        <f>ROUND(E24*F24,2)</f>
        <v/>
      </c>
      <c r="H24" s="297">
        <f>G24/$G$43</f>
        <v/>
      </c>
      <c r="I24" s="175">
        <f>ROUND(F24*Прил.10!$D$12,2)</f>
        <v/>
      </c>
      <c r="J24" s="175">
        <f>ROUND(I24*E24,2)</f>
        <v/>
      </c>
    </row>
    <row r="25" ht="25.5" customFormat="1" customHeight="1" s="238">
      <c r="A25" s="291" t="n">
        <v>7</v>
      </c>
      <c r="B25" s="200" t="inlineStr">
        <is>
          <t>91.05.06-012</t>
        </is>
      </c>
      <c r="C25" s="294" t="inlineStr">
        <is>
          <t>Краны на гусеничном ходу, грузоподъемность до 16 т</t>
        </is>
      </c>
      <c r="D25" s="291" t="inlineStr">
        <is>
          <t>маш.-ч</t>
        </is>
      </c>
      <c r="E25" s="370" t="n">
        <v>1.05616</v>
      </c>
      <c r="F25" s="296" t="n">
        <v>96.89</v>
      </c>
      <c r="G25" s="175">
        <f>ROUND(E25*F25,2)</f>
        <v/>
      </c>
      <c r="H25" s="297">
        <f>G25/$G$43</f>
        <v/>
      </c>
      <c r="I25" s="175">
        <f>ROUND(F25*Прил.10!$D$12,2)</f>
        <v/>
      </c>
      <c r="J25" s="175">
        <f>ROUND(I25*E25,2)</f>
        <v/>
      </c>
    </row>
    <row r="26" ht="14.25" customFormat="1" customHeight="1" s="238">
      <c r="A26" s="291" t="n"/>
      <c r="B26" s="291" t="n"/>
      <c r="C26" s="294" t="inlineStr">
        <is>
          <t>Итого основные машины и механизмы</t>
        </is>
      </c>
      <c r="D26" s="291" t="n"/>
      <c r="E26" s="370" t="n"/>
      <c r="F26" s="175" t="n"/>
      <c r="G26" s="175">
        <f>SUM(G21:G25)</f>
        <v/>
      </c>
      <c r="H26" s="298">
        <f>G26/G43</f>
        <v/>
      </c>
      <c r="I26" s="170" t="n"/>
      <c r="J26" s="175">
        <f>SUM(J21:J25)</f>
        <v/>
      </c>
    </row>
    <row r="27" ht="25.5" customFormat="1" customHeight="1" s="238">
      <c r="A27" s="291" t="n"/>
      <c r="B27" s="291" t="n"/>
      <c r="C27" s="171" t="inlineStr">
        <is>
          <t>Итого основные машины и механизмы 
(с коэффициентом на демонтаж 0,7)</t>
        </is>
      </c>
      <c r="D27" s="291" t="n"/>
      <c r="E27" s="373" t="n"/>
      <c r="F27" s="295" t="n"/>
      <c r="G27" s="175">
        <f>G26*0.7</f>
        <v/>
      </c>
      <c r="H27" s="297">
        <f>G27/G44</f>
        <v/>
      </c>
      <c r="I27" s="175" t="n"/>
      <c r="J27" s="175">
        <f>J26*0.7</f>
        <v/>
      </c>
    </row>
    <row r="28" outlineLevel="1" ht="25.5" customFormat="1" customHeight="1" s="238">
      <c r="A28" s="291" t="n">
        <v>8</v>
      </c>
      <c r="B28" s="200" t="inlineStr">
        <is>
          <t>91.14.01-004</t>
        </is>
      </c>
      <c r="C28" s="294" t="inlineStr">
        <is>
          <t>Автобетоносмесители, объем барабана 7 м3</t>
        </is>
      </c>
      <c r="D28" s="291" t="inlineStr">
        <is>
          <t>маш.-ч</t>
        </is>
      </c>
      <c r="E28" s="370" t="n">
        <v>0.540067</v>
      </c>
      <c r="F28" s="296" t="n">
        <v>184.39</v>
      </c>
      <c r="G28" s="175">
        <f>ROUND(E28*F28,2)</f>
        <v/>
      </c>
      <c r="H28" s="297">
        <f>G28/$G$43</f>
        <v/>
      </c>
      <c r="I28" s="175">
        <f>ROUND(F28*Прил.10!$D$12,2)</f>
        <v/>
      </c>
      <c r="J28" s="175">
        <f>ROUND(I28*E28,2)</f>
        <v/>
      </c>
    </row>
    <row r="29" outlineLevel="1" ht="51" customFormat="1" customHeight="1" s="238">
      <c r="A29" s="291" t="n">
        <v>9</v>
      </c>
      <c r="B29" s="200" t="inlineStr">
        <is>
          <t>91.18.01-007</t>
        </is>
      </c>
      <c r="C29" s="29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9" s="291" t="inlineStr">
        <is>
          <t>маш.-ч</t>
        </is>
      </c>
      <c r="E29" s="370" t="n">
        <v>0.87306408</v>
      </c>
      <c r="F29" s="296" t="n">
        <v>90</v>
      </c>
      <c r="G29" s="175">
        <f>ROUND(E29*F29,2)</f>
        <v/>
      </c>
      <c r="H29" s="297">
        <f>G29/$G$43</f>
        <v/>
      </c>
      <c r="I29" s="175">
        <f>ROUND(F29*Прил.10!$D$12,2)</f>
        <v/>
      </c>
      <c r="J29" s="175">
        <f>ROUND(I29*E29,2)</f>
        <v/>
      </c>
    </row>
    <row r="30" outlineLevel="1" ht="38.25" customFormat="1" customHeight="1" s="238">
      <c r="A30" s="291" t="n">
        <v>10</v>
      </c>
      <c r="B30" s="200" t="inlineStr">
        <is>
          <t>91.01.05-086</t>
        </is>
      </c>
      <c r="C30" s="294" t="inlineStr">
        <is>
          <t>Экскаваторы одноковшовые дизельные на гусеничном ходу, емкость ковша 0,65 м3</t>
        </is>
      </c>
      <c r="D30" s="291" t="inlineStr">
        <is>
          <t>маш.-ч</t>
        </is>
      </c>
      <c r="E30" s="370" t="n">
        <v>0.61596</v>
      </c>
      <c r="F30" s="296" t="n">
        <v>115.27</v>
      </c>
      <c r="G30" s="175">
        <f>ROUND(E30*F30,2)</f>
        <v/>
      </c>
      <c r="H30" s="297">
        <f>G30/$G$43</f>
        <v/>
      </c>
      <c r="I30" s="175">
        <f>ROUND(F30*Прил.10!$D$12,2)</f>
        <v/>
      </c>
      <c r="J30" s="175">
        <f>ROUND(I30*E30,2)</f>
        <v/>
      </c>
    </row>
    <row r="31" outlineLevel="1" ht="25.5" customFormat="1" customHeight="1" s="238">
      <c r="A31" s="291" t="n">
        <v>11</v>
      </c>
      <c r="B31" s="200" t="inlineStr">
        <is>
          <t>91.17.04-233</t>
        </is>
      </c>
      <c r="C31" s="294" t="inlineStr">
        <is>
          <t>Установки для сварки ручной дуговой (постоянного тока)</t>
        </is>
      </c>
      <c r="D31" s="291" t="inlineStr">
        <is>
          <t>маш.-ч</t>
        </is>
      </c>
      <c r="E31" s="370" t="n">
        <v>2.9262505</v>
      </c>
      <c r="F31" s="296" t="n">
        <v>8.1</v>
      </c>
      <c r="G31" s="175">
        <f>ROUND(E31*F31,2)</f>
        <v/>
      </c>
      <c r="H31" s="297">
        <f>G31/$G$43</f>
        <v/>
      </c>
      <c r="I31" s="175">
        <f>ROUND(F31*Прил.10!$D$12,2)</f>
        <v/>
      </c>
      <c r="J31" s="175">
        <f>ROUND(I31*E31,2)</f>
        <v/>
      </c>
    </row>
    <row r="32" outlineLevel="1" ht="14.25" customFormat="1" customHeight="1" s="238">
      <c r="A32" s="291" t="n">
        <v>12</v>
      </c>
      <c r="B32" s="200" t="inlineStr">
        <is>
          <t>91.05.01-017</t>
        </is>
      </c>
      <c r="C32" s="294" t="inlineStr">
        <is>
          <t>Краны башенные, грузоподъемность 8 т</t>
        </is>
      </c>
      <c r="D32" s="291" t="inlineStr">
        <is>
          <t>маш.-ч</t>
        </is>
      </c>
      <c r="E32" s="370" t="n">
        <v>0.108</v>
      </c>
      <c r="F32" s="296" t="n">
        <v>86.40000000000001</v>
      </c>
      <c r="G32" s="175">
        <f>ROUND(E32*F32,2)</f>
        <v/>
      </c>
      <c r="H32" s="297">
        <f>G32/$G$43</f>
        <v/>
      </c>
      <c r="I32" s="175">
        <f>ROUND(F32*Прил.10!$D$12,2)</f>
        <v/>
      </c>
      <c r="J32" s="175">
        <f>ROUND(I32*E32,2)</f>
        <v/>
      </c>
    </row>
    <row r="33" outlineLevel="1" ht="14.25" customFormat="1" customHeight="1" s="238">
      <c r="A33" s="291" t="n">
        <v>13</v>
      </c>
      <c r="B33" s="200" t="inlineStr">
        <is>
          <t>91.01.01-036</t>
        </is>
      </c>
      <c r="C33" s="294" t="inlineStr">
        <is>
          <t>Бульдозеры, мощность 96 кВт (130 л.с.)</t>
        </is>
      </c>
      <c r="D33" s="291" t="inlineStr">
        <is>
          <t>маш.-ч</t>
        </is>
      </c>
      <c r="E33" s="370" t="n">
        <v>0.08285820000000001</v>
      </c>
      <c r="F33" s="296" t="n">
        <v>94.05</v>
      </c>
      <c r="G33" s="175">
        <f>ROUND(E33*F33,2)</f>
        <v/>
      </c>
      <c r="H33" s="297">
        <f>G33/$G$43</f>
        <v/>
      </c>
      <c r="I33" s="175">
        <f>ROUND(F33*Прил.10!$D$12,2)</f>
        <v/>
      </c>
      <c r="J33" s="175">
        <f>ROUND(I33*E33,2)</f>
        <v/>
      </c>
    </row>
    <row r="34" outlineLevel="1" ht="25.5" customFormat="1" customHeight="1" s="238">
      <c r="A34" s="291" t="n">
        <v>14</v>
      </c>
      <c r="B34" s="200" t="inlineStr">
        <is>
          <t>91.07.07-012</t>
        </is>
      </c>
      <c r="C34" s="294" t="inlineStr">
        <is>
          <t>Насосы для строительных растворов, производительность 5 м3/час</t>
        </is>
      </c>
      <c r="D34" s="291" t="inlineStr">
        <is>
          <t>маш.-ч</t>
        </is>
      </c>
      <c r="E34" s="370" t="n">
        <v>0.44685</v>
      </c>
      <c r="F34" s="296" t="n">
        <v>7.54</v>
      </c>
      <c r="G34" s="175">
        <f>ROUND(E34*F34,2)</f>
        <v/>
      </c>
      <c r="H34" s="297">
        <f>G34/$G$43</f>
        <v/>
      </c>
      <c r="I34" s="175">
        <f>ROUND(F34*Прил.10!$D$12,2)</f>
        <v/>
      </c>
      <c r="J34" s="175">
        <f>ROUND(I34*E34,2)</f>
        <v/>
      </c>
    </row>
    <row r="35" outlineLevel="1" ht="25.5" customFormat="1" customHeight="1" s="238">
      <c r="A35" s="291" t="n">
        <v>15</v>
      </c>
      <c r="B35" s="200" t="inlineStr">
        <is>
          <t>91.07.08-025</t>
        </is>
      </c>
      <c r="C35" s="294" t="inlineStr">
        <is>
          <t>Растворосмесители передвижные, объем барабана 250 л</t>
        </is>
      </c>
      <c r="D35" s="291" t="inlineStr">
        <is>
          <t>маш.-ч</t>
        </is>
      </c>
      <c r="E35" s="370" t="n">
        <v>0.13455</v>
      </c>
      <c r="F35" s="296" t="n">
        <v>16.31</v>
      </c>
      <c r="G35" s="175">
        <f>ROUND(E35*F35,2)</f>
        <v/>
      </c>
      <c r="H35" s="297">
        <f>G35/$G$43</f>
        <v/>
      </c>
      <c r="I35" s="175">
        <f>ROUND(F35*Прил.10!$D$12,2)</f>
        <v/>
      </c>
      <c r="J35" s="175">
        <f>ROUND(I35*E35,2)</f>
        <v/>
      </c>
    </row>
    <row r="36" outlineLevel="1" ht="14.25" customFormat="1" customHeight="1" s="238">
      <c r="A36" s="291" t="n">
        <v>16</v>
      </c>
      <c r="B36" s="200" t="inlineStr">
        <is>
          <t>91.07.04-001</t>
        </is>
      </c>
      <c r="C36" s="294" t="inlineStr">
        <is>
          <t>Вибратор глубинный</t>
        </is>
      </c>
      <c r="D36" s="291" t="inlineStr">
        <is>
          <t>маш.-ч</t>
        </is>
      </c>
      <c r="E36" s="370" t="n">
        <v>0.87584</v>
      </c>
      <c r="F36" s="296" t="n">
        <v>1.9</v>
      </c>
      <c r="G36" s="175">
        <f>ROUND(E36*F36,2)</f>
        <v/>
      </c>
      <c r="H36" s="297">
        <f>G36/$G$43</f>
        <v/>
      </c>
      <c r="I36" s="175">
        <f>ROUND(F36*Прил.10!$D$12,2)</f>
        <v/>
      </c>
      <c r="J36" s="175">
        <f>ROUND(I36*E36,2)</f>
        <v/>
      </c>
    </row>
    <row r="37" outlineLevel="1" ht="38.25" customFormat="1" customHeight="1" s="238">
      <c r="A37" s="291" t="n">
        <v>17</v>
      </c>
      <c r="B37" s="200" t="inlineStr">
        <is>
          <t>91.06.06-048</t>
        </is>
      </c>
      <c r="C37" s="294" t="inlineStr">
        <is>
          <t>Подъемники одномачтовые, грузоподъемность до 500 кг, высота подъема 45 м</t>
        </is>
      </c>
      <c r="D37" s="291" t="inlineStr">
        <is>
          <t>маш.-ч</t>
        </is>
      </c>
      <c r="E37" s="370" t="n">
        <v>0.0414</v>
      </c>
      <c r="F37" s="296" t="n">
        <v>31.26</v>
      </c>
      <c r="G37" s="175">
        <f>ROUND(E37*F37,2)</f>
        <v/>
      </c>
      <c r="H37" s="297">
        <f>G37/$G$43</f>
        <v/>
      </c>
      <c r="I37" s="175">
        <f>ROUND(F37*Прил.10!$D$12,2)</f>
        <v/>
      </c>
      <c r="J37" s="175">
        <f>ROUND(I37*E37,2)</f>
        <v/>
      </c>
    </row>
    <row r="38" outlineLevel="1" ht="14.25" customFormat="1" customHeight="1" s="238">
      <c r="A38" s="291" t="n">
        <v>18</v>
      </c>
      <c r="B38" s="200" t="inlineStr">
        <is>
          <t>91.06.05-011</t>
        </is>
      </c>
      <c r="C38" s="294" t="inlineStr">
        <is>
          <t>Погрузчик, грузоподъемность 5 т</t>
        </is>
      </c>
      <c r="D38" s="291" t="inlineStr">
        <is>
          <t>маш.-ч</t>
        </is>
      </c>
      <c r="E38" s="370" t="n">
        <v>0.01242</v>
      </c>
      <c r="F38" s="296" t="n">
        <v>89.98999999999999</v>
      </c>
      <c r="G38" s="175">
        <f>ROUND(E38*F38,2)</f>
        <v/>
      </c>
      <c r="H38" s="297">
        <f>G38/$G$43</f>
        <v/>
      </c>
      <c r="I38" s="175">
        <f>ROUND(F38*Прил.10!$D$12,2)</f>
        <v/>
      </c>
      <c r="J38" s="175">
        <f>ROUND(I38*E38,2)</f>
        <v/>
      </c>
    </row>
    <row r="39" outlineLevel="1" ht="25.5" customFormat="1" customHeight="1" s="238">
      <c r="A39" s="291" t="n">
        <v>19</v>
      </c>
      <c r="B39" s="200" t="inlineStr">
        <is>
          <t>91.08.09-023</t>
        </is>
      </c>
      <c r="C39" s="294" t="inlineStr">
        <is>
          <t>Трамбовки пневматические при работе от передвижных компрессорных станций</t>
        </is>
      </c>
      <c r="D39" s="291" t="inlineStr">
        <is>
          <t>маш.-ч</t>
        </is>
      </c>
      <c r="E39" s="370" t="n">
        <v>1.70766036</v>
      </c>
      <c r="F39" s="296" t="n">
        <v>0.55</v>
      </c>
      <c r="G39" s="175">
        <f>ROUND(E39*F39,2)</f>
        <v/>
      </c>
      <c r="H39" s="297">
        <f>G39/$G$43</f>
        <v/>
      </c>
      <c r="I39" s="175">
        <f>ROUND(F39*Прил.10!$D$12,2)</f>
        <v/>
      </c>
      <c r="J39" s="175">
        <f>ROUND(I39*E39,2)</f>
        <v/>
      </c>
    </row>
    <row r="40" outlineLevel="1" ht="14.25" customFormat="1" customHeight="1" s="238">
      <c r="A40" s="291" t="n">
        <v>20</v>
      </c>
      <c r="B40" s="200" t="inlineStr">
        <is>
          <t>91.07.04-002</t>
        </is>
      </c>
      <c r="C40" s="294" t="inlineStr">
        <is>
          <t>Вибратор поверхностный</t>
        </is>
      </c>
      <c r="D40" s="291" t="inlineStr">
        <is>
          <t>маш.-ч</t>
        </is>
      </c>
      <c r="E40" s="370" t="n">
        <v>0.288</v>
      </c>
      <c r="F40" s="296" t="n">
        <v>0.5</v>
      </c>
      <c r="G40" s="175">
        <f>ROUND(E40*F40,2)</f>
        <v/>
      </c>
      <c r="H40" s="297">
        <f>G40/$G$43</f>
        <v/>
      </c>
      <c r="I40" s="175">
        <f>ROUND(F40*Прил.10!$D$12,2)</f>
        <v/>
      </c>
      <c r="J40" s="175">
        <f>ROUND(I40*E40,2)</f>
        <v/>
      </c>
    </row>
    <row r="41" ht="14.25" customFormat="1" customHeight="1" s="238">
      <c r="A41" s="291" t="n"/>
      <c r="B41" s="291" t="n"/>
      <c r="C41" s="294" t="inlineStr">
        <is>
          <t>Итого прочие машины и механизмы</t>
        </is>
      </c>
      <c r="D41" s="291" t="n"/>
      <c r="E41" s="295" t="n"/>
      <c r="F41" s="175" t="n"/>
      <c r="G41" s="170">
        <f>SUM(G28:G40)</f>
        <v/>
      </c>
      <c r="H41" s="297">
        <f>G41/G43</f>
        <v/>
      </c>
      <c r="I41" s="175" t="n"/>
      <c r="J41" s="170">
        <f>SUM(J28:J40)</f>
        <v/>
      </c>
    </row>
    <row r="42" ht="25.5" customFormat="1" customHeight="1" s="238">
      <c r="A42" s="291" t="n"/>
      <c r="B42" s="291" t="n"/>
      <c r="C42" s="171" t="inlineStr">
        <is>
          <t>Итого прочие машины и механизмы 
(с коэффициентом на демонтаж 0,7)</t>
        </is>
      </c>
      <c r="D42" s="291" t="n"/>
      <c r="E42" s="295" t="n"/>
      <c r="F42" s="175" t="n"/>
      <c r="G42" s="175">
        <f>G41*0.7</f>
        <v/>
      </c>
      <c r="H42" s="297">
        <f>G42/G44</f>
        <v/>
      </c>
      <c r="I42" s="175" t="n"/>
      <c r="J42" s="175">
        <f>J41*0.7</f>
        <v/>
      </c>
    </row>
    <row r="43" ht="25.5" customFormat="1" customHeight="1" s="238">
      <c r="A43" s="291" t="n"/>
      <c r="B43" s="291" t="n"/>
      <c r="C43" s="279" t="inlineStr">
        <is>
          <t>Итого по разделу «Машины и механизмы»</t>
        </is>
      </c>
      <c r="D43" s="291" t="n"/>
      <c r="E43" s="295" t="n"/>
      <c r="F43" s="175" t="n"/>
      <c r="G43" s="175">
        <f>G41+G26</f>
        <v/>
      </c>
      <c r="H43" s="186" t="n">
        <v>1</v>
      </c>
      <c r="I43" s="187" t="n"/>
      <c r="J43" s="185">
        <f>J41+J26</f>
        <v/>
      </c>
    </row>
    <row r="44" ht="38.25" customFormat="1" customHeight="1" s="238">
      <c r="A44" s="291" t="n"/>
      <c r="B44" s="291" t="n"/>
      <c r="C44" s="182" t="inlineStr">
        <is>
          <t>Итого по разделу «Машины и механизмы»  
(с коэффициентом на демонтаж 0,7)</t>
        </is>
      </c>
      <c r="D44" s="293" t="n"/>
      <c r="E44" s="184" t="n"/>
      <c r="F44" s="185" t="n"/>
      <c r="G44" s="185">
        <f>G27+G42</f>
        <v/>
      </c>
      <c r="H44" s="186" t="n">
        <v>1</v>
      </c>
      <c r="I44" s="187" t="n"/>
      <c r="J44" s="185">
        <f>J27+J42</f>
        <v/>
      </c>
    </row>
    <row r="45" ht="14.25" customFormat="1" customHeight="1" s="238">
      <c r="A45" s="291" t="n"/>
      <c r="B45" s="279" t="inlineStr">
        <is>
          <t>Оборудование</t>
        </is>
      </c>
      <c r="C45" s="364" t="n"/>
      <c r="D45" s="364" t="n"/>
      <c r="E45" s="364" t="n"/>
      <c r="F45" s="364" t="n"/>
      <c r="G45" s="364" t="n"/>
      <c r="H45" s="365" t="n"/>
      <c r="I45" s="162" t="n"/>
      <c r="J45" s="162" t="n"/>
    </row>
    <row r="46">
      <c r="A46" s="291" t="n"/>
      <c r="B46" s="294" t="inlineStr">
        <is>
          <t>Основное оборудование</t>
        </is>
      </c>
      <c r="C46" s="364" t="n"/>
      <c r="D46" s="364" t="n"/>
      <c r="E46" s="364" t="n"/>
      <c r="F46" s="364" t="n"/>
      <c r="G46" s="364" t="n"/>
      <c r="H46" s="365" t="n"/>
      <c r="I46" s="162" t="n"/>
      <c r="J46" s="162" t="n"/>
    </row>
    <row r="47">
      <c r="A47" s="291" t="n"/>
      <c r="B47" s="291" t="n"/>
      <c r="C47" s="294" t="inlineStr">
        <is>
          <t>Итого основное оборудование</t>
        </is>
      </c>
      <c r="D47" s="291" t="n"/>
      <c r="E47" s="370" t="n"/>
      <c r="F47" s="296" t="n"/>
      <c r="G47" s="175" t="n">
        <v>0</v>
      </c>
      <c r="H47" s="298" t="n">
        <v>0</v>
      </c>
      <c r="I47" s="170" t="n"/>
      <c r="J47" s="175" t="n">
        <v>0</v>
      </c>
    </row>
    <row r="48">
      <c r="A48" s="291" t="n"/>
      <c r="B48" s="291" t="n"/>
      <c r="C48" s="294" t="inlineStr">
        <is>
          <t>Итого прочее оборудование</t>
        </is>
      </c>
      <c r="D48" s="291" t="n"/>
      <c r="E48" s="370" t="n"/>
      <c r="F48" s="296" t="n"/>
      <c r="G48" s="175" t="n">
        <v>0</v>
      </c>
      <c r="H48" s="297" t="n">
        <v>0</v>
      </c>
      <c r="I48" s="170" t="n"/>
      <c r="J48" s="175" t="n">
        <v>0</v>
      </c>
    </row>
    <row r="49">
      <c r="A49" s="291" t="n"/>
      <c r="B49" s="291" t="n"/>
      <c r="C49" s="279" t="inlineStr">
        <is>
          <t>Итого по разделу «Оборудование»</t>
        </is>
      </c>
      <c r="D49" s="291" t="n"/>
      <c r="E49" s="295" t="n"/>
      <c r="F49" s="296" t="n"/>
      <c r="G49" s="175">
        <f>G48+G47</f>
        <v/>
      </c>
      <c r="H49" s="298">
        <f>H48+H47</f>
        <v/>
      </c>
      <c r="I49" s="170" t="n"/>
      <c r="J49" s="175">
        <f>J48+J47</f>
        <v/>
      </c>
    </row>
    <row r="50" ht="25.5" customHeight="1" s="241">
      <c r="A50" s="291" t="n"/>
      <c r="B50" s="291" t="n"/>
      <c r="C50" s="294" t="inlineStr">
        <is>
          <t>в том числе технологическое оборудование</t>
        </is>
      </c>
      <c r="D50" s="291" t="n"/>
      <c r="E50" s="373" t="n"/>
      <c r="F50" s="296" t="n"/>
      <c r="G50" s="175" t="n">
        <v>0</v>
      </c>
      <c r="H50" s="298" t="n"/>
      <c r="I50" s="170" t="n"/>
      <c r="J50" s="175">
        <f>J49</f>
        <v/>
      </c>
    </row>
    <row r="51" ht="14.25" customFormat="1" customHeight="1" s="238">
      <c r="A51" s="291" t="n"/>
      <c r="B51" s="279" t="inlineStr">
        <is>
          <t>Материалы</t>
        </is>
      </c>
      <c r="C51" s="364" t="n"/>
      <c r="D51" s="364" t="n"/>
      <c r="E51" s="364" t="n"/>
      <c r="F51" s="364" t="n"/>
      <c r="G51" s="364" t="n"/>
      <c r="H51" s="365" t="n"/>
      <c r="I51" s="189" t="n"/>
      <c r="J51" s="189" t="n"/>
    </row>
    <row r="52" ht="14.25" customFormat="1" customHeight="1" s="238">
      <c r="A52" s="291" t="n"/>
      <c r="B52" s="294" t="inlineStr">
        <is>
          <t>Основные материалы</t>
        </is>
      </c>
      <c r="C52" s="364" t="n"/>
      <c r="D52" s="364" t="n"/>
      <c r="E52" s="364" t="n"/>
      <c r="F52" s="364" t="n"/>
      <c r="G52" s="364" t="n"/>
      <c r="H52" s="365" t="n"/>
      <c r="I52" s="189" t="n"/>
      <c r="J52" s="189" t="n"/>
    </row>
    <row r="53" ht="14.25" customFormat="1" customHeight="1" s="238">
      <c r="A53" s="291" t="n"/>
      <c r="B53" s="200" t="n"/>
      <c r="C53" s="294" t="inlineStr">
        <is>
          <t>Итого основные материалы</t>
        </is>
      </c>
      <c r="D53" s="291" t="n"/>
      <c r="E53" s="370" t="n"/>
      <c r="F53" s="175" t="n"/>
      <c r="G53" s="175" t="n">
        <v>0</v>
      </c>
      <c r="H53" s="297" t="n">
        <v>0</v>
      </c>
      <c r="I53" s="175" t="n"/>
      <c r="J53" s="175" t="n">
        <v>0</v>
      </c>
    </row>
    <row r="54" ht="14.25" customFormat="1" customHeight="1" s="238">
      <c r="A54" s="291" t="n"/>
      <c r="B54" s="291" t="n"/>
      <c r="C54" s="294" t="inlineStr">
        <is>
          <t>Итого прочие материалы</t>
        </is>
      </c>
      <c r="D54" s="291" t="n"/>
      <c r="E54" s="295" t="n"/>
      <c r="F54" s="296" t="n"/>
      <c r="G54" s="175" t="n">
        <v>0</v>
      </c>
      <c r="H54" s="297" t="n">
        <v>0</v>
      </c>
      <c r="I54" s="175" t="n"/>
      <c r="J54" s="175" t="n">
        <v>0</v>
      </c>
    </row>
    <row r="55" ht="14.25" customFormat="1" customHeight="1" s="238">
      <c r="A55" s="291" t="n"/>
      <c r="B55" s="291" t="n"/>
      <c r="C55" s="279" t="inlineStr">
        <is>
          <t>Итого по разделу «Материалы»</t>
        </is>
      </c>
      <c r="D55" s="291" t="n"/>
      <c r="E55" s="295" t="n"/>
      <c r="F55" s="296" t="n"/>
      <c r="G55" s="175">
        <f>G53+G54</f>
        <v/>
      </c>
      <c r="H55" s="297" t="n">
        <v>0</v>
      </c>
      <c r="I55" s="175" t="n"/>
      <c r="J55" s="175">
        <f>J53+J54</f>
        <v/>
      </c>
    </row>
    <row r="56" ht="14.25" customFormat="1" customHeight="1" s="238">
      <c r="A56" s="291" t="n"/>
      <c r="B56" s="291" t="n"/>
      <c r="C56" s="294" t="inlineStr">
        <is>
          <t>ИТОГО ПО РМ</t>
        </is>
      </c>
      <c r="D56" s="291" t="n"/>
      <c r="E56" s="295" t="n"/>
      <c r="F56" s="296" t="n"/>
      <c r="G56" s="175">
        <f>G14+G43</f>
        <v/>
      </c>
      <c r="H56" s="297" t="n"/>
      <c r="I56" s="175" t="n"/>
      <c r="J56" s="175">
        <f>J14+J43+J55</f>
        <v/>
      </c>
    </row>
    <row r="57" ht="25.5" customFormat="1" customHeight="1" s="238">
      <c r="A57" s="291" t="n"/>
      <c r="B57" s="291" t="n"/>
      <c r="C57" s="294" t="inlineStr">
        <is>
          <t>ИТОГО ПО РМ
(с коэффициентом на демонтаж 0,7)</t>
        </is>
      </c>
      <c r="D57" s="291" t="n"/>
      <c r="E57" s="295" t="n"/>
      <c r="F57" s="296" t="n"/>
      <c r="G57" s="175">
        <f>G15+G44</f>
        <v/>
      </c>
      <c r="H57" s="297" t="n"/>
      <c r="I57" s="175" t="n"/>
      <c r="J57" s="175">
        <f>J14*0.7+J43*0.7+J55</f>
        <v/>
      </c>
    </row>
    <row r="58" ht="14.25" customFormat="1" customHeight="1" s="238">
      <c r="A58" s="291" t="n"/>
      <c r="B58" s="291" t="n"/>
      <c r="C58" s="294" t="inlineStr">
        <is>
          <t>Накладные расходы</t>
        </is>
      </c>
      <c r="D58" s="192">
        <f>ROUND(G58/(G$17+$G$14),2)</f>
        <v/>
      </c>
      <c r="E58" s="295" t="n"/>
      <c r="F58" s="296" t="n"/>
      <c r="G58" s="175" t="n">
        <v>1352</v>
      </c>
      <c r="H58" s="298" t="n"/>
      <c r="I58" s="175" t="n"/>
      <c r="J58" s="175">
        <f>ROUND(D58*(J14+J17),2)</f>
        <v/>
      </c>
    </row>
    <row r="59" ht="25.5" customFormat="1" customHeight="1" s="238">
      <c r="A59" s="291" t="n"/>
      <c r="B59" s="291" t="n"/>
      <c r="C59" s="294" t="inlineStr">
        <is>
          <t>Накладные расходы 
(с коэффициентом на демонтаж 0,7)</t>
        </is>
      </c>
      <c r="D59" s="193">
        <f>ROUND(G59/(G$18+$G$15),2)</f>
        <v/>
      </c>
      <c r="E59" s="295" t="n"/>
      <c r="F59" s="296" t="n"/>
      <c r="G59" s="175">
        <f>G58*0.7</f>
        <v/>
      </c>
      <c r="H59" s="298" t="n"/>
      <c r="I59" s="175" t="n"/>
      <c r="J59" s="175">
        <f>ROUND(D59*(J15+J18),2)</f>
        <v/>
      </c>
    </row>
    <row r="60" ht="14.25" customFormat="1" customHeight="1" s="238">
      <c r="A60" s="291" t="n"/>
      <c r="B60" s="291" t="n"/>
      <c r="C60" s="294" t="inlineStr">
        <is>
          <t>Сметная прибыль</t>
        </is>
      </c>
      <c r="D60" s="192">
        <f>ROUND(G60/(G$14+G$17),2)</f>
        <v/>
      </c>
      <c r="E60" s="295" t="n"/>
      <c r="F60" s="296" t="n"/>
      <c r="G60" s="175" t="n">
        <v>896</v>
      </c>
      <c r="H60" s="298" t="n"/>
      <c r="I60" s="175" t="n"/>
      <c r="J60" s="175">
        <f>ROUND(D60*(J14+J17),2)</f>
        <v/>
      </c>
    </row>
    <row r="61" ht="25.5" customFormat="1" customHeight="1" s="238">
      <c r="A61" s="291" t="n"/>
      <c r="B61" s="291" t="n"/>
      <c r="C61" s="294" t="inlineStr">
        <is>
          <t>Сметная прибыль 
(с коэффициентом на демонтаж 0,7)</t>
        </is>
      </c>
      <c r="D61" s="193">
        <f>ROUND(G61/(G$15+G$18),2)</f>
        <v/>
      </c>
      <c r="E61" s="295" t="n"/>
      <c r="F61" s="296" t="n"/>
      <c r="G61" s="175">
        <f>G60*0.7</f>
        <v/>
      </c>
      <c r="H61" s="298" t="n"/>
      <c r="I61" s="175" t="n"/>
      <c r="J61" s="175">
        <f>ROUND(D61*(J15+J18),2)</f>
        <v/>
      </c>
    </row>
    <row r="62" ht="25.5" customFormat="1" customHeight="1" s="238">
      <c r="A62" s="291" t="n"/>
      <c r="B62" s="291" t="n"/>
      <c r="C62" s="294" t="inlineStr">
        <is>
          <t>Итого СМР (с НР и СП) 
(с коэффициентом на демонтаж 0,7)</t>
        </is>
      </c>
      <c r="D62" s="291" t="n"/>
      <c r="E62" s="295" t="n"/>
      <c r="F62" s="296" t="n"/>
      <c r="G62" s="175">
        <f>G57+G59+G61</f>
        <v/>
      </c>
      <c r="H62" s="298" t="n"/>
      <c r="I62" s="175" t="n"/>
      <c r="J62" s="175">
        <f>ROUND((J57+J59+J61),2)</f>
        <v/>
      </c>
    </row>
    <row r="63" ht="25.5" customFormat="1" customHeight="1" s="238">
      <c r="A63" s="291" t="n"/>
      <c r="B63" s="291" t="n"/>
      <c r="C63" s="294" t="inlineStr">
        <is>
          <t>ВСЕГО СМР + ОБОРУДОВАНИЕ 
(с коэффициентом на демонтаж 0,7)</t>
        </is>
      </c>
      <c r="D63" s="291" t="n"/>
      <c r="E63" s="295" t="n"/>
      <c r="F63" s="296" t="n"/>
      <c r="G63" s="175">
        <f>G62</f>
        <v/>
      </c>
      <c r="H63" s="298" t="n"/>
      <c r="I63" s="175" t="n"/>
      <c r="J63" s="175">
        <f>J62</f>
        <v/>
      </c>
    </row>
    <row r="64" ht="34.5" customFormat="1" customHeight="1" s="238">
      <c r="A64" s="291" t="n"/>
      <c r="B64" s="291" t="n"/>
      <c r="C64" s="294" t="inlineStr">
        <is>
          <t>ИТОГО ПОКАЗАТЕЛЬ НА ЕД. ИЗМ.</t>
        </is>
      </c>
      <c r="D64" s="291" t="inlineStr">
        <is>
          <t>1 ед.</t>
        </is>
      </c>
      <c r="E64" s="295" t="n">
        <v>1</v>
      </c>
      <c r="F64" s="296" t="n"/>
      <c r="G64" s="175">
        <f>G63/E64</f>
        <v/>
      </c>
      <c r="H64" s="298" t="n"/>
      <c r="I64" s="175" t="n"/>
      <c r="J64" s="185">
        <f>J63/E64</f>
        <v/>
      </c>
    </row>
    <row r="66" ht="14.25" customFormat="1" customHeight="1" s="238">
      <c r="A66" s="240" t="inlineStr">
        <is>
          <t>Составил ______________________     Д.Ю. Нефедова</t>
        </is>
      </c>
    </row>
    <row r="67" ht="14.25" customFormat="1" customHeight="1" s="238">
      <c r="A67" s="237" t="inlineStr">
        <is>
          <t xml:space="preserve">                         (подпись, инициалы, фамилия)</t>
        </is>
      </c>
    </row>
    <row r="68" ht="14.25" customFormat="1" customHeight="1" s="238">
      <c r="A68" s="240" t="n"/>
    </row>
    <row r="69" ht="14.25" customFormat="1" customHeight="1" s="238">
      <c r="A69" s="240" t="inlineStr">
        <is>
          <t>Проверил ______________________        А.В. Костянецкая</t>
        </is>
      </c>
    </row>
    <row r="70" ht="14.25" customFormat="1" customHeight="1" s="238">
      <c r="A70" s="23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51:H51"/>
    <mergeCell ref="B20:H20"/>
    <mergeCell ref="B45:H45"/>
    <mergeCell ref="C9:C10"/>
    <mergeCell ref="E9:E10"/>
    <mergeCell ref="A7:H7"/>
    <mergeCell ref="B16:H16"/>
    <mergeCell ref="B46:H46"/>
    <mergeCell ref="B9:B10"/>
    <mergeCell ref="D9:D10"/>
    <mergeCell ref="B52:H52"/>
    <mergeCell ref="B12:H12"/>
    <mergeCell ref="D6:J6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  <rowBreaks count="1" manualBreakCount="1">
    <brk id="5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1" min="1" max="1"/>
    <col width="17.5703125" customWidth="1" style="241" min="2" max="2"/>
    <col width="39.140625" customWidth="1" style="241" min="3" max="3"/>
    <col width="10.7109375" customWidth="1" style="310" min="4" max="4"/>
    <col width="13.85546875" customWidth="1" style="241" min="5" max="5"/>
    <col width="13.28515625" customWidth="1" style="241" min="6" max="6"/>
    <col width="14.140625" customWidth="1" style="241" min="7" max="7"/>
  </cols>
  <sheetData>
    <row r="1">
      <c r="A1" s="304" t="inlineStr">
        <is>
          <t>Приложение №6</t>
        </is>
      </c>
    </row>
    <row r="2" ht="21.75" customHeight="1" s="241">
      <c r="A2" s="304" t="n"/>
      <c r="B2" s="304" t="n"/>
      <c r="C2" s="304" t="n"/>
      <c r="D2" s="312" t="n"/>
      <c r="E2" s="304" t="n"/>
      <c r="F2" s="304" t="n"/>
      <c r="G2" s="304" t="n"/>
    </row>
    <row r="3">
      <c r="A3" s="259" t="inlineStr">
        <is>
          <t>Расчет стоимости оборудования</t>
        </is>
      </c>
    </row>
    <row r="4" ht="25.5" customHeight="1" s="241">
      <c r="A4" s="262" t="inlineStr">
        <is>
          <t>Наименование разрабатываемого показателя УНЦ — Демонтаж однополюсного разъединителя 330 кВ</t>
        </is>
      </c>
    </row>
    <row r="5">
      <c r="A5" s="240" t="n"/>
      <c r="B5" s="240" t="n"/>
      <c r="C5" s="240" t="n"/>
      <c r="D5" s="312" t="n"/>
      <c r="E5" s="240" t="n"/>
      <c r="F5" s="240" t="n"/>
      <c r="G5" s="240" t="n"/>
    </row>
    <row r="6" ht="30" customHeight="1" s="241">
      <c r="A6" s="309" t="inlineStr">
        <is>
          <t>№ пп.</t>
        </is>
      </c>
      <c r="B6" s="309" t="inlineStr">
        <is>
          <t>Код ресурса</t>
        </is>
      </c>
      <c r="C6" s="309" t="inlineStr">
        <is>
          <t>Наименование</t>
        </is>
      </c>
      <c r="D6" s="309" t="inlineStr">
        <is>
          <t>Ед. изм.</t>
        </is>
      </c>
      <c r="E6" s="291" t="inlineStr">
        <is>
          <t>Кол-во единиц по проектным данным</t>
        </is>
      </c>
      <c r="F6" s="309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91" t="inlineStr">
        <is>
          <t>на ед. изм.</t>
        </is>
      </c>
      <c r="G7" s="291" t="inlineStr">
        <is>
          <t>общая</t>
        </is>
      </c>
    </row>
    <row r="8">
      <c r="A8" s="291" t="n">
        <v>1</v>
      </c>
      <c r="B8" s="291" t="n">
        <v>2</v>
      </c>
      <c r="C8" s="291" t="n">
        <v>3</v>
      </c>
      <c r="D8" s="291" t="n">
        <v>4</v>
      </c>
      <c r="E8" s="291" t="n">
        <v>5</v>
      </c>
      <c r="F8" s="291" t="n">
        <v>6</v>
      </c>
      <c r="G8" s="291" t="n">
        <v>7</v>
      </c>
    </row>
    <row r="9" ht="15" customHeight="1" s="241">
      <c r="A9" s="24" t="n"/>
      <c r="B9" s="294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41">
      <c r="A10" s="291" t="n"/>
      <c r="B10" s="279" t="n"/>
      <c r="C10" s="294" t="inlineStr">
        <is>
          <t>ИТОГО ИНЖЕНЕРНОЕ ОБОРУДОВАНИЕ</t>
        </is>
      </c>
      <c r="D10" s="299" t="n"/>
      <c r="E10" s="206" t="n"/>
      <c r="F10" s="296" t="n"/>
      <c r="G10" s="296" t="n">
        <v>0</v>
      </c>
    </row>
    <row r="11">
      <c r="A11" s="291" t="n"/>
      <c r="B11" s="294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25.5" customHeight="1" s="241">
      <c r="A12" s="291" t="n"/>
      <c r="B12" s="294" t="n"/>
      <c r="C12" s="294" t="inlineStr">
        <is>
          <t>ИТОГО ТЕХНОЛОГИЧЕСКОЕ ОБОРУДОВАНИЕ</t>
        </is>
      </c>
      <c r="D12" s="291" t="n"/>
      <c r="E12" s="308" t="n"/>
      <c r="F12" s="296" t="n"/>
      <c r="G12" s="175" t="n">
        <v>0</v>
      </c>
    </row>
    <row r="13" ht="19.5" customHeight="1" s="241">
      <c r="A13" s="291" t="n"/>
      <c r="B13" s="294" t="n"/>
      <c r="C13" s="294" t="inlineStr">
        <is>
          <t>Всего по разделу «Оборудование»</t>
        </is>
      </c>
      <c r="D13" s="291" t="n"/>
      <c r="E13" s="308" t="n"/>
      <c r="F13" s="296" t="n"/>
      <c r="G13" s="175">
        <f>G10+G12</f>
        <v/>
      </c>
    </row>
    <row r="14">
      <c r="A14" s="239" t="n"/>
      <c r="B14" s="235" t="n"/>
      <c r="C14" s="239" t="n"/>
      <c r="D14" s="208" t="n"/>
      <c r="E14" s="239" t="n"/>
      <c r="F14" s="239" t="n"/>
      <c r="G14" s="239" t="n"/>
    </row>
    <row r="15">
      <c r="A15" s="355" t="inlineStr">
        <is>
          <t>Составил ______________________    Д.Ю. Нефедова</t>
        </is>
      </c>
      <c r="B15" s="238" t="n"/>
      <c r="C15" s="238" t="n"/>
      <c r="D15" s="208" t="n"/>
      <c r="E15" s="239" t="n"/>
      <c r="F15" s="239" t="n"/>
      <c r="G15" s="239" t="n"/>
    </row>
    <row r="16">
      <c r="A16" s="237" t="inlineStr">
        <is>
          <t xml:space="preserve">                         (подпись, инициалы, фамилия)</t>
        </is>
      </c>
      <c r="B16" s="238" t="n"/>
      <c r="C16" s="238" t="n"/>
      <c r="D16" s="208" t="n"/>
      <c r="E16" s="239" t="n"/>
      <c r="F16" s="239" t="n"/>
      <c r="G16" s="239" t="n"/>
    </row>
    <row r="17">
      <c r="A17" s="240" t="n"/>
      <c r="B17" s="238" t="n"/>
      <c r="C17" s="238" t="n"/>
      <c r="D17" s="208" t="n"/>
      <c r="E17" s="239" t="n"/>
      <c r="F17" s="239" t="n"/>
      <c r="G17" s="239" t="n"/>
    </row>
    <row r="18">
      <c r="A18" s="240" t="inlineStr">
        <is>
          <t>Проверил ______________________        А.В. Костянецкая</t>
        </is>
      </c>
      <c r="B18" s="238" t="n"/>
      <c r="C18" s="238" t="n"/>
      <c r="D18" s="208" t="n"/>
      <c r="E18" s="239" t="n"/>
      <c r="F18" s="239" t="n"/>
      <c r="G18" s="239" t="n"/>
    </row>
    <row r="19">
      <c r="A19" s="237" t="inlineStr">
        <is>
          <t xml:space="preserve">                        (подпись, инициалы, фамилия)</t>
        </is>
      </c>
      <c r="B19" s="238" t="n"/>
      <c r="C19" s="238" t="n"/>
      <c r="D19" s="208" t="n"/>
      <c r="E19" s="239" t="n"/>
      <c r="F19" s="239" t="n"/>
      <c r="G19" s="2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41" min="1" max="1"/>
    <col width="29.7109375" customWidth="1" style="241" min="2" max="2"/>
    <col width="38.140625" customWidth="1" style="241" min="3" max="3"/>
    <col width="32.28515625" customWidth="1" style="241" min="4" max="4"/>
  </cols>
  <sheetData>
    <row r="1">
      <c r="B1" s="240" t="n"/>
      <c r="C1" s="240" t="n"/>
      <c r="D1" s="304" t="inlineStr">
        <is>
          <t>Приложение №7</t>
        </is>
      </c>
    </row>
    <row r="2">
      <c r="A2" s="304" t="n"/>
      <c r="B2" s="304" t="n"/>
      <c r="C2" s="304" t="n"/>
      <c r="D2" s="304" t="n"/>
    </row>
    <row r="3" ht="24.75" customHeight="1" s="241">
      <c r="A3" s="259" t="inlineStr">
        <is>
          <t>Расчет показателя УНЦ</t>
        </is>
      </c>
    </row>
    <row r="4" ht="24.75" customHeight="1" s="241">
      <c r="A4" s="259" t="n"/>
      <c r="B4" s="259" t="n"/>
      <c r="C4" s="259" t="n"/>
      <c r="D4" s="259" t="n"/>
    </row>
    <row r="5" ht="49.5" customHeight="1" s="24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9.9" customHeight="1" s="241">
      <c r="A6" s="262" t="inlineStr">
        <is>
          <t>Единица измерения  — 1 ед.</t>
        </is>
      </c>
      <c r="D6" s="262" t="n"/>
    </row>
    <row r="7">
      <c r="A7" s="240" t="n"/>
      <c r="B7" s="240" t="n"/>
      <c r="C7" s="240" t="n"/>
      <c r="D7" s="240" t="n"/>
    </row>
    <row r="8" ht="14.45" customHeight="1" s="241">
      <c r="A8" s="273" t="inlineStr">
        <is>
          <t>Код показателя</t>
        </is>
      </c>
      <c r="B8" s="273" t="inlineStr">
        <is>
          <t>Наименование показателя</t>
        </is>
      </c>
      <c r="C8" s="273" t="inlineStr">
        <is>
          <t>Наименование РМ, входящих в состав показателя</t>
        </is>
      </c>
      <c r="D8" s="273" t="inlineStr">
        <is>
          <t>Норматив цены на 01.01.2023, тыс.руб.</t>
        </is>
      </c>
    </row>
    <row r="9" ht="15" customHeight="1" s="241">
      <c r="A9" s="367" t="n"/>
      <c r="B9" s="367" t="n"/>
      <c r="C9" s="367" t="n"/>
      <c r="D9" s="367" t="n"/>
    </row>
    <row r="10">
      <c r="A10" s="291" t="n">
        <v>1</v>
      </c>
      <c r="B10" s="291" t="n">
        <v>2</v>
      </c>
      <c r="C10" s="291" t="n">
        <v>3</v>
      </c>
      <c r="D10" s="291" t="n">
        <v>4</v>
      </c>
    </row>
    <row r="11" ht="41.45" customHeight="1" s="241">
      <c r="A11" s="291" t="inlineStr">
        <is>
          <t>М6-12-5</t>
        </is>
      </c>
      <c r="B11" s="291" t="inlineStr">
        <is>
          <t>УНЦ на демонтажные работы ПС</t>
        </is>
      </c>
      <c r="C11" s="231" t="inlineStr">
        <is>
          <t>Демонтаж однополюсного разъединителя 330 кВ</t>
        </is>
      </c>
      <c r="D11" s="232">
        <f>'Прил.4 РМ'!C41/1000</f>
        <v/>
      </c>
      <c r="E11" s="233" t="n"/>
    </row>
    <row r="12">
      <c r="A12" s="239" t="n"/>
      <c r="B12" s="235" t="n"/>
      <c r="C12" s="239" t="n"/>
      <c r="D12" s="239" t="n"/>
    </row>
    <row r="13">
      <c r="A13" s="240" t="inlineStr">
        <is>
          <t>Составил ______________________      Д.Ю. Нефедова</t>
        </is>
      </c>
      <c r="B13" s="238" t="n"/>
      <c r="C13" s="238" t="n"/>
      <c r="D13" s="239" t="n"/>
    </row>
    <row r="14">
      <c r="A14" s="237" t="inlineStr">
        <is>
          <t xml:space="preserve">                         (подпись, инициалы, фамилия)</t>
        </is>
      </c>
      <c r="B14" s="238" t="n"/>
      <c r="C14" s="238" t="n"/>
      <c r="D14" s="239" t="n"/>
    </row>
    <row r="15">
      <c r="A15" s="240" t="n"/>
      <c r="B15" s="238" t="n"/>
      <c r="C15" s="238" t="n"/>
      <c r="D15" s="239" t="n"/>
    </row>
    <row r="16">
      <c r="A16" s="240" t="inlineStr">
        <is>
          <t>Проверил ______________________        А.В. Костянецкая</t>
        </is>
      </c>
      <c r="B16" s="238" t="n"/>
      <c r="C16" s="238" t="n"/>
      <c r="D16" s="239" t="n"/>
    </row>
    <row r="17">
      <c r="A17" s="237" t="inlineStr">
        <is>
          <t xml:space="preserve">                        (подпись, инициалы, фамилия)</t>
        </is>
      </c>
      <c r="B17" s="238" t="n"/>
      <c r="C17" s="238" t="n"/>
      <c r="D17" s="23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1" min="2" max="2"/>
    <col width="37" customWidth="1" style="241" min="3" max="3"/>
    <col width="32" customWidth="1" style="241" min="4" max="4"/>
  </cols>
  <sheetData>
    <row r="4" ht="15.75" customHeight="1" s="241">
      <c r="B4" s="266" t="inlineStr">
        <is>
          <t>Приложение № 10</t>
        </is>
      </c>
    </row>
    <row r="5" ht="18.75" customHeight="1" s="241">
      <c r="B5" s="111" t="n"/>
    </row>
    <row r="6" ht="15.75" customHeight="1" s="241">
      <c r="B6" s="267" t="inlineStr">
        <is>
          <t>Используемые индексы изменений сметной стоимости и нормы сопутствующих затрат</t>
        </is>
      </c>
    </row>
    <row r="7">
      <c r="B7" s="310" t="n"/>
    </row>
    <row r="8">
      <c r="B8" s="310" t="n"/>
      <c r="C8" s="310" t="n"/>
      <c r="D8" s="310" t="n"/>
      <c r="E8" s="310" t="n"/>
    </row>
    <row r="9" ht="47.25" customHeight="1" s="241">
      <c r="B9" s="273" t="inlineStr">
        <is>
          <t>Наименование индекса / норм сопутствующих затрат</t>
        </is>
      </c>
      <c r="C9" s="273" t="inlineStr">
        <is>
          <t>Дата применения и обоснование индекса / норм сопутствующих затрат</t>
        </is>
      </c>
      <c r="D9" s="273" t="inlineStr">
        <is>
          <t>Размер индекса / норма сопутствующих затрат</t>
        </is>
      </c>
    </row>
    <row r="10" ht="15.75" customHeight="1" s="241">
      <c r="B10" s="273" t="n">
        <v>1</v>
      </c>
      <c r="C10" s="273" t="n">
        <v>2</v>
      </c>
      <c r="D10" s="273" t="n">
        <v>3</v>
      </c>
    </row>
    <row r="11" ht="45" customHeight="1" s="241">
      <c r="B11" s="273" t="inlineStr">
        <is>
          <t xml:space="preserve">Индекс изменения сметной стоимости на 1 квартал 2023 года. ОЗП </t>
        </is>
      </c>
      <c r="C11" s="273" t="inlineStr">
        <is>
          <t>Письмо Минстроя России от 30.03.2023г. №17106-ИФ/09  прил.1</t>
        </is>
      </c>
      <c r="D11" s="273" t="n">
        <v>44.29</v>
      </c>
    </row>
    <row r="12" ht="29.25" customHeight="1" s="241">
      <c r="B12" s="273" t="inlineStr">
        <is>
          <t>Индекс изменения сметной стоимости на 1 квартал 2023 года. ЭМ</t>
        </is>
      </c>
      <c r="C12" s="273" t="inlineStr">
        <is>
          <t>Письмо Минстроя России от 30.03.2023г. №17106-ИФ/09  прил.1</t>
        </is>
      </c>
      <c r="D12" s="273" t="n">
        <v>13.47</v>
      </c>
    </row>
    <row r="13" ht="29.25" customHeight="1" s="241">
      <c r="B13" s="273" t="inlineStr">
        <is>
          <t>Индекс изменения сметной стоимости на 1 квартал 2023 года. МАТ</t>
        </is>
      </c>
      <c r="C13" s="273" t="inlineStr">
        <is>
          <t>Письмо Минстроя России от 30.03.2023г. №17106-ИФ/09  прил.1</t>
        </is>
      </c>
      <c r="D13" s="273" t="n">
        <v>8.039999999999999</v>
      </c>
    </row>
    <row r="14" ht="30.75" customHeight="1" s="241">
      <c r="B14" s="273" t="inlineStr">
        <is>
          <t>Индекс изменения сметной стоимости на 1 квартал 2023 года. ОБ</t>
        </is>
      </c>
      <c r="C14" s="110" t="inlineStr">
        <is>
          <t>Письмо Минстроя России от 23.02.2023г. №9791-ИФ/09 прил.6</t>
        </is>
      </c>
      <c r="D14" s="273" t="n">
        <v>6.26</v>
      </c>
    </row>
    <row r="15" ht="89.25" customHeight="1" s="241">
      <c r="B15" s="273" t="inlineStr">
        <is>
          <t>Временные здания и сооружения</t>
        </is>
      </c>
      <c r="C15" s="2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4" t="n">
        <v>0.039</v>
      </c>
    </row>
    <row r="16" ht="78.75" customHeight="1" s="241">
      <c r="B16" s="273" t="inlineStr">
        <is>
          <t>Дополнительные затраты при производстве строительно-монтажных работ в зимнее время</t>
        </is>
      </c>
      <c r="C16" s="2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4" t="n">
        <v>0.021</v>
      </c>
    </row>
    <row r="17" ht="31.5" customHeight="1" s="241">
      <c r="B17" s="273" t="inlineStr">
        <is>
          <t>Строительный контроль</t>
        </is>
      </c>
      <c r="C17" s="273" t="inlineStr">
        <is>
          <t>Постановление Правительства РФ от 21.06.10 г. № 468</t>
        </is>
      </c>
      <c r="D17" s="114" t="n">
        <v>0.0214</v>
      </c>
    </row>
    <row r="18" ht="31.5" customHeight="1" s="241">
      <c r="B18" s="273" t="inlineStr">
        <is>
          <t>Авторский надзор - 0,2%</t>
        </is>
      </c>
      <c r="C18" s="273" t="inlineStr">
        <is>
          <t>Приказ от 4.08.2020 № 421/пр п.173</t>
        </is>
      </c>
      <c r="D18" s="114" t="n">
        <v>0.002</v>
      </c>
    </row>
    <row r="19" ht="24" customHeight="1" s="241">
      <c r="B19" s="273" t="inlineStr">
        <is>
          <t>Непредвиденные расходы</t>
        </is>
      </c>
      <c r="C19" s="273" t="inlineStr">
        <is>
          <t>Приказ от 4.08.2020 № 421/пр п.179</t>
        </is>
      </c>
      <c r="D19" s="114" t="n">
        <v>0.03</v>
      </c>
    </row>
    <row r="20" ht="18.75" customHeight="1" s="241">
      <c r="B20" s="112" t="n"/>
    </row>
    <row r="21" ht="18.75" customHeight="1" s="241">
      <c r="B21" s="112" t="n"/>
    </row>
    <row r="22" ht="18.75" customHeight="1" s="241">
      <c r="B22" s="112" t="n"/>
    </row>
    <row r="23" ht="18.75" customHeight="1" s="241">
      <c r="B23" s="112" t="n"/>
    </row>
    <row r="26">
      <c r="B26" s="240" t="inlineStr">
        <is>
          <t>Составил ______________________        Д.Ю. Нефедова</t>
        </is>
      </c>
      <c r="C26" s="238" t="n"/>
    </row>
    <row r="27">
      <c r="B27" s="237" t="inlineStr">
        <is>
          <t xml:space="preserve">                         (подпись, инициалы, фамилия)</t>
        </is>
      </c>
      <c r="C27" s="238" t="n"/>
    </row>
    <row r="28">
      <c r="B28" s="240" t="n"/>
      <c r="C28" s="238" t="n"/>
    </row>
    <row r="29">
      <c r="B29" s="240" t="inlineStr">
        <is>
          <t>Проверил ______________________        А.В. Костянецкая</t>
        </is>
      </c>
      <c r="C29" s="238" t="n"/>
    </row>
    <row r="30">
      <c r="B30" s="237" t="inlineStr">
        <is>
          <t xml:space="preserve">                        (подпись, инициалы, фамилия)</t>
        </is>
      </c>
      <c r="C30" s="2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1" min="2" max="2"/>
    <col width="13" customWidth="1" style="241" min="3" max="3"/>
    <col width="22.85546875" customWidth="1" style="241" min="4" max="4"/>
    <col width="21.5703125" customWidth="1" style="241" min="5" max="5"/>
    <col width="43.85546875" customWidth="1" style="241" min="6" max="6"/>
  </cols>
  <sheetData>
    <row r="1" s="241"/>
    <row r="2" ht="17.25" customHeight="1" s="241">
      <c r="A2" s="267" t="inlineStr">
        <is>
          <t>Расчет размера средств на оплату труда рабочих-строителей в текущем уровне цен (ФОТр.тек.)</t>
        </is>
      </c>
    </row>
    <row r="3" s="241"/>
    <row r="4" ht="18" customHeight="1" s="241">
      <c r="A4" s="242" t="inlineStr">
        <is>
          <t>Составлен в уровне цен на 01.01.2023 г.</t>
        </is>
      </c>
      <c r="B4" s="243" t="n"/>
      <c r="C4" s="243" t="n"/>
      <c r="D4" s="243" t="n"/>
      <c r="E4" s="243" t="n"/>
      <c r="F4" s="243" t="n"/>
      <c r="G4" s="243" t="n"/>
    </row>
    <row r="5" ht="15.75" customHeight="1" s="241">
      <c r="A5" s="244" t="inlineStr">
        <is>
          <t>№ пп.</t>
        </is>
      </c>
      <c r="B5" s="244" t="inlineStr">
        <is>
          <t>Наименование элемента</t>
        </is>
      </c>
      <c r="C5" s="244" t="inlineStr">
        <is>
          <t>Обозначение</t>
        </is>
      </c>
      <c r="D5" s="244" t="inlineStr">
        <is>
          <t>Формула</t>
        </is>
      </c>
      <c r="E5" s="244" t="inlineStr">
        <is>
          <t>Величина элемента</t>
        </is>
      </c>
      <c r="F5" s="244" t="inlineStr">
        <is>
          <t>Наименования обосновывающих документов</t>
        </is>
      </c>
      <c r="G5" s="243" t="n"/>
    </row>
    <row r="6" ht="15.75" customHeight="1" s="241">
      <c r="A6" s="244" t="n">
        <v>1</v>
      </c>
      <c r="B6" s="244" t="n">
        <v>2</v>
      </c>
      <c r="C6" s="244" t="n">
        <v>3</v>
      </c>
      <c r="D6" s="244" t="n">
        <v>4</v>
      </c>
      <c r="E6" s="244" t="n">
        <v>5</v>
      </c>
      <c r="F6" s="244" t="n">
        <v>6</v>
      </c>
      <c r="G6" s="243" t="n"/>
    </row>
    <row r="7" ht="110.25" customHeight="1" s="241">
      <c r="A7" s="245" t="inlineStr">
        <is>
          <t>1.1</t>
        </is>
      </c>
      <c r="B7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3" t="inlineStr">
        <is>
          <t>С1ср</t>
        </is>
      </c>
      <c r="D7" s="273" t="inlineStr">
        <is>
          <t>-</t>
        </is>
      </c>
      <c r="E7" s="248" t="n">
        <v>47872.94</v>
      </c>
      <c r="F7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3" t="n"/>
    </row>
    <row r="8" ht="31.5" customHeight="1" s="241">
      <c r="A8" s="245" t="inlineStr">
        <is>
          <t>1.2</t>
        </is>
      </c>
      <c r="B8" s="250" t="inlineStr">
        <is>
          <t>Среднегодовое нормативное число часов работы одного рабочего в месяц, часы (ч.)</t>
        </is>
      </c>
      <c r="C8" s="273" t="inlineStr">
        <is>
          <t>tср</t>
        </is>
      </c>
      <c r="D8" s="273" t="inlineStr">
        <is>
          <t>1973ч/12мес.</t>
        </is>
      </c>
      <c r="E8" s="249">
        <f>1973/12</f>
        <v/>
      </c>
      <c r="F8" s="250" t="inlineStr">
        <is>
          <t>Производственный календарь 2023 год
(40-часов.неделя)</t>
        </is>
      </c>
      <c r="G8" s="252" t="n"/>
    </row>
    <row r="9" ht="15.75" customHeight="1" s="241">
      <c r="A9" s="245" t="inlineStr">
        <is>
          <t>1.3</t>
        </is>
      </c>
      <c r="B9" s="250" t="inlineStr">
        <is>
          <t>Коэффициент увеличения</t>
        </is>
      </c>
      <c r="C9" s="273" t="inlineStr">
        <is>
          <t>Кув</t>
        </is>
      </c>
      <c r="D9" s="273" t="inlineStr">
        <is>
          <t>-</t>
        </is>
      </c>
      <c r="E9" s="249" t="n">
        <v>1</v>
      </c>
      <c r="F9" s="250" t="n"/>
      <c r="G9" s="252" t="n"/>
    </row>
    <row r="10" ht="15.75" customHeight="1" s="241">
      <c r="A10" s="245" t="inlineStr">
        <is>
          <t>1.4</t>
        </is>
      </c>
      <c r="B10" s="250" t="inlineStr">
        <is>
          <t>Средний разряд работ</t>
        </is>
      </c>
      <c r="C10" s="273" t="n"/>
      <c r="D10" s="273" t="n"/>
      <c r="E10" s="253" t="n">
        <v>3.7</v>
      </c>
      <c r="F10" s="250" t="inlineStr">
        <is>
          <t>РТМ</t>
        </is>
      </c>
      <c r="G10" s="252" t="n"/>
    </row>
    <row r="11" ht="78.75" customHeight="1" s="241">
      <c r="A11" s="245" t="inlineStr">
        <is>
          <t>1.5</t>
        </is>
      </c>
      <c r="B11" s="250" t="inlineStr">
        <is>
          <t>Тарифный коэффициент среднего разряда работ</t>
        </is>
      </c>
      <c r="C11" s="273" t="inlineStr">
        <is>
          <t>КТ</t>
        </is>
      </c>
      <c r="D11" s="273" t="inlineStr">
        <is>
          <t>-</t>
        </is>
      </c>
      <c r="E11" s="254" t="n">
        <v>1.293</v>
      </c>
      <c r="F11" s="2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3" t="n"/>
    </row>
    <row r="12" ht="78.75" customHeight="1" s="241">
      <c r="A12" s="255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256" t="inlineStr">
        <is>
          <t>Кинф</t>
        </is>
      </c>
      <c r="D12" s="256" t="inlineStr">
        <is>
          <t>-</t>
        </is>
      </c>
      <c r="E12" s="374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2" t="n"/>
    </row>
    <row r="13" ht="63" customHeight="1" s="241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2025-01-24T12:12:12Z</dcterms:modified>
  <cp:lastModifiedBy>Nikolay Ivanov</cp:lastModifiedBy>
  <cp:lastPrinted>2023-11-29T09:43:52Z</cp:lastPrinted>
</cp:coreProperties>
</file>