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3'!$A$1:$H$73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10'!$A$1:$D$30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0.000000"/>
    <numFmt numFmtId="166" formatCode="#,##0.0000"/>
    <numFmt numFmtId="167" formatCode="0.0000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19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43" fontId="0" fillId="0" borderId="0" pivotButton="0" quotePrefix="0" xfId="0"/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4" fontId="4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="115" zoomScaleNormal="85" zoomScaleSheetLayoutView="115" workbookViewId="0">
      <selection activeCell="C41" sqref="C41"/>
    </sheetView>
  </sheetViews>
  <sheetFormatPr baseColWidth="8" defaultColWidth="9.140625" defaultRowHeight="15.75"/>
  <cols>
    <col width="9.140625" customWidth="1" style="205" min="1" max="2"/>
    <col width="51.7109375" customWidth="1" style="205" min="3" max="3"/>
    <col width="47" customWidth="1" style="205" min="4" max="4"/>
    <col width="37.42578125" customWidth="1" style="205" min="5" max="5"/>
    <col width="9.140625" customWidth="1" style="205" min="6" max="6"/>
  </cols>
  <sheetData>
    <row r="3">
      <c r="B3" s="234" t="inlineStr">
        <is>
          <t>Приложение № 1</t>
        </is>
      </c>
    </row>
    <row r="4">
      <c r="B4" s="235" t="inlineStr">
        <is>
          <t>Сравнительная таблица отбора объекта-представителя</t>
        </is>
      </c>
    </row>
    <row r="5" ht="84" customHeight="1" s="203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3">
      <c r="B6" s="132" t="n"/>
      <c r="C6" s="132" t="n"/>
      <c r="D6" s="132" t="n"/>
    </row>
    <row r="7" ht="64.5" customHeight="1" s="203">
      <c r="B7" s="236" t="inlineStr">
        <is>
          <t>Наименование разрабатываемого показателя УНЦ - Демонтаж шинной опоры 35 кВ</t>
        </is>
      </c>
    </row>
    <row r="8" ht="31.5" customHeight="1" s="203">
      <c r="B8" s="237" t="inlineStr">
        <is>
          <t>Сопоставимый уровень цен: 4 квартал 2018</t>
        </is>
      </c>
    </row>
    <row r="9" ht="15.75" customHeight="1" s="203">
      <c r="B9" s="237" t="inlineStr">
        <is>
          <t>Единица измерения  — 1 ед.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133" t="n"/>
    </row>
    <row r="12" ht="96.75" customHeight="1" s="203">
      <c r="B12" s="241" t="n">
        <v>1</v>
      </c>
      <c r="C12" s="250" t="inlineStr">
        <is>
          <t>Наименование объекта-представителя</t>
        </is>
      </c>
      <c r="D12" s="241" t="inlineStr">
        <is>
          <t>ПС 500 кВ Белобережская (МЭС Сибири)</t>
        </is>
      </c>
    </row>
    <row r="13">
      <c r="B13" s="241" t="n">
        <v>2</v>
      </c>
      <c r="C13" s="250" t="inlineStr">
        <is>
          <t>Наименование субъекта Российской Федерации</t>
        </is>
      </c>
      <c r="D13" s="241" t="inlineStr">
        <is>
          <t>Брянская область</t>
        </is>
      </c>
    </row>
    <row r="14">
      <c r="B14" s="241" t="n">
        <v>3</v>
      </c>
      <c r="C14" s="250" t="inlineStr">
        <is>
          <t>Климатический район и подрайон</t>
        </is>
      </c>
      <c r="D14" s="241" t="inlineStr">
        <is>
          <t>II</t>
        </is>
      </c>
    </row>
    <row r="15">
      <c r="B15" s="241" t="n">
        <v>4</v>
      </c>
      <c r="C15" s="250" t="inlineStr">
        <is>
          <t>Мощность объекта</t>
        </is>
      </c>
      <c r="D15" s="241" t="n">
        <v>9</v>
      </c>
    </row>
    <row r="16" ht="116.25" customHeight="1" s="203">
      <c r="B16" s="24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1" t="inlineStr">
        <is>
          <t>ШО 35</t>
        </is>
      </c>
    </row>
    <row r="17" ht="79.5" customHeight="1" s="203">
      <c r="B17" s="24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34">
        <f>D18+D19</f>
        <v/>
      </c>
      <c r="E17" s="135" t="n"/>
    </row>
    <row r="18">
      <c r="B18" s="136" t="inlineStr">
        <is>
          <t>6.1</t>
        </is>
      </c>
      <c r="C18" s="250" t="inlineStr">
        <is>
          <t>строительно-монтажные работы</t>
        </is>
      </c>
      <c r="D18" s="134">
        <f>'Прил.2 Расч стоим'!F14</f>
        <v/>
      </c>
    </row>
    <row r="19" ht="15.75" customHeight="1" s="203">
      <c r="B19" s="136" t="inlineStr">
        <is>
          <t>6.2</t>
        </is>
      </c>
      <c r="C19" s="250" t="inlineStr">
        <is>
          <t>оборудование и инвентарь</t>
        </is>
      </c>
      <c r="D19" s="134" t="n">
        <v>0</v>
      </c>
    </row>
    <row r="20" ht="16.5" customHeight="1" s="203">
      <c r="B20" s="136" t="inlineStr">
        <is>
          <t>6.3</t>
        </is>
      </c>
      <c r="C20" s="250" t="inlineStr">
        <is>
          <t>пусконаладочные работы</t>
        </is>
      </c>
      <c r="D20" s="134" t="n"/>
    </row>
    <row r="21" ht="35.25" customHeight="1" s="203">
      <c r="B21" s="136" t="inlineStr">
        <is>
          <t>6.4</t>
        </is>
      </c>
      <c r="C21" s="137" t="inlineStr">
        <is>
          <t>прочие и лимитированные затраты</t>
        </is>
      </c>
      <c r="D21" s="134" t="n"/>
    </row>
    <row r="22">
      <c r="B22" s="241" t="n">
        <v>7</v>
      </c>
      <c r="C22" s="137" t="inlineStr">
        <is>
          <t>Сопоставимый уровень цен</t>
        </is>
      </c>
      <c r="D22" s="138" t="inlineStr">
        <is>
          <t>4 квартал 2018</t>
        </is>
      </c>
      <c r="E22" s="139" t="n"/>
    </row>
    <row r="23" ht="123" customHeight="1" s="203">
      <c r="B23" s="241" t="n">
        <v>8</v>
      </c>
      <c r="C23" s="14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34">
        <f>D17</f>
        <v/>
      </c>
      <c r="E23" s="135" t="n"/>
    </row>
    <row r="24" ht="60.75" customHeight="1" s="203">
      <c r="B24" s="24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34">
        <f>D17/D15</f>
        <v/>
      </c>
      <c r="E24" s="139" t="n"/>
    </row>
    <row r="25" ht="48" customHeight="1" s="203">
      <c r="B25" s="241" t="n">
        <v>10</v>
      </c>
      <c r="C25" s="250" t="inlineStr">
        <is>
          <t>Примечание</t>
        </is>
      </c>
      <c r="D25" s="241" t="n"/>
    </row>
    <row r="26">
      <c r="B26" s="141" t="n"/>
      <c r="C26" s="142" t="n"/>
      <c r="D26" s="142" t="n"/>
    </row>
    <row r="27" ht="37.5" customHeight="1" s="203">
      <c r="B27" s="122" t="n"/>
    </row>
    <row r="28">
      <c r="B28" s="205" t="inlineStr">
        <is>
          <t>Составил ______________________    Д.Ю. Нефедова</t>
        </is>
      </c>
    </row>
    <row r="29">
      <c r="B29" s="122" t="inlineStr">
        <is>
          <t xml:space="preserve">                         (подпись, инициалы, фамилия)</t>
        </is>
      </c>
    </row>
    <row r="31">
      <c r="B31" s="205" t="inlineStr">
        <is>
          <t>Проверил ______________________        А.В. Костянецкая</t>
        </is>
      </c>
    </row>
    <row r="32">
      <c r="B32" s="12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topLeftCell="A3" zoomScale="130" zoomScaleNormal="70" zoomScaleSheetLayoutView="130" workbookViewId="0">
      <selection activeCell="C29" sqref="C29"/>
    </sheetView>
  </sheetViews>
  <sheetFormatPr baseColWidth="8" defaultColWidth="9.140625" defaultRowHeight="15.75"/>
  <cols>
    <col width="5.5703125" customWidth="1" style="205" min="1" max="1"/>
    <col width="9.140625" customWidth="1" style="205" min="2" max="2"/>
    <col width="35.28515625" customWidth="1" style="205" min="3" max="3"/>
    <col width="13.85546875" customWidth="1" style="205" min="4" max="4"/>
    <col width="24.85546875" customWidth="1" style="205" min="5" max="5"/>
    <col width="15.5703125" customWidth="1" style="205" min="6" max="6"/>
    <col width="14.85546875" customWidth="1" style="205" min="7" max="7"/>
    <col width="16.7109375" customWidth="1" style="205" min="8" max="8"/>
    <col width="13" customWidth="1" style="205" min="9" max="10"/>
    <col width="18" customWidth="1" style="205" min="11" max="11"/>
    <col width="9.140625" customWidth="1" style="205" min="12" max="12"/>
  </cols>
  <sheetData>
    <row r="3">
      <c r="B3" s="234" t="inlineStr">
        <is>
          <t>Приложение № 2</t>
        </is>
      </c>
      <c r="K3" s="122" t="n"/>
    </row>
    <row r="4">
      <c r="B4" s="235" t="inlineStr">
        <is>
          <t>Расчет стоимости основных видов работ для выбора объекта-представителя</t>
        </is>
      </c>
    </row>
    <row r="5">
      <c r="B5" s="123" t="n"/>
      <c r="C5" s="123" t="n"/>
      <c r="D5" s="123" t="n"/>
      <c r="E5" s="123" t="n"/>
      <c r="F5" s="123" t="n"/>
      <c r="G5" s="123" t="n"/>
      <c r="H5" s="123" t="n"/>
      <c r="I5" s="123" t="n"/>
      <c r="J5" s="123" t="n"/>
      <c r="K5" s="123" t="n"/>
    </row>
    <row r="6" ht="29.25" customHeight="1" s="203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 s="203">
      <c r="B8" s="119" t="n"/>
    </row>
    <row r="9" ht="15.75" customHeight="1" s="203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</row>
    <row r="10" ht="15.75" customHeight="1" s="203">
      <c r="B10" s="326" t="n"/>
      <c r="C10" s="326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4 кв. 2018г., тыс. руб.</t>
        </is>
      </c>
      <c r="G10" s="324" t="n"/>
      <c r="H10" s="324" t="n"/>
      <c r="I10" s="324" t="n"/>
      <c r="J10" s="325" t="n"/>
    </row>
    <row r="11" ht="31.5" customHeight="1" s="203">
      <c r="B11" s="327" t="n"/>
      <c r="C11" s="327" t="n"/>
      <c r="D11" s="327" t="n"/>
      <c r="E11" s="327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15" customHeight="1" s="203">
      <c r="B12" s="241" t="n"/>
      <c r="C12" s="134" t="inlineStr">
        <is>
          <t>Демонтаж шинной опоры 35 кВ</t>
        </is>
      </c>
      <c r="D12" s="241" t="n"/>
      <c r="E12" s="241" t="n"/>
      <c r="F12" s="241" t="n">
        <v>68.7971864</v>
      </c>
      <c r="G12" s="325" t="n"/>
      <c r="H12" s="241" t="n">
        <v>0</v>
      </c>
      <c r="I12" s="241" t="n"/>
      <c r="J12" s="241" t="n">
        <v>68.7971864</v>
      </c>
    </row>
    <row r="13" ht="15" customHeight="1" s="203">
      <c r="B13" s="244" t="inlineStr">
        <is>
          <t>Всего по объекту:</t>
        </is>
      </c>
      <c r="C13" s="324" t="n"/>
      <c r="D13" s="324" t="n"/>
      <c r="E13" s="325" t="n"/>
      <c r="F13" s="124" t="n"/>
      <c r="G13" s="124" t="n"/>
      <c r="H13" s="124" t="n"/>
      <c r="I13" s="124" t="n"/>
      <c r="J13" s="124" t="n"/>
    </row>
    <row r="14" ht="15.75" customHeight="1" s="203">
      <c r="B14" s="244" t="inlineStr">
        <is>
          <t>Всего по объекту в сопоставимом уровне цен 4кв. 2018г:</t>
        </is>
      </c>
      <c r="C14" s="324" t="n"/>
      <c r="D14" s="324" t="n"/>
      <c r="E14" s="325" t="n"/>
      <c r="F14" s="328">
        <f>F12</f>
        <v/>
      </c>
      <c r="G14" s="325" t="n"/>
      <c r="H14" s="124">
        <f>H12</f>
        <v/>
      </c>
      <c r="I14" s="124" t="n"/>
      <c r="J14" s="124">
        <f>J12</f>
        <v/>
      </c>
    </row>
    <row r="15" ht="15.75" customHeight="1" s="203"/>
    <row r="16" ht="15.75" customHeight="1" s="203"/>
    <row r="17" ht="15" customHeight="1" s="203"/>
    <row r="18" ht="15" customHeight="1" s="203"/>
    <row r="19" ht="15" customHeight="1" s="203"/>
    <row r="20" ht="15" customHeight="1" s="203">
      <c r="C20" s="191" t="inlineStr">
        <is>
          <t>Составил ______________________     Д.Ю. Нефедова</t>
        </is>
      </c>
      <c r="D20" s="201" t="n"/>
      <c r="E20" s="201" t="n"/>
    </row>
    <row r="21" ht="15" customHeight="1" s="203">
      <c r="C21" s="202" t="inlineStr">
        <is>
          <t xml:space="preserve">                         (подпись, инициалы, фамилия)</t>
        </is>
      </c>
      <c r="D21" s="201" t="n"/>
      <c r="E21" s="201" t="n"/>
    </row>
    <row r="22" ht="15" customHeight="1" s="203">
      <c r="C22" s="191" t="n"/>
      <c r="D22" s="201" t="n"/>
      <c r="E22" s="201" t="n"/>
    </row>
    <row r="23">
      <c r="C23" s="191" t="inlineStr">
        <is>
          <t>Проверил ______________________        А.В. Костянецкая</t>
        </is>
      </c>
      <c r="D23" s="201" t="n"/>
      <c r="E23" s="201" t="n"/>
    </row>
    <row r="24">
      <c r="C24" s="202" t="inlineStr">
        <is>
          <t xml:space="preserve">                        (подпись, инициалы, фамилия)</t>
        </is>
      </c>
      <c r="D24" s="201" t="n"/>
      <c r="E24" s="201" t="n"/>
    </row>
    <row r="26" ht="15" customHeight="1" s="203"/>
    <row r="28" ht="15" customHeight="1" s="203"/>
    <row r="29" ht="15" customHeight="1" s="203"/>
    <row r="30" ht="15" customHeight="1" s="20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73"/>
  <sheetViews>
    <sheetView view="pageBreakPreview" topLeftCell="A58" workbookViewId="0">
      <selection activeCell="C70" sqref="C70"/>
    </sheetView>
  </sheetViews>
  <sheetFormatPr baseColWidth="8" defaultColWidth="9.140625" defaultRowHeight="15.75"/>
  <cols>
    <col width="9.140625" customWidth="1" style="205" min="1" max="1"/>
    <col width="12.5703125" customWidth="1" style="205" min="2" max="2"/>
    <col width="22.42578125" customWidth="1" style="205" min="3" max="3"/>
    <col width="49.7109375" customWidth="1" style="205" min="4" max="4"/>
    <col width="10.140625" customWidth="1" style="205" min="5" max="5"/>
    <col width="20.7109375" customWidth="1" style="205" min="6" max="6"/>
    <col width="20" customWidth="1" style="205" min="7" max="7"/>
    <col width="16.7109375" customWidth="1" style="205" min="8" max="8"/>
    <col width="9.140625" customWidth="1" style="205" min="9" max="9"/>
    <col width="15.5703125" customWidth="1" style="205" min="10" max="10"/>
    <col width="15" customWidth="1" style="205" min="11" max="11"/>
    <col width="9.140625" customWidth="1" style="205" min="12" max="12"/>
  </cols>
  <sheetData>
    <row r="2">
      <c r="A2" s="234" t="inlineStr">
        <is>
          <t xml:space="preserve">Приложение № 3 </t>
        </is>
      </c>
    </row>
    <row r="3">
      <c r="A3" s="235" t="inlineStr">
        <is>
          <t>Объектная ресурсная ведомость</t>
        </is>
      </c>
    </row>
    <row r="4" ht="18.75" customHeight="1" s="203">
      <c r="A4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5" t="inlineStr">
        <is>
          <t>Наименование разрабатываемого показателя УНЦ -  Демонтаж шинной опоры 35 кВ</t>
        </is>
      </c>
    </row>
    <row r="7" s="203">
      <c r="A7" s="245" t="n"/>
      <c r="B7" s="245" t="n"/>
      <c r="C7" s="245" t="n"/>
      <c r="D7" s="245" t="n"/>
      <c r="E7" s="245" t="n"/>
      <c r="F7" s="245" t="n"/>
      <c r="G7" s="245" t="n"/>
      <c r="H7" s="245" t="n"/>
      <c r="I7" s="205" t="n"/>
      <c r="J7" s="205" t="n"/>
      <c r="K7" s="205" t="n"/>
      <c r="L7" s="205" t="n"/>
    </row>
    <row r="8">
      <c r="A8" s="245" t="n"/>
      <c r="B8" s="245" t="n"/>
      <c r="C8" s="245" t="n"/>
      <c r="D8" s="245" t="n"/>
      <c r="E8" s="245" t="n"/>
      <c r="F8" s="245" t="n"/>
      <c r="G8" s="245" t="n"/>
      <c r="H8" s="245" t="n"/>
    </row>
    <row r="9" ht="38.25" customHeight="1" s="203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25" t="n"/>
    </row>
    <row r="10" ht="40.5" customHeight="1" s="203">
      <c r="A10" s="327" t="n"/>
      <c r="B10" s="327" t="n"/>
      <c r="C10" s="327" t="n"/>
      <c r="D10" s="327" t="n"/>
      <c r="E10" s="327" t="n"/>
      <c r="F10" s="327" t="n"/>
      <c r="G10" s="241" t="inlineStr">
        <is>
          <t>на ед.изм.</t>
        </is>
      </c>
      <c r="H10" s="241" t="inlineStr">
        <is>
          <t>общая</t>
        </is>
      </c>
    </row>
    <row r="11">
      <c r="A11" s="222" t="n">
        <v>1</v>
      </c>
      <c r="B11" s="222" t="n"/>
      <c r="C11" s="222" t="n">
        <v>2</v>
      </c>
      <c r="D11" s="222" t="inlineStr">
        <is>
          <t>З</t>
        </is>
      </c>
      <c r="E11" s="222" t="n">
        <v>4</v>
      </c>
      <c r="F11" s="222" t="n">
        <v>5</v>
      </c>
      <c r="G11" s="222" t="n">
        <v>6</v>
      </c>
      <c r="H11" s="222" t="n">
        <v>7</v>
      </c>
    </row>
    <row r="12" customFormat="1" s="147">
      <c r="A12" s="251" t="inlineStr">
        <is>
          <t>Затраты труда рабочих</t>
        </is>
      </c>
      <c r="B12" s="324" t="n"/>
      <c r="C12" s="324" t="n"/>
      <c r="D12" s="324" t="n"/>
      <c r="E12" s="325" t="n"/>
      <c r="F12" s="329" t="n">
        <v>230.7066237</v>
      </c>
      <c r="G12" s="10" t="n"/>
      <c r="H12" s="329">
        <f>SUM(H13:H20)</f>
        <v/>
      </c>
    </row>
    <row r="13">
      <c r="A13" s="148" t="n">
        <v>1</v>
      </c>
      <c r="B13" s="149" t="n"/>
      <c r="C13" s="150" t="inlineStr">
        <is>
          <t>1-4-9</t>
        </is>
      </c>
      <c r="D13" s="151" t="inlineStr">
        <is>
          <t>Затраты труда рабочих (ср 4,9)</t>
        </is>
      </c>
      <c r="E13" s="277" t="inlineStr">
        <is>
          <t>чел.-ч</t>
        </is>
      </c>
      <c r="F13" s="330" t="n">
        <v>152.009208</v>
      </c>
      <c r="G13" s="154" t="n">
        <v>10.94</v>
      </c>
      <c r="H13" s="30">
        <f>ROUND(F13*G13,2)</f>
        <v/>
      </c>
    </row>
    <row r="14">
      <c r="A14" s="148" t="n">
        <v>2</v>
      </c>
      <c r="B14" s="149" t="n"/>
      <c r="C14" s="150" t="inlineStr">
        <is>
          <t>1-4-1</t>
        </is>
      </c>
      <c r="D14" s="151" t="inlineStr">
        <is>
          <t>Затраты труда рабочих (ср 4,1)</t>
        </is>
      </c>
      <c r="E14" s="277" t="inlineStr">
        <is>
          <t>чел.-ч</t>
        </is>
      </c>
      <c r="F14" s="330" t="n">
        <v>40.0937976</v>
      </c>
      <c r="G14" s="154" t="n">
        <v>9.76</v>
      </c>
      <c r="H14" s="30">
        <f>ROUND(F14*G14,2)</f>
        <v/>
      </c>
    </row>
    <row r="15">
      <c r="A15" s="148" t="n">
        <v>3</v>
      </c>
      <c r="B15" s="149" t="n"/>
      <c r="C15" s="150" t="inlineStr">
        <is>
          <t>1-4-0</t>
        </is>
      </c>
      <c r="D15" s="151" t="inlineStr">
        <is>
          <t>Затраты труда рабочих (ср 4)</t>
        </is>
      </c>
      <c r="E15" s="277" t="inlineStr">
        <is>
          <t>чел.-ч</t>
        </is>
      </c>
      <c r="F15" s="330" t="n">
        <v>30.9</v>
      </c>
      <c r="G15" s="154" t="n">
        <v>9.619999999999999</v>
      </c>
      <c r="H15" s="30">
        <f>ROUND(F15*G15,2)</f>
        <v/>
      </c>
    </row>
    <row r="16">
      <c r="A16" s="148" t="n">
        <v>4</v>
      </c>
      <c r="B16" s="149" t="n"/>
      <c r="C16" s="150" t="inlineStr">
        <is>
          <t>1-3-4</t>
        </is>
      </c>
      <c r="D16" s="151" t="inlineStr">
        <is>
          <t>Затраты труда рабочих (ср 3,4)</t>
        </is>
      </c>
      <c r="E16" s="277" t="inlineStr">
        <is>
          <t>чел.-ч</t>
        </is>
      </c>
      <c r="F16" s="330" t="n">
        <v>3.83472</v>
      </c>
      <c r="G16" s="154" t="n">
        <v>8.970000000000001</v>
      </c>
      <c r="H16" s="30">
        <f>ROUND(F16*G16,2)</f>
        <v/>
      </c>
    </row>
    <row r="17">
      <c r="A17" s="148" t="n">
        <v>5</v>
      </c>
      <c r="B17" s="149" t="n"/>
      <c r="C17" s="150" t="inlineStr">
        <is>
          <t>1-3-8</t>
        </is>
      </c>
      <c r="D17" s="151" t="inlineStr">
        <is>
          <t>Затраты труда рабочих (ср 3,8)</t>
        </is>
      </c>
      <c r="E17" s="277" t="inlineStr">
        <is>
          <t>чел.-ч</t>
        </is>
      </c>
      <c r="F17" s="330" t="n">
        <v>2.664</v>
      </c>
      <c r="G17" s="154" t="n">
        <v>9.4</v>
      </c>
      <c r="H17" s="30">
        <f>ROUND(F17*G17,2)</f>
        <v/>
      </c>
    </row>
    <row r="18">
      <c r="A18" s="148" t="n">
        <v>6</v>
      </c>
      <c r="B18" s="149" t="n"/>
      <c r="C18" s="150" t="inlineStr">
        <is>
          <t>1-3-9</t>
        </is>
      </c>
      <c r="D18" s="151" t="inlineStr">
        <is>
          <t>Затраты труда рабочих (ср 3,9)</t>
        </is>
      </c>
      <c r="E18" s="277" t="inlineStr">
        <is>
          <t>чел.-ч</t>
        </is>
      </c>
      <c r="F18" s="330" t="n">
        <v>0.7137404000000001</v>
      </c>
      <c r="G18" s="154" t="n">
        <v>9.51</v>
      </c>
      <c r="H18" s="30">
        <f>ROUND(F18*G18,2)</f>
        <v/>
      </c>
    </row>
    <row r="19">
      <c r="A19" s="148" t="n">
        <v>7</v>
      </c>
      <c r="B19" s="149" t="n"/>
      <c r="C19" s="150" t="inlineStr">
        <is>
          <t>1-2-2</t>
        </is>
      </c>
      <c r="D19" s="151" t="inlineStr">
        <is>
          <t>Затраты труда рабочих (ср 2,2)</t>
        </is>
      </c>
      <c r="E19" s="277" t="inlineStr">
        <is>
          <t>чел.-ч</t>
        </is>
      </c>
      <c r="F19" s="330" t="n">
        <v>0.4675</v>
      </c>
      <c r="G19" s="154" t="n">
        <v>7.94</v>
      </c>
      <c r="H19" s="30">
        <f>ROUND(F19*G19,2)</f>
        <v/>
      </c>
    </row>
    <row r="20">
      <c r="A20" s="148" t="n">
        <v>8</v>
      </c>
      <c r="B20" s="149" t="n"/>
      <c r="C20" s="150" t="inlineStr">
        <is>
          <t>1-3-5</t>
        </is>
      </c>
      <c r="D20" s="151" t="inlineStr">
        <is>
          <t>Затраты труда рабочих (ср 3,5)</t>
        </is>
      </c>
      <c r="E20" s="277" t="inlineStr">
        <is>
          <t>чел.-ч</t>
        </is>
      </c>
      <c r="F20" s="330" t="n">
        <v>0.0236577</v>
      </c>
      <c r="G20" s="154" t="n">
        <v>9.07</v>
      </c>
      <c r="H20" s="30">
        <f>ROUND(F20*G20,2)</f>
        <v/>
      </c>
    </row>
    <row r="21">
      <c r="A21" s="247" t="inlineStr">
        <is>
          <t>Затраты труда машинистов</t>
        </is>
      </c>
      <c r="B21" s="324" t="n"/>
      <c r="C21" s="324" t="n"/>
      <c r="D21" s="324" t="n"/>
      <c r="E21" s="325" t="n"/>
      <c r="F21" s="251" t="n"/>
      <c r="G21" s="155" t="n"/>
      <c r="H21" s="329">
        <f>H22</f>
        <v/>
      </c>
    </row>
    <row r="22">
      <c r="A22" s="259" t="n">
        <v>9</v>
      </c>
      <c r="B22" s="249" t="n"/>
      <c r="C22" s="157" t="n">
        <v>2</v>
      </c>
      <c r="D22" s="262" t="inlineStr">
        <is>
          <t>Затраты труда машинистов</t>
        </is>
      </c>
      <c r="E22" s="259" t="inlineStr">
        <is>
          <t>чел.-ч</t>
        </is>
      </c>
      <c r="F22" s="263" t="n">
        <v>129.2923738</v>
      </c>
      <c r="G22" s="154" t="n"/>
      <c r="H22" s="276" t="n">
        <v>1617.56</v>
      </c>
    </row>
    <row r="23" customFormat="1" s="147">
      <c r="A23" s="251" t="inlineStr">
        <is>
          <t>Машины и механизмы</t>
        </is>
      </c>
      <c r="B23" s="324" t="n"/>
      <c r="C23" s="324" t="n"/>
      <c r="D23" s="324" t="n"/>
      <c r="E23" s="325" t="n"/>
      <c r="F23" s="251" t="n"/>
      <c r="G23" s="155" t="n"/>
      <c r="H23" s="329">
        <f>SUM(H24:H37)</f>
        <v/>
      </c>
    </row>
    <row r="24">
      <c r="A24" s="259" t="n">
        <v>10</v>
      </c>
      <c r="B24" s="249" t="n"/>
      <c r="C24" s="157" t="inlineStr">
        <is>
          <t>91.21.22-447</t>
        </is>
      </c>
      <c r="D24" s="262" t="inlineStr">
        <is>
          <t>Установки электрометаллизационные</t>
        </is>
      </c>
      <c r="E24" s="259" t="inlineStr">
        <is>
          <t>маш.час</t>
        </is>
      </c>
      <c r="F24" s="259" t="n">
        <v>51.771252</v>
      </c>
      <c r="G24" s="276" t="n">
        <v>74.23999999999999</v>
      </c>
      <c r="H24" s="30">
        <f>ROUND(F24*G24,2)</f>
        <v/>
      </c>
      <c r="I24" s="158" t="n"/>
      <c r="J24" s="159" t="n"/>
      <c r="L24" s="158" t="n"/>
    </row>
    <row r="25" ht="25.5" customFormat="1" customHeight="1" s="147">
      <c r="A25" s="259" t="n">
        <v>11</v>
      </c>
      <c r="B25" s="249" t="n"/>
      <c r="C25" s="157" t="inlineStr">
        <is>
          <t>91.05.05-015</t>
        </is>
      </c>
      <c r="D25" s="262" t="inlineStr">
        <is>
          <t>Краны на автомобильном ходу, грузоподъемность 16 т</t>
        </is>
      </c>
      <c r="E25" s="259" t="inlineStr">
        <is>
          <t>маш.час</t>
        </is>
      </c>
      <c r="F25" s="259" t="n">
        <v>15.273728</v>
      </c>
      <c r="G25" s="276" t="n">
        <v>115.4</v>
      </c>
      <c r="H25" s="30">
        <f>ROUND(F25*G25,2)</f>
        <v/>
      </c>
      <c r="I25" s="158" t="n"/>
      <c r="L25" s="158" t="n"/>
    </row>
    <row r="26" ht="25.5" customHeight="1" s="203">
      <c r="A26" s="259" t="n">
        <v>12</v>
      </c>
      <c r="B26" s="249" t="n"/>
      <c r="C26" s="157" t="inlineStr">
        <is>
          <t>91.14.02-001</t>
        </is>
      </c>
      <c r="D26" s="262" t="inlineStr">
        <is>
          <t>Автомобили бортовые, грузоподъемность до 5 т</t>
        </is>
      </c>
      <c r="E26" s="259" t="inlineStr">
        <is>
          <t>маш.час</t>
        </is>
      </c>
      <c r="F26" s="259" t="n">
        <v>4.0947846</v>
      </c>
      <c r="G26" s="276" t="n">
        <v>65.70999999999999</v>
      </c>
      <c r="H26" s="30">
        <f>ROUND(F26*G26,2)</f>
        <v/>
      </c>
      <c r="I26" s="158" t="n"/>
      <c r="L26" s="158" t="n"/>
    </row>
    <row r="27" ht="38.25" customHeight="1" s="203">
      <c r="A27" s="259" t="n">
        <v>13</v>
      </c>
      <c r="B27" s="249" t="n"/>
      <c r="C27" s="157" t="inlineStr">
        <is>
          <t>91.06.06-042</t>
        </is>
      </c>
      <c r="D27" s="262" t="inlineStr">
        <is>
          <t>Подъемники гидравлические, высота подъема 10 м</t>
        </is>
      </c>
      <c r="E27" s="259" t="inlineStr">
        <is>
          <t>маш.час</t>
        </is>
      </c>
      <c r="F27" s="259" t="n">
        <v>5.7</v>
      </c>
      <c r="G27" s="276" t="n">
        <v>29.6</v>
      </c>
      <c r="H27" s="30">
        <f>ROUND(F27*G27,2)</f>
        <v/>
      </c>
      <c r="I27" s="158" t="n"/>
      <c r="L27" s="158" t="n"/>
    </row>
    <row r="28" ht="25.5" customHeight="1" s="203">
      <c r="A28" s="259" t="n">
        <v>14</v>
      </c>
      <c r="B28" s="249" t="n"/>
      <c r="C28" s="157" t="inlineStr">
        <is>
          <t>91.17.04-036</t>
        </is>
      </c>
      <c r="D28" s="262" t="inlineStr">
        <is>
          <t>Агрегаты сварочные передвижные с дизельным двигателем, номинальный сварочный ток 250-400 А</t>
        </is>
      </c>
      <c r="E28" s="259" t="inlineStr">
        <is>
          <t>маш.час</t>
        </is>
      </c>
      <c r="F28" s="259" t="n">
        <v>9.713165999999999</v>
      </c>
      <c r="G28" s="276" t="n">
        <v>14</v>
      </c>
      <c r="H28" s="30">
        <f>ROUND(F28*G28,2)</f>
        <v/>
      </c>
      <c r="I28" s="158" t="n"/>
      <c r="L28" s="158" t="n"/>
    </row>
    <row r="29" ht="51" customHeight="1" s="203">
      <c r="A29" s="259" t="n">
        <v>15</v>
      </c>
      <c r="B29" s="249" t="n"/>
      <c r="C29" s="157" t="inlineStr">
        <is>
          <t>91.06.05-011</t>
        </is>
      </c>
      <c r="D29" s="262" t="inlineStr">
        <is>
          <t>Погрузчики, грузоподъемность 5 т</t>
        </is>
      </c>
      <c r="E29" s="259" t="inlineStr">
        <is>
          <t>маш.час</t>
        </is>
      </c>
      <c r="F29" s="259" t="n">
        <v>0.5510454</v>
      </c>
      <c r="G29" s="276" t="n">
        <v>89.98999999999999</v>
      </c>
      <c r="H29" s="30">
        <f>ROUND(F29*G29,2)</f>
        <v/>
      </c>
      <c r="I29" s="158" t="n"/>
      <c r="L29" s="158" t="n"/>
    </row>
    <row r="30" ht="25.5" customHeight="1" s="203">
      <c r="A30" s="259" t="n">
        <v>16</v>
      </c>
      <c r="B30" s="249" t="n"/>
      <c r="C30" s="157" t="inlineStr">
        <is>
          <t>91.17.04-233</t>
        </is>
      </c>
      <c r="D30" s="262" t="inlineStr">
        <is>
          <t>Установки для сварки ручной дуговой (постоянного тока)</t>
        </is>
      </c>
      <c r="E30" s="259" t="inlineStr">
        <is>
          <t>маш.час</t>
        </is>
      </c>
      <c r="F30" s="259" t="n">
        <v>1.4976</v>
      </c>
      <c r="G30" s="276" t="n">
        <v>8.1</v>
      </c>
      <c r="H30" s="30">
        <f>ROUND(F30*G30,2)</f>
        <v/>
      </c>
      <c r="I30" s="158" t="n"/>
    </row>
    <row r="31">
      <c r="A31" s="259" t="n">
        <v>17</v>
      </c>
      <c r="B31" s="249" t="n"/>
      <c r="C31" s="157" t="inlineStr">
        <is>
          <t>91.14.02-002</t>
        </is>
      </c>
      <c r="D31" s="262" t="inlineStr">
        <is>
          <t>Автомобили бортовые, грузоподъемность до 8 т</t>
        </is>
      </c>
      <c r="E31" s="259" t="inlineStr">
        <is>
          <t>маш.час</t>
        </is>
      </c>
      <c r="F31" s="259" t="n">
        <v>0.091812</v>
      </c>
      <c r="G31" s="276" t="n">
        <v>85.84</v>
      </c>
      <c r="H31" s="30">
        <f>ROUND(F31*G31,2)</f>
        <v/>
      </c>
      <c r="I31" s="158" t="n"/>
    </row>
    <row r="32" ht="25.5" customHeight="1" s="203">
      <c r="A32" s="259" t="n">
        <v>18</v>
      </c>
      <c r="B32" s="249" t="n"/>
      <c r="C32" s="157" t="inlineStr">
        <is>
          <t>91.06.05-057</t>
        </is>
      </c>
      <c r="D32" s="262" t="inlineStr">
        <is>
          <t>Погрузчики одноковшовые универсальные фронтальные пневмоколесные, грузоподъемность 3 т</t>
        </is>
      </c>
      <c r="E32" s="259" t="inlineStr">
        <is>
          <t>маш.час</t>
        </is>
      </c>
      <c r="F32" s="259" t="n">
        <v>0.0385</v>
      </c>
      <c r="G32" s="276" t="n">
        <v>90.40000000000001</v>
      </c>
      <c r="H32" s="30">
        <f>ROUND(F32*G32,2)</f>
        <v/>
      </c>
      <c r="I32" s="158" t="n"/>
    </row>
    <row r="33" ht="25.5" customHeight="1" s="203">
      <c r="A33" s="259" t="n">
        <v>19</v>
      </c>
      <c r="B33" s="249" t="n"/>
      <c r="C33" s="157" t="inlineStr">
        <is>
          <t>91.06.01-003</t>
        </is>
      </c>
      <c r="D33" s="262" t="inlineStr">
        <is>
          <t>Домкраты гидравлические, грузоподъемность 63-100 т</t>
        </is>
      </c>
      <c r="E33" s="259" t="inlineStr">
        <is>
          <t>маш.час</t>
        </is>
      </c>
      <c r="F33" s="259" t="n">
        <v>3.78</v>
      </c>
      <c r="G33" s="276" t="n">
        <v>0.9</v>
      </c>
      <c r="H33" s="30">
        <f>ROUND(F33*G33,2)</f>
        <v/>
      </c>
      <c r="I33" s="158" t="n"/>
    </row>
    <row r="34">
      <c r="A34" s="259" t="n">
        <v>20</v>
      </c>
      <c r="B34" s="249" t="n"/>
      <c r="C34" s="157" t="inlineStr">
        <is>
          <t>91.08.04-021</t>
        </is>
      </c>
      <c r="D34" s="262" t="inlineStr">
        <is>
          <t>Котлы битумные передвижные 400 л</t>
        </is>
      </c>
      <c r="E34" s="259" t="inlineStr">
        <is>
          <t>маш.час</t>
        </is>
      </c>
      <c r="F34" s="259" t="n">
        <v>0.06565070000000001</v>
      </c>
      <c r="G34" s="276" t="n">
        <v>30</v>
      </c>
      <c r="H34" s="30">
        <f>ROUND(F34*G34,2)</f>
        <v/>
      </c>
      <c r="I34" s="158" t="n"/>
    </row>
    <row r="35" ht="25.5" customHeight="1" s="203">
      <c r="A35" s="259" t="n">
        <v>21</v>
      </c>
      <c r="B35" s="249" t="n"/>
      <c r="C35" s="157" t="inlineStr">
        <is>
          <t>91.08.09-024</t>
        </is>
      </c>
      <c r="D35" s="262" t="inlineStr">
        <is>
          <t>Трамбовки пневматические при работе от стационарного компрессора</t>
        </is>
      </c>
      <c r="E35" s="259" t="inlineStr">
        <is>
          <t>маш.час</t>
        </is>
      </c>
      <c r="F35" s="259" t="n">
        <v>0.22</v>
      </c>
      <c r="G35" s="276" t="n">
        <v>4.91</v>
      </c>
      <c r="H35" s="30">
        <f>ROUND(F35*G35,2)</f>
        <v/>
      </c>
      <c r="I35" s="158" t="n"/>
    </row>
    <row r="36" ht="25.5" customHeight="1" s="203">
      <c r="A36" s="259" t="n">
        <v>22</v>
      </c>
      <c r="B36" s="249" t="n"/>
      <c r="C36" s="157" t="inlineStr">
        <is>
          <t>91.21.01-012</t>
        </is>
      </c>
      <c r="D36" s="262" t="inlineStr">
        <is>
          <t>Агрегаты окрасочные высокого давления для окраски поверхностей конструкций, мощность 1 кВт</t>
        </is>
      </c>
      <c r="E36" s="259" t="inlineStr">
        <is>
          <t>маш.час</t>
        </is>
      </c>
      <c r="F36" s="259" t="n">
        <v>0.0464533</v>
      </c>
      <c r="G36" s="276" t="n">
        <v>6.82</v>
      </c>
      <c r="H36" s="30">
        <f>ROUND(F36*G36,2)</f>
        <v/>
      </c>
      <c r="I36" s="158" t="n"/>
    </row>
    <row r="37" ht="25.5" customHeight="1" s="203">
      <c r="A37" s="259" t="n">
        <v>23</v>
      </c>
      <c r="B37" s="249" t="n"/>
      <c r="C37" s="157" t="inlineStr">
        <is>
          <t>91.06.03-060</t>
        </is>
      </c>
      <c r="D37" s="262" t="inlineStr">
        <is>
          <t>Лебедки электрические тяговым усилием до 5,79 кН (0,59 т)</t>
        </is>
      </c>
      <c r="E37" s="259" t="inlineStr">
        <is>
          <t>маш.час</t>
        </is>
      </c>
      <c r="F37" s="259" t="n">
        <v>0.0002874</v>
      </c>
      <c r="G37" s="276" t="n">
        <v>1.7</v>
      </c>
      <c r="H37" s="30">
        <f>ROUND(F37*G37,2)</f>
        <v/>
      </c>
    </row>
    <row r="38" ht="15" customHeight="1" s="203">
      <c r="A38" s="247" t="inlineStr">
        <is>
          <t>Оборудование</t>
        </is>
      </c>
      <c r="B38" s="324" t="n"/>
      <c r="C38" s="324" t="n"/>
      <c r="D38" s="324" t="n"/>
      <c r="E38" s="325" t="n"/>
      <c r="F38" s="10" t="n"/>
      <c r="G38" s="10" t="n"/>
      <c r="H38" s="329" t="n">
        <v>0</v>
      </c>
    </row>
    <row r="39" ht="46.5" customHeight="1" s="203">
      <c r="A39" s="148" t="n">
        <v>24</v>
      </c>
      <c r="B39" s="247" t="n"/>
      <c r="C39" s="157" t="inlineStr">
        <is>
          <t>Прайс из СД ОП</t>
        </is>
      </c>
      <c r="D39" s="262" t="inlineStr">
        <is>
          <t>Шинная опора 220кВ ШО-220.III-1 УХЛ1</t>
        </is>
      </c>
      <c r="E39" s="259" t="inlineStr">
        <is>
          <t>шт</t>
        </is>
      </c>
      <c r="F39" s="331" t="n">
        <v>9</v>
      </c>
      <c r="G39" s="30" t="n">
        <v>0</v>
      </c>
      <c r="H39" s="30">
        <f>ROUND(F39*G39,2)</f>
        <v/>
      </c>
      <c r="I39" s="161" t="n"/>
      <c r="J39" s="332" t="n"/>
    </row>
    <row r="40">
      <c r="A40" s="248" t="inlineStr">
        <is>
          <t>Материалы</t>
        </is>
      </c>
      <c r="B40" s="324" t="n"/>
      <c r="C40" s="324" t="n"/>
      <c r="D40" s="324" t="n"/>
      <c r="E40" s="325" t="n"/>
      <c r="F40" s="248" t="n"/>
      <c r="G40" s="164" t="n"/>
      <c r="H40" s="329">
        <f>SUM(H41:H66)</f>
        <v/>
      </c>
    </row>
    <row r="41" ht="73.90000000000001" customHeight="1" s="203">
      <c r="A41" s="148" t="n">
        <v>25</v>
      </c>
      <c r="B41" s="249" t="n"/>
      <c r="C41" s="157" t="inlineStr">
        <is>
          <t>22.2.02.07-0003</t>
        </is>
      </c>
      <c r="D41" s="262" t="inlineStr">
        <is>
          <t>Конструкции стальные порталов ОРУ</t>
        </is>
      </c>
      <c r="E41" s="259" t="inlineStr">
        <is>
          <t>т</t>
        </is>
      </c>
      <c r="F41" s="259" t="n">
        <v>2.466438</v>
      </c>
      <c r="G41" s="30" t="n">
        <v>12500</v>
      </c>
      <c r="H41" s="30">
        <f>ROUND(F41*G41,2)</f>
        <v/>
      </c>
      <c r="I41" s="161" t="n"/>
      <c r="K41" s="158" t="n"/>
    </row>
    <row r="42" ht="25.5" customHeight="1" s="203">
      <c r="A42" s="148" t="n">
        <v>26</v>
      </c>
      <c r="B42" s="249" t="n"/>
      <c r="C42" s="157" t="inlineStr">
        <is>
          <t>10.1.02.03-0001</t>
        </is>
      </c>
      <c r="D42" s="262" t="inlineStr">
        <is>
          <t>Проволока алюминиевая, марка АМЦ, диаметр 1,4-1,8 мм</t>
        </is>
      </c>
      <c r="E42" s="259" t="inlineStr">
        <is>
          <t>т</t>
        </is>
      </c>
      <c r="F42" s="259" t="n">
        <v>0.0831645</v>
      </c>
      <c r="G42" s="30" t="n">
        <v>30090</v>
      </c>
      <c r="H42" s="30">
        <f>ROUND(F42*G42,2)</f>
        <v/>
      </c>
      <c r="I42" s="161" t="n"/>
      <c r="K42" s="158" t="n"/>
    </row>
    <row r="43" ht="38.25" customHeight="1" s="203">
      <c r="A43" s="148" t="n">
        <v>27</v>
      </c>
      <c r="B43" s="249" t="n"/>
      <c r="C43" s="157" t="inlineStr">
        <is>
          <t>05.1.02.05-0002</t>
        </is>
      </c>
      <c r="D43" s="262" t="inlineStr">
        <is>
          <t>Лежневые опоры из сборных железобетонных элементов из бетона марки 200, массой до 5 т, объемом до 0,2 м3</t>
        </is>
      </c>
      <c r="E43" s="259" t="inlineStr">
        <is>
          <t>м3</t>
        </is>
      </c>
      <c r="F43" s="259" t="n">
        <v>0.9</v>
      </c>
      <c r="G43" s="30" t="n">
        <v>1739</v>
      </c>
      <c r="H43" s="30">
        <f>ROUND(F43*G43,2)</f>
        <v/>
      </c>
      <c r="I43" s="161" t="n"/>
      <c r="K43" s="158" t="n"/>
    </row>
    <row r="44" ht="38.25" customHeight="1" s="203">
      <c r="A44" s="148" t="n">
        <v>28</v>
      </c>
      <c r="B44" s="249" t="n"/>
      <c r="C44" s="157" t="inlineStr">
        <is>
          <t>20.1.01.02-0066</t>
        </is>
      </c>
      <c r="D44" s="262" t="inlineStr">
        <is>
          <t>Зажим аппаратный прессуемый: А4А-300-2</t>
        </is>
      </c>
      <c r="E44" s="259" t="inlineStr">
        <is>
          <t>100 шт</t>
        </is>
      </c>
      <c r="F44" s="259" t="n">
        <v>0.18</v>
      </c>
      <c r="G44" s="30" t="n">
        <v>6080</v>
      </c>
      <c r="H44" s="30">
        <f>ROUND(F44*G44,2)</f>
        <v/>
      </c>
      <c r="I44" s="161" t="n"/>
    </row>
    <row r="45" ht="38.25" customHeight="1" s="203">
      <c r="A45" s="148" t="n">
        <v>29</v>
      </c>
      <c r="B45" s="249" t="n"/>
      <c r="C45" s="157" t="inlineStr">
        <is>
          <t>21.2.01.02-0094</t>
        </is>
      </c>
      <c r="D45" s="262" t="inlineStr">
        <is>
          <t>Провод неизолированный для воздушных линий электропередачи АС 300/39</t>
        </is>
      </c>
      <c r="E45" s="259" t="inlineStr">
        <is>
          <t>т</t>
        </is>
      </c>
      <c r="F45" s="259" t="n">
        <v>0.031175</v>
      </c>
      <c r="G45" s="30" t="n">
        <v>32758.86</v>
      </c>
      <c r="H45" s="30">
        <f>ROUND(F45*G45,2)</f>
        <v/>
      </c>
      <c r="I45" s="161" t="n"/>
    </row>
    <row r="46">
      <c r="A46" s="148" t="n">
        <v>30</v>
      </c>
      <c r="B46" s="249" t="n"/>
      <c r="C46" s="157" t="inlineStr">
        <is>
          <t>01.7.11.07-0032</t>
        </is>
      </c>
      <c r="D46" s="262" t="inlineStr">
        <is>
          <t>Электроды сварочные Э42, диаметр 4 мм</t>
        </is>
      </c>
      <c r="E46" s="259" t="inlineStr">
        <is>
          <t>т</t>
        </is>
      </c>
      <c r="F46" s="259" t="n">
        <v>0.0276688</v>
      </c>
      <c r="G46" s="30" t="n">
        <v>10315.01</v>
      </c>
      <c r="H46" s="30">
        <f>ROUND(F46*G46,2)</f>
        <v/>
      </c>
      <c r="I46" s="161" t="n"/>
    </row>
    <row r="47" ht="38.25" customHeight="1" s="203">
      <c r="A47" s="148" t="n">
        <v>31</v>
      </c>
      <c r="B47" s="249" t="n"/>
      <c r="C47" s="157" t="inlineStr">
        <is>
          <t>14.4.02.09-0001</t>
        </is>
      </c>
      <c r="D47" s="262" t="inlineStr">
        <is>
          <t>Краска</t>
        </is>
      </c>
      <c r="E47" s="259" t="inlineStr">
        <is>
          <t>кг</t>
        </is>
      </c>
      <c r="F47" s="259" t="n">
        <v>7.2</v>
      </c>
      <c r="G47" s="30" t="n">
        <v>28.6</v>
      </c>
      <c r="H47" s="30">
        <f>ROUND(F47*G47,2)</f>
        <v/>
      </c>
      <c r="I47" s="161" t="n"/>
    </row>
    <row r="48" ht="25.5" customHeight="1" s="203">
      <c r="A48" s="148" t="n">
        <v>32</v>
      </c>
      <c r="B48" s="249" t="n"/>
      <c r="C48" s="157" t="inlineStr">
        <is>
          <t>14.4.02.09-0301</t>
        </is>
      </c>
      <c r="D48" s="262" t="inlineStr">
        <is>
          <t>Композиция антикоррозионная цинкнаполненная</t>
        </is>
      </c>
      <c r="E48" s="259" t="inlineStr">
        <is>
          <t>кг</t>
        </is>
      </c>
      <c r="F48" s="259" t="n">
        <v>0.785429</v>
      </c>
      <c r="G48" s="30" t="n">
        <v>238.48</v>
      </c>
      <c r="H48" s="30">
        <f>ROUND(F48*G48,2)</f>
        <v/>
      </c>
      <c r="I48" s="161" t="n"/>
    </row>
    <row r="49" ht="38.25" customHeight="1" s="203">
      <c r="A49" s="148" t="n">
        <v>33</v>
      </c>
      <c r="B49" s="249" t="n"/>
      <c r="C49" s="157" t="inlineStr">
        <is>
          <t>14.5.09.11-0102</t>
        </is>
      </c>
      <c r="D49" s="262" t="inlineStr">
        <is>
          <t>Уайт-спирит</t>
        </is>
      </c>
      <c r="E49" s="259" t="inlineStr">
        <is>
          <t>кг</t>
        </is>
      </c>
      <c r="F49" s="259" t="n">
        <v>27.5379</v>
      </c>
      <c r="G49" s="30" t="n">
        <v>6.67</v>
      </c>
      <c r="H49" s="30">
        <f>ROUND(F49*G49,2)</f>
        <v/>
      </c>
      <c r="I49" s="161" t="n"/>
    </row>
    <row r="50" ht="25.5" customHeight="1" s="203">
      <c r="A50" s="148" t="n">
        <v>34</v>
      </c>
      <c r="B50" s="249" t="n"/>
      <c r="C50" s="157" t="inlineStr">
        <is>
          <t>08.3.07.01-0076</t>
        </is>
      </c>
      <c r="D50" s="262" t="inlineStr">
        <is>
          <t>Прокат полосовой, горячекатаный, марка стали Ст3сп, ширина 50-200 мм, толщина 4-5 мм</t>
        </is>
      </c>
      <c r="E50" s="259" t="inlineStr">
        <is>
          <t>т</t>
        </is>
      </c>
      <c r="F50" s="259" t="n">
        <v>0.027</v>
      </c>
      <c r="G50" s="30" t="n">
        <v>5000</v>
      </c>
      <c r="H50" s="30">
        <f>ROUND(F50*G50,2)</f>
        <v/>
      </c>
      <c r="I50" s="161" t="n"/>
    </row>
    <row r="51" ht="25.5" customHeight="1" s="203">
      <c r="A51" s="148" t="n">
        <v>35</v>
      </c>
      <c r="B51" s="249" t="n"/>
      <c r="C51" s="157" t="inlineStr">
        <is>
          <t>08.3.07.01-0042</t>
        </is>
      </c>
      <c r="D51" s="262" t="inlineStr">
        <is>
          <t>Сталь полосовая: 40х4 мм, кипящая</t>
        </is>
      </c>
      <c r="E51" s="259" t="inlineStr">
        <is>
          <t>т</t>
        </is>
      </c>
      <c r="F51" s="259" t="n">
        <v>0.018144</v>
      </c>
      <c r="G51" s="30" t="n">
        <v>6200</v>
      </c>
      <c r="H51" s="30">
        <f>ROUND(F51*G51,2)</f>
        <v/>
      </c>
      <c r="I51" s="161" t="n"/>
    </row>
    <row r="52">
      <c r="A52" s="148" t="n">
        <v>36</v>
      </c>
      <c r="B52" s="249" t="n"/>
      <c r="C52" s="157" t="inlineStr">
        <is>
          <t>14.4.02.09-0301</t>
        </is>
      </c>
      <c r="D52" s="262" t="inlineStr">
        <is>
          <t>Композиция антикоррозионная цинкнаполненная</t>
        </is>
      </c>
      <c r="E52" s="259" t="inlineStr">
        <is>
          <t>кг</t>
        </is>
      </c>
      <c r="F52" s="259" t="n">
        <v>0.3312</v>
      </c>
      <c r="G52" s="30" t="n">
        <v>238.48</v>
      </c>
      <c r="H52" s="30">
        <f>ROUND(F52*G52,2)</f>
        <v/>
      </c>
      <c r="I52" s="161" t="n"/>
    </row>
    <row r="53">
      <c r="A53" s="148" t="n">
        <v>37</v>
      </c>
      <c r="B53" s="249" t="n"/>
      <c r="C53" s="157" t="inlineStr">
        <is>
          <t>01.7.15.03-0042</t>
        </is>
      </c>
      <c r="D53" s="262" t="inlineStr">
        <is>
          <t>Болты с гайками и шайбами строительные</t>
        </is>
      </c>
      <c r="E53" s="259" t="inlineStr">
        <is>
          <t>кг</t>
        </is>
      </c>
      <c r="F53" s="259" t="n">
        <v>8.73</v>
      </c>
      <c r="G53" s="30" t="n">
        <v>9.039999999999999</v>
      </c>
      <c r="H53" s="30">
        <f>ROUND(F53*G53,2)</f>
        <v/>
      </c>
      <c r="I53" s="161" t="n"/>
    </row>
    <row r="54" customFormat="1" s="147">
      <c r="A54" s="148" t="n">
        <v>38</v>
      </c>
      <c r="B54" s="249" t="n"/>
      <c r="C54" s="157" t="inlineStr">
        <is>
          <t>02.2.05.04-1772</t>
        </is>
      </c>
      <c r="D54" s="262" t="inlineStr">
        <is>
          <t>Щебень М 600, фракция 20-40 мм, группа 2</t>
        </is>
      </c>
      <c r="E54" s="259" t="inlineStr">
        <is>
          <t>м3</t>
        </is>
      </c>
      <c r="F54" s="259" t="n">
        <v>0.6325</v>
      </c>
      <c r="G54" s="30" t="n">
        <v>114.13</v>
      </c>
      <c r="H54" s="30">
        <f>ROUND(F54*G54,2)</f>
        <v/>
      </c>
      <c r="I54" s="161" t="n"/>
    </row>
    <row r="55">
      <c r="A55" s="148" t="n">
        <v>39</v>
      </c>
      <c r="B55" s="249" t="n"/>
      <c r="C55" s="157" t="inlineStr">
        <is>
          <t>01.2.03.07-0001</t>
        </is>
      </c>
      <c r="D55" s="262" t="inlineStr">
        <is>
          <t>Композиция полимерно-битумная Гидроизол</t>
        </is>
      </c>
      <c r="E55" s="259" t="inlineStr">
        <is>
          <t>л</t>
        </is>
      </c>
      <c r="F55" s="259" t="n">
        <v>1.6833333</v>
      </c>
      <c r="G55" s="30" t="n">
        <v>42.83</v>
      </c>
      <c r="H55" s="30">
        <f>ROUND(F55*G55,2)</f>
        <v/>
      </c>
      <c r="I55" s="161" t="n"/>
    </row>
    <row r="56" ht="25.5" customHeight="1" s="203">
      <c r="A56" s="148" t="n">
        <v>40</v>
      </c>
      <c r="B56" s="249" t="n"/>
      <c r="C56" s="157" t="inlineStr">
        <is>
          <t>04.1.02.05-0011</t>
        </is>
      </c>
      <c r="D56" s="262" t="inlineStr">
        <is>
          <t>Смеси бетонные тяжелого бетона (БСТ), класс В30 (М400) {Надбавка по морозостойкости F300 W6  2*2=4%, ФССЦ ПР прил.15 таб.2}_x000D_
еМР = 28.35 = 708.80*0.04</t>
        </is>
      </c>
      <c r="E56" s="259" t="inlineStr">
        <is>
          <t>м3</t>
        </is>
      </c>
      <c r="F56" s="259" t="n">
        <v>0.9</v>
      </c>
      <c r="G56" s="30" t="n">
        <v>28.35</v>
      </c>
      <c r="H56" s="30">
        <f>ROUND(F56*G56,2)</f>
        <v/>
      </c>
      <c r="I56" s="161" t="n"/>
      <c r="K56" s="158" t="n"/>
    </row>
    <row r="57" ht="25.5" customHeight="1" s="203">
      <c r="A57" s="148" t="n">
        <v>41</v>
      </c>
      <c r="B57" s="249" t="n"/>
      <c r="C57" s="157" t="inlineStr">
        <is>
          <t>14.2.01.05-0001</t>
        </is>
      </c>
      <c r="D57" s="262" t="inlineStr">
        <is>
          <t>Композиция на основе термопластичных полимеров</t>
        </is>
      </c>
      <c r="E57" s="259" t="inlineStr">
        <is>
          <t>кг</t>
        </is>
      </c>
      <c r="F57" s="259" t="n">
        <v>0.373558</v>
      </c>
      <c r="G57" s="30" t="n">
        <v>54.99</v>
      </c>
      <c r="H57" s="30">
        <f>ROUND(F57*G57,2)</f>
        <v/>
      </c>
      <c r="I57" s="161" t="n"/>
      <c r="K57" s="158" t="n"/>
    </row>
    <row r="58">
      <c r="A58" s="148" t="n">
        <v>42</v>
      </c>
      <c r="B58" s="249" t="n"/>
      <c r="C58" s="157" t="inlineStr">
        <is>
          <t>01.2.03.05-0006</t>
        </is>
      </c>
      <c r="D58" s="262" t="inlineStr">
        <is>
          <t>Праймер битумно-полимерный ТЕХНОНИКОЛЬ №03</t>
        </is>
      </c>
      <c r="E58" s="259" t="inlineStr">
        <is>
          <t>л</t>
        </is>
      </c>
      <c r="F58" s="259" t="n">
        <v>1.01</v>
      </c>
      <c r="G58" s="30" t="n">
        <v>12.71</v>
      </c>
      <c r="H58" s="30">
        <f>ROUND(F58*G58,2)</f>
        <v/>
      </c>
      <c r="I58" s="161" t="n"/>
      <c r="K58" s="158" t="n"/>
    </row>
    <row r="59" ht="25.5" customHeight="1" s="203">
      <c r="A59" s="148" t="n">
        <v>43</v>
      </c>
      <c r="B59" s="249" t="n"/>
      <c r="C59" s="157" t="inlineStr">
        <is>
          <t>01.3.01.06-0050</t>
        </is>
      </c>
      <c r="D59" s="262" t="inlineStr">
        <is>
          <t>Смазка универсальная тугоплавкая УТ (консталин жировой)</t>
        </is>
      </c>
      <c r="E59" s="259" t="inlineStr">
        <is>
          <t>т</t>
        </is>
      </c>
      <c r="F59" s="259" t="n">
        <v>0.00042</v>
      </c>
      <c r="G59" s="30" t="n">
        <v>17500</v>
      </c>
      <c r="H59" s="30">
        <f>ROUND(F59*G59,2)</f>
        <v/>
      </c>
      <c r="I59" s="161" t="n"/>
      <c r="K59" s="158" t="n"/>
    </row>
    <row r="60" ht="25.5" customHeight="1" s="203">
      <c r="A60" s="148" t="n">
        <v>44</v>
      </c>
      <c r="B60" s="249" t="n"/>
      <c r="C60" s="157" t="inlineStr">
        <is>
          <t>01.7.11.07-0034</t>
        </is>
      </c>
      <c r="D60" s="262" t="inlineStr">
        <is>
          <t>Электроды сварочные Э42А, диаметр 4 мм</t>
        </is>
      </c>
      <c r="E60" s="259" t="inlineStr">
        <is>
          <t>кг</t>
        </is>
      </c>
      <c r="F60" s="259" t="n">
        <v>0.6372</v>
      </c>
      <c r="G60" s="30" t="n">
        <v>10.57</v>
      </c>
      <c r="H60" s="30">
        <f>ROUND(F60*G60,2)</f>
        <v/>
      </c>
    </row>
    <row r="61" ht="25.5" customHeight="1" s="203">
      <c r="A61" s="148" t="n">
        <v>45</v>
      </c>
      <c r="B61" s="249" t="n"/>
      <c r="C61" s="157" t="inlineStr">
        <is>
          <t>999-9950</t>
        </is>
      </c>
      <c r="D61" s="262" t="inlineStr">
        <is>
          <t>Вспомогательные ненормируемые ресурсы (2% от Оплаты труда рабочих)</t>
        </is>
      </c>
      <c r="E61" s="259" t="inlineStr">
        <is>
          <t>руб</t>
        </is>
      </c>
      <c r="F61" s="259" t="n">
        <v>6.47112</v>
      </c>
      <c r="G61" s="30" t="n">
        <v>1</v>
      </c>
      <c r="H61" s="30">
        <f>ROUND(F61*G61,2)</f>
        <v/>
      </c>
    </row>
    <row r="62" ht="38.25" customHeight="1" s="203">
      <c r="A62" s="148" t="n">
        <v>46</v>
      </c>
      <c r="B62" s="249" t="n"/>
      <c r="C62" s="157" t="inlineStr">
        <is>
          <t>08.3.05.02-0101</t>
        </is>
      </c>
      <c r="D62" s="262" t="inlineStr">
        <is>
          <t>Прокат толстолистовой горячекатаный в листах, марка стали ВСт3пс5, толщина 4-6 мм</t>
        </is>
      </c>
      <c r="E62" s="259" t="inlineStr">
        <is>
          <t>т</t>
        </is>
      </c>
      <c r="F62" s="259" t="n">
        <v>0.000576</v>
      </c>
      <c r="G62" s="30" t="n">
        <v>5763</v>
      </c>
      <c r="H62" s="30">
        <f>ROUND(F62*G62,2)</f>
        <v/>
      </c>
    </row>
    <row r="63">
      <c r="A63" s="148" t="n">
        <v>47</v>
      </c>
      <c r="B63" s="249" t="n"/>
      <c r="C63" s="157" t="inlineStr">
        <is>
          <t>01.3.01.03-0002</t>
        </is>
      </c>
      <c r="D63" s="262" t="inlineStr">
        <is>
          <t>Керосин для технических целей</t>
        </is>
      </c>
      <c r="E63" s="259" t="inlineStr">
        <is>
          <t>т</t>
        </is>
      </c>
      <c r="F63" s="259" t="n">
        <v>0.000808</v>
      </c>
      <c r="G63" s="30" t="n">
        <v>2606.9</v>
      </c>
      <c r="H63" s="30">
        <f>ROUND(F63*G63,2)</f>
        <v/>
      </c>
    </row>
    <row r="64" ht="63.75" customHeight="1" s="203">
      <c r="A64" s="148" t="n">
        <v>48</v>
      </c>
      <c r="B64" s="249" t="n"/>
      <c r="C64" s="157" t="inlineStr">
        <is>
          <t>14.5.09.07-0030</t>
        </is>
      </c>
      <c r="D64" s="262" t="inlineStr">
        <is>
          <t>Растворитель Р-4</t>
        </is>
      </c>
      <c r="E64" s="259" t="inlineStr">
        <is>
          <t>кг</t>
        </is>
      </c>
      <c r="F64" s="259" t="n">
        <v>0.090991</v>
      </c>
      <c r="G64" s="30" t="n">
        <v>9.42</v>
      </c>
      <c r="H64" s="30">
        <f>ROUND(F64*G64,2)</f>
        <v/>
      </c>
    </row>
    <row r="65">
      <c r="A65" s="148" t="n">
        <v>49</v>
      </c>
      <c r="B65" s="249" t="n"/>
      <c r="C65" s="157" t="inlineStr">
        <is>
          <t>01.7.03.01-0001</t>
        </is>
      </c>
      <c r="D65" s="262" t="inlineStr">
        <is>
          <t>Вода</t>
        </is>
      </c>
      <c r="E65" s="259" t="inlineStr">
        <is>
          <t>м3</t>
        </is>
      </c>
      <c r="F65" s="259" t="n">
        <v>0.0825</v>
      </c>
      <c r="G65" s="30" t="n">
        <v>2.44</v>
      </c>
      <c r="H65" s="30">
        <f>ROUND(F65*G65,2)</f>
        <v/>
      </c>
    </row>
    <row r="66">
      <c r="A66" s="148" t="n">
        <v>50</v>
      </c>
      <c r="B66" s="249" t="n"/>
      <c r="C66" s="157" t="inlineStr">
        <is>
          <t>01.7.20.08-0051</t>
        </is>
      </c>
      <c r="D66" s="262" t="inlineStr">
        <is>
          <t>Ветошь</t>
        </is>
      </c>
      <c r="E66" s="259" t="inlineStr">
        <is>
          <t>кг</t>
        </is>
      </c>
      <c r="F66" s="259" t="n">
        <v>0.0033667</v>
      </c>
      <c r="G66" s="30" t="n">
        <v>1.82</v>
      </c>
      <c r="H66" s="30">
        <f>ROUND(F66*G66,2)</f>
        <v/>
      </c>
    </row>
    <row r="69">
      <c r="B69" s="205" t="inlineStr">
        <is>
          <t>Составил ______________________     Д.Ю. Нефедова</t>
        </is>
      </c>
    </row>
    <row r="70">
      <c r="B70" s="122" t="inlineStr">
        <is>
          <t xml:space="preserve">                         (подпись, инициалы, фамилия)</t>
        </is>
      </c>
    </row>
    <row r="72">
      <c r="B72" s="205" t="inlineStr">
        <is>
          <t>Проверил ______________________        А.В. Костянецкая</t>
        </is>
      </c>
    </row>
    <row r="73">
      <c r="B73" s="122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12:E12"/>
    <mergeCell ref="A3:H3"/>
    <mergeCell ref="D9:D10"/>
    <mergeCell ref="E9:E10"/>
    <mergeCell ref="A38:E38"/>
    <mergeCell ref="F9:F10"/>
    <mergeCell ref="A9:A10"/>
    <mergeCell ref="A4:H4"/>
    <mergeCell ref="A2:H2"/>
    <mergeCell ref="A23:E23"/>
    <mergeCell ref="G9:H9"/>
    <mergeCell ref="A40:E40"/>
    <mergeCell ref="A6:H6"/>
  </mergeCells>
  <pageMargins left="0.7" right="0.7" top="0.75" bottom="0.75" header="0.3" footer="0.3"/>
  <pageSetup orientation="portrait" paperSize="9" scale="54"/>
  <rowBreaks count="1" manualBreakCount="1">
    <brk id="5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zoomScale="130" zoomScaleSheetLayoutView="130" workbookViewId="0">
      <selection activeCell="B43" sqref="B43"/>
    </sheetView>
  </sheetViews>
  <sheetFormatPr baseColWidth="8" defaultColWidth="9.140625" defaultRowHeight="15"/>
  <cols>
    <col width="4.140625" customWidth="1" style="203" min="1" max="1"/>
    <col width="36.28515625" customWidth="1" style="203" min="2" max="2"/>
    <col width="18.85546875" customWidth="1" style="203" min="3" max="3"/>
    <col width="18.28515625" customWidth="1" style="203" min="4" max="4"/>
    <col width="18.85546875" customWidth="1" style="203" min="5" max="5"/>
    <col width="13.42578125" customWidth="1" style="203" min="7" max="7"/>
    <col width="13.5703125" customWidth="1" style="203" min="12" max="12"/>
  </cols>
  <sheetData>
    <row r="1">
      <c r="B1" s="191" t="n"/>
      <c r="C1" s="191" t="n"/>
      <c r="D1" s="191" t="n"/>
      <c r="E1" s="191" t="n"/>
    </row>
    <row r="2">
      <c r="B2" s="191" t="n"/>
      <c r="C2" s="191" t="n"/>
      <c r="D2" s="191" t="n"/>
      <c r="E2" s="272" t="inlineStr">
        <is>
          <t>Приложение № 4</t>
        </is>
      </c>
    </row>
    <row r="3">
      <c r="B3" s="191" t="n"/>
      <c r="C3" s="191" t="n"/>
      <c r="D3" s="191" t="n"/>
      <c r="E3" s="191" t="n"/>
    </row>
    <row r="4">
      <c r="B4" s="191" t="n"/>
      <c r="C4" s="191" t="n"/>
      <c r="D4" s="191" t="n"/>
      <c r="E4" s="191" t="n"/>
    </row>
    <row r="5">
      <c r="B5" s="227" t="inlineStr">
        <is>
          <t>Ресурсная модель</t>
        </is>
      </c>
    </row>
    <row r="6">
      <c r="B6" s="165" t="n"/>
      <c r="C6" s="191" t="n"/>
      <c r="D6" s="191" t="n"/>
      <c r="E6" s="191" t="n"/>
    </row>
    <row r="7" ht="25.5" customHeight="1" s="203">
      <c r="B7" s="254" t="inlineStr">
        <is>
          <t>Наименование разрабатываемого показателя УНЦ — Демонтаж шинной опоры 35 кВ</t>
        </is>
      </c>
    </row>
    <row r="8">
      <c r="B8" s="255" t="inlineStr">
        <is>
          <t>Единица измерения  — 1 ед.</t>
        </is>
      </c>
    </row>
    <row r="9">
      <c r="B9" s="165" t="n"/>
      <c r="C9" s="191" t="n"/>
      <c r="D9" s="191" t="n"/>
      <c r="E9" s="191" t="n"/>
    </row>
    <row r="10" ht="51" customHeight="1" s="203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6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6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6">
        <f>'Прил.5 Расчет СМР и ОБ'!J38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6">
        <f>'Прил.5 Расчет СМР и ОБ'!J40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6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6">
        <f>'Прил.5 Расчет СМР и ОБ'!J49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6">
        <f>'Прил.5 Расчет СМР и ОБ'!J50</f>
        <v/>
      </c>
      <c r="D17" s="26">
        <f>C17/$C$24</f>
        <v/>
      </c>
      <c r="E17" s="26">
        <f>C17/$C$40</f>
        <v/>
      </c>
      <c r="G17" s="332" t="n"/>
    </row>
    <row r="18">
      <c r="B18" s="24" t="inlineStr">
        <is>
          <t>МАТЕРИАЛЫ, ВСЕГО:</t>
        </is>
      </c>
      <c r="C18" s="196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6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6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ОБ'!D56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6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ОБ'!D54</f>
        <v/>
      </c>
      <c r="D23" s="26" t="n"/>
      <c r="E23" s="24" t="n"/>
    </row>
    <row r="24">
      <c r="B24" s="24" t="inlineStr">
        <is>
          <t>ВСЕГО СМР с НР и СП</t>
        </is>
      </c>
      <c r="C24" s="196">
        <f>C19+C20+C22</f>
        <v/>
      </c>
      <c r="D24" s="26">
        <f>C24/$C$24</f>
        <v/>
      </c>
      <c r="E24" s="26">
        <f>C24/$C$40</f>
        <v/>
      </c>
    </row>
    <row r="25" ht="25.5" customHeight="1" s="203">
      <c r="B25" s="24" t="inlineStr">
        <is>
          <t>ВСЕГО стоимость оборудования, в том числе</t>
        </is>
      </c>
      <c r="C25" s="196">
        <f>'Прил.5 Расчет СМР и ОБ'!J45</f>
        <v/>
      </c>
      <c r="D25" s="26" t="n"/>
      <c r="E25" s="26">
        <f>C25/$C$40</f>
        <v/>
      </c>
    </row>
    <row r="26" ht="25.5" customHeight="1" s="203">
      <c r="B26" s="24" t="inlineStr">
        <is>
          <t>стоимость оборудования технологического</t>
        </is>
      </c>
      <c r="C26" s="196">
        <f>'Прил.5 Расчет СМР и ОБ'!J46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'Прил.5 Расчет СМР и ОБ'!J59</f>
        <v/>
      </c>
      <c r="D27" s="26" t="n"/>
      <c r="E27" s="26">
        <f>C27/$C$40</f>
        <v/>
      </c>
      <c r="G27" s="167" t="n"/>
    </row>
    <row r="28" ht="33" customHeight="1" s="203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3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3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0</v>
      </c>
      <c r="D31" s="24" t="n"/>
      <c r="E31" s="26">
        <f>C31/$C$40</f>
        <v/>
      </c>
    </row>
    <row r="32" ht="25.5" customHeight="1" s="203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3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68.25" customHeight="1" s="203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88.5" customHeight="1" s="203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3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68" t="n"/>
      <c r="L36" s="167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69" t="n"/>
      <c r="L37" s="167" t="n"/>
    </row>
    <row r="38" ht="38.25" customHeight="1" s="203">
      <c r="B38" s="24" t="inlineStr">
        <is>
          <t>ИТОГО (СМР+ОБОРУДОВАНИЕ+ПРОЧ. ЗАТР., УЧТЕННЫЕ ПОКАЗАТЕЛЕМ)</t>
        </is>
      </c>
      <c r="C38" s="196">
        <f>C27+C32+C33+C34+C35+C29+C31+C30+C36+C37</f>
        <v/>
      </c>
      <c r="D38" s="24" t="n"/>
      <c r="E38" s="26">
        <f>C38/$C$40</f>
        <v/>
      </c>
    </row>
    <row r="39" ht="13.5" customHeight="1" s="203">
      <c r="B39" s="24" t="inlineStr">
        <is>
          <t>Непредвиденные расходы</t>
        </is>
      </c>
      <c r="C39" s="196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6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6">
        <f>C40/'Прил.5 Расчет СМР и ОБ'!E60</f>
        <v/>
      </c>
      <c r="D41" s="24" t="n"/>
      <c r="E41" s="24" t="n"/>
    </row>
    <row r="42">
      <c r="B42" s="198" t="n"/>
      <c r="C42" s="191" t="n"/>
      <c r="D42" s="191" t="n"/>
      <c r="E42" s="191" t="n"/>
    </row>
    <row r="43">
      <c r="B43" s="198" t="inlineStr">
        <is>
          <t>Составил ____________________________  Д.Ю. Нефедова</t>
        </is>
      </c>
      <c r="C43" s="191" t="n"/>
      <c r="D43" s="191" t="n"/>
      <c r="E43" s="191" t="n"/>
    </row>
    <row r="44">
      <c r="B44" s="198" t="inlineStr">
        <is>
          <t xml:space="preserve">(должность, подпись, инициалы, фамилия) </t>
        </is>
      </c>
      <c r="C44" s="191" t="n"/>
      <c r="D44" s="191" t="n"/>
      <c r="E44" s="191" t="n"/>
    </row>
    <row r="45">
      <c r="B45" s="198" t="n"/>
      <c r="C45" s="191" t="n"/>
      <c r="D45" s="191" t="n"/>
      <c r="E45" s="191" t="n"/>
    </row>
    <row r="46">
      <c r="B46" s="198" t="inlineStr">
        <is>
          <t>Проверил ____________________________ А.В. Костянецкая</t>
        </is>
      </c>
      <c r="C46" s="191" t="n"/>
      <c r="D46" s="191" t="n"/>
      <c r="E46" s="191" t="n"/>
    </row>
    <row r="47">
      <c r="B47" s="255" t="inlineStr">
        <is>
          <t>(должность, подпись, инициалы, фамилия)</t>
        </is>
      </c>
      <c r="D47" s="191" t="n"/>
      <c r="E47" s="191" t="n"/>
    </row>
    <row r="49">
      <c r="B49" s="191" t="n"/>
      <c r="C49" s="191" t="n"/>
      <c r="D49" s="191" t="n"/>
      <c r="E49" s="191" t="n"/>
    </row>
    <row r="50">
      <c r="B50" s="191" t="n"/>
      <c r="C50" s="191" t="n"/>
      <c r="D50" s="191" t="n"/>
      <c r="E50" s="1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6"/>
  <sheetViews>
    <sheetView view="pageBreakPreview" topLeftCell="A44" zoomScale="115" zoomScaleSheetLayoutView="115" workbookViewId="0">
      <selection activeCell="B62" sqref="B62"/>
    </sheetView>
  </sheetViews>
  <sheetFormatPr baseColWidth="8" defaultColWidth="9.140625" defaultRowHeight="15" outlineLevelRow="1"/>
  <cols>
    <col width="5.7109375" customWidth="1" style="201" min="1" max="1"/>
    <col width="22.5703125" customWidth="1" style="201" min="2" max="2"/>
    <col width="39.140625" customWidth="1" style="201" min="3" max="3"/>
    <col width="13.5703125" customWidth="1" style="201" min="4" max="4"/>
    <col width="12.7109375" customWidth="1" style="201" min="5" max="5"/>
    <col width="14.5703125" customWidth="1" style="201" min="6" max="6"/>
    <col width="15.85546875" customWidth="1" style="201" min="7" max="7"/>
    <col width="12.7109375" customWidth="1" style="201" min="8" max="8"/>
    <col width="15.85546875" customWidth="1" style="201" min="9" max="9"/>
    <col width="17.5703125" customWidth="1" style="201" min="10" max="10"/>
    <col width="14.7109375" customWidth="1" style="201" min="11" max="11"/>
    <col width="13.85546875" customWidth="1" style="201" min="12" max="12"/>
  </cols>
  <sheetData>
    <row r="1">
      <c r="M1" s="201" t="n"/>
      <c r="N1" s="201" t="n"/>
    </row>
    <row r="2" ht="15.75" customHeight="1" s="203">
      <c r="H2" s="256" t="inlineStr">
        <is>
          <t>Приложение №5</t>
        </is>
      </c>
      <c r="M2" s="201" t="n"/>
      <c r="N2" s="201" t="n"/>
    </row>
    <row r="3">
      <c r="M3" s="201" t="n"/>
      <c r="N3" s="201" t="n"/>
    </row>
    <row r="4" ht="12.75" customFormat="1" customHeight="1" s="191">
      <c r="A4" s="227" t="inlineStr">
        <is>
          <t>Расчет стоимости СМР и оборудования</t>
        </is>
      </c>
    </row>
    <row r="5" ht="12.75" customFormat="1" customHeight="1" s="191">
      <c r="A5" s="227" t="n"/>
      <c r="B5" s="227" t="n"/>
      <c r="C5" s="279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191">
      <c r="A6" s="171" t="inlineStr">
        <is>
          <t>Наименование разрабатываемого показателя УНЦ</t>
        </is>
      </c>
      <c r="B6" s="172" t="n"/>
      <c r="C6" s="172" t="n"/>
      <c r="D6" s="230" t="inlineStr">
        <is>
          <t>Демонтаж шинной опоры 35 кВ</t>
        </is>
      </c>
    </row>
    <row r="7" ht="12.75" customFormat="1" customHeight="1" s="191">
      <c r="A7" s="230" t="inlineStr">
        <is>
          <t>Единица измерения  — 1 ед.</t>
        </is>
      </c>
      <c r="I7" s="254" t="n"/>
      <c r="J7" s="254" t="n"/>
    </row>
    <row r="8" ht="13.5" customFormat="1" customHeight="1" s="191">
      <c r="A8" s="230" t="n"/>
    </row>
    <row r="9" ht="27" customHeight="1" s="203">
      <c r="A9" s="259" t="inlineStr">
        <is>
          <t>№ пп.</t>
        </is>
      </c>
      <c r="B9" s="259" t="inlineStr">
        <is>
          <t>Код ресурса</t>
        </is>
      </c>
      <c r="C9" s="259" t="inlineStr">
        <is>
          <t>Наименование</t>
        </is>
      </c>
      <c r="D9" s="259" t="inlineStr">
        <is>
          <t>Ед. изм.</t>
        </is>
      </c>
      <c r="E9" s="259" t="inlineStr">
        <is>
          <t>Кол-во единиц по проектным данным</t>
        </is>
      </c>
      <c r="F9" s="259" t="inlineStr">
        <is>
          <t>Сметная стоимость в ценах на 01.01.2000 (руб.)</t>
        </is>
      </c>
      <c r="G9" s="325" t="n"/>
      <c r="H9" s="259" t="inlineStr">
        <is>
          <t>Удельный вес, %</t>
        </is>
      </c>
      <c r="I9" s="259" t="inlineStr">
        <is>
          <t>Сметная стоимость в ценах на 01.01.2023 (руб.)</t>
        </is>
      </c>
      <c r="J9" s="325" t="n"/>
      <c r="M9" s="201" t="n"/>
      <c r="N9" s="201" t="n"/>
    </row>
    <row r="10" ht="28.5" customHeight="1" s="203">
      <c r="A10" s="327" t="n"/>
      <c r="B10" s="327" t="n"/>
      <c r="C10" s="327" t="n"/>
      <c r="D10" s="327" t="n"/>
      <c r="E10" s="327" t="n"/>
      <c r="F10" s="259" t="inlineStr">
        <is>
          <t>на ед. изм.</t>
        </is>
      </c>
      <c r="G10" s="259" t="inlineStr">
        <is>
          <t>общая</t>
        </is>
      </c>
      <c r="H10" s="327" t="n"/>
      <c r="I10" s="259" t="inlineStr">
        <is>
          <t>на ед. изм.</t>
        </is>
      </c>
      <c r="J10" s="259" t="inlineStr">
        <is>
          <t>общая</t>
        </is>
      </c>
      <c r="M10" s="201" t="n"/>
      <c r="N10" s="201" t="n"/>
    </row>
    <row r="11">
      <c r="A11" s="259" t="n">
        <v>1</v>
      </c>
      <c r="B11" s="259" t="n">
        <v>2</v>
      </c>
      <c r="C11" s="259" t="n">
        <v>3</v>
      </c>
      <c r="D11" s="259" t="n">
        <v>4</v>
      </c>
      <c r="E11" s="259" t="n">
        <v>5</v>
      </c>
      <c r="F11" s="259" t="n">
        <v>6</v>
      </c>
      <c r="G11" s="259" t="n">
        <v>7</v>
      </c>
      <c r="H11" s="259" t="n">
        <v>8</v>
      </c>
      <c r="I11" s="260" t="n">
        <v>9</v>
      </c>
      <c r="J11" s="260" t="n">
        <v>10</v>
      </c>
      <c r="M11" s="201" t="n"/>
      <c r="N11" s="201" t="n"/>
    </row>
    <row r="12">
      <c r="A12" s="259" t="n"/>
      <c r="B12" s="247" t="inlineStr">
        <is>
          <t>Затраты труда рабочих-строителей</t>
        </is>
      </c>
      <c r="C12" s="324" t="n"/>
      <c r="D12" s="324" t="n"/>
      <c r="E12" s="324" t="n"/>
      <c r="F12" s="324" t="n"/>
      <c r="G12" s="324" t="n"/>
      <c r="H12" s="325" t="n"/>
      <c r="I12" s="174" t="n"/>
      <c r="J12" s="174" t="n"/>
    </row>
    <row r="13" ht="25.5" customHeight="1" s="203">
      <c r="A13" s="259" t="n">
        <v>1</v>
      </c>
      <c r="B13" s="157" t="inlineStr">
        <is>
          <t>1-4-6</t>
        </is>
      </c>
      <c r="C13" s="262" t="inlineStr">
        <is>
          <t>Затраты труда рабочих-строителей среднего разряда (4,6)</t>
        </is>
      </c>
      <c r="D13" s="259" t="inlineStr">
        <is>
          <t>чел.-ч.</t>
        </is>
      </c>
      <c r="E13" s="331">
        <f>G13/F13</f>
        <v/>
      </c>
      <c r="F13" s="30" t="n">
        <v>10.5</v>
      </c>
      <c r="G13" s="30" t="n">
        <v>2421.71</v>
      </c>
      <c r="H13" s="265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1">
      <c r="A14" s="259" t="n"/>
      <c r="B14" s="259" t="n"/>
      <c r="C14" s="247" t="inlineStr">
        <is>
          <t>Итого по разделу "Затраты труда рабочих-строителей"</t>
        </is>
      </c>
      <c r="D14" s="259" t="inlineStr">
        <is>
          <t>чел.-ч.</t>
        </is>
      </c>
      <c r="E14" s="331">
        <f>SUM(E13:E13)</f>
        <v/>
      </c>
      <c r="F14" s="30" t="n"/>
      <c r="G14" s="30">
        <f>SUM(G13:G13)</f>
        <v/>
      </c>
      <c r="H14" s="266" t="n">
        <v>1</v>
      </c>
      <c r="I14" s="174" t="n"/>
      <c r="J14" s="30">
        <f>SUM(J13:J13)</f>
        <v/>
      </c>
    </row>
    <row r="15" ht="38.25" customFormat="1" customHeight="1" s="201">
      <c r="A15" s="259" t="n"/>
      <c r="B15" s="259" t="n"/>
      <c r="C15" s="247" t="inlineStr">
        <is>
          <t>Итого по разделу "Затраты труда рабочих-строителей" 
(с коэффициентом на демонтаж 0,7)</t>
        </is>
      </c>
      <c r="D15" s="259" t="inlineStr">
        <is>
          <t>чел.-ч.</t>
        </is>
      </c>
      <c r="E15" s="263" t="n"/>
      <c r="F15" s="264" t="n"/>
      <c r="G15" s="30">
        <f>SUM(G14)*0.7</f>
        <v/>
      </c>
      <c r="H15" s="266" t="n">
        <v>1</v>
      </c>
      <c r="I15" s="174" t="n"/>
      <c r="J15" s="30">
        <f>SUM(J13)*0.7</f>
        <v/>
      </c>
    </row>
    <row r="16" ht="14.25" customFormat="1" customHeight="1" s="201">
      <c r="A16" s="259" t="n"/>
      <c r="B16" s="262" t="inlineStr">
        <is>
          <t>Затраты труда машинистов</t>
        </is>
      </c>
      <c r="C16" s="324" t="n"/>
      <c r="D16" s="324" t="n"/>
      <c r="E16" s="324" t="n"/>
      <c r="F16" s="324" t="n"/>
      <c r="G16" s="324" t="n"/>
      <c r="H16" s="325" t="n"/>
      <c r="I16" s="174" t="n"/>
      <c r="J16" s="174" t="n"/>
    </row>
    <row r="17" ht="14.25" customFormat="1" customHeight="1" s="201">
      <c r="A17" s="259" t="n">
        <v>2</v>
      </c>
      <c r="B17" s="259" t="n">
        <v>2</v>
      </c>
      <c r="C17" s="262" t="inlineStr">
        <is>
          <t>Затраты труда машинистов</t>
        </is>
      </c>
      <c r="D17" s="259" t="inlineStr">
        <is>
          <t>чел.-ч.</t>
        </is>
      </c>
      <c r="E17" s="331">
        <f>'Прил. 3'!F22</f>
        <v/>
      </c>
      <c r="F17" s="30">
        <f>G17/E17</f>
        <v/>
      </c>
      <c r="G17" s="30">
        <f>'Прил. 3'!H21</f>
        <v/>
      </c>
      <c r="H17" s="266" t="n">
        <v>1</v>
      </c>
      <c r="I17" s="30">
        <f>ROUND(F17*'Прил. 10'!D11,2)</f>
        <v/>
      </c>
      <c r="J17" s="30">
        <f>ROUND(I17*E17,2)</f>
        <v/>
      </c>
    </row>
    <row r="18" ht="25.5" customFormat="1" customHeight="1" s="201">
      <c r="A18" s="259" t="n"/>
      <c r="B18" s="259" t="n"/>
      <c r="C18" s="176" t="inlineStr">
        <is>
          <t>Затраты труда машинистов 
(с коэффициентом на демонтаж 0,7)</t>
        </is>
      </c>
      <c r="D18" s="177" t="n"/>
      <c r="E18" s="177" t="n"/>
      <c r="F18" s="177" t="n"/>
      <c r="G18" s="25">
        <f>G17*0.7</f>
        <v/>
      </c>
      <c r="H18" s="27">
        <f>H17</f>
        <v/>
      </c>
      <c r="I18" s="178" t="n"/>
      <c r="J18" s="25">
        <f>J17*0.7</f>
        <v/>
      </c>
    </row>
    <row r="19" ht="14.25" customFormat="1" customHeight="1" s="201">
      <c r="A19" s="259" t="n"/>
      <c r="B19" s="247" t="inlineStr">
        <is>
          <t>Машины и механизмы</t>
        </is>
      </c>
      <c r="C19" s="324" t="n"/>
      <c r="D19" s="324" t="n"/>
      <c r="E19" s="324" t="n"/>
      <c r="F19" s="324" t="n"/>
      <c r="G19" s="324" t="n"/>
      <c r="H19" s="325" t="n"/>
      <c r="I19" s="174" t="n"/>
      <c r="J19" s="174" t="n"/>
    </row>
    <row r="20" ht="14.25" customFormat="1" customHeight="1" s="201">
      <c r="A20" s="259" t="n"/>
      <c r="B20" s="262" t="inlineStr">
        <is>
          <t>Основные машины и механизмы</t>
        </is>
      </c>
      <c r="C20" s="324" t="n"/>
      <c r="D20" s="324" t="n"/>
      <c r="E20" s="324" t="n"/>
      <c r="F20" s="324" t="n"/>
      <c r="G20" s="324" t="n"/>
      <c r="H20" s="325" t="n"/>
      <c r="I20" s="174" t="n"/>
      <c r="J20" s="174" t="n"/>
    </row>
    <row r="21" ht="14.25" customFormat="1" customHeight="1" s="201">
      <c r="A21" s="259" t="n">
        <v>3</v>
      </c>
      <c r="B21" s="157" t="inlineStr">
        <is>
          <t>91.21.22-447</t>
        </is>
      </c>
      <c r="C21" s="262" t="inlineStr">
        <is>
          <t>Установки электрометаллизационные</t>
        </is>
      </c>
      <c r="D21" s="259" t="inlineStr">
        <is>
          <t>маш.час</t>
        </is>
      </c>
      <c r="E21" s="331" t="n">
        <v>51.771252</v>
      </c>
      <c r="F21" s="264" t="n">
        <v>74.23999999999999</v>
      </c>
      <c r="G21" s="30">
        <f>ROUND(E21*F21,2)</f>
        <v/>
      </c>
      <c r="H21" s="265">
        <f>G21/$G$39</f>
        <v/>
      </c>
      <c r="I21" s="30">
        <f>ROUND(F21*'Прил. 10'!$D$12,2)</f>
        <v/>
      </c>
      <c r="J21" s="30">
        <f>ROUND(I21*E21,2)</f>
        <v/>
      </c>
    </row>
    <row r="22" ht="25.5" customFormat="1" customHeight="1" s="201">
      <c r="A22" s="259" t="n">
        <v>4</v>
      </c>
      <c r="B22" s="157" t="inlineStr">
        <is>
          <t>91.05.05-015</t>
        </is>
      </c>
      <c r="C22" s="262" t="inlineStr">
        <is>
          <t>Краны на автомобильном ходу, грузоподъемность 16 т</t>
        </is>
      </c>
      <c r="D22" s="259" t="inlineStr">
        <is>
          <t>маш.час</t>
        </is>
      </c>
      <c r="E22" s="331" t="n">
        <v>15.273728</v>
      </c>
      <c r="F22" s="264" t="n">
        <v>115.4</v>
      </c>
      <c r="G22" s="30">
        <f>ROUND(E22*F22,2)</f>
        <v/>
      </c>
      <c r="H22" s="265">
        <f>G22/$G$39</f>
        <v/>
      </c>
      <c r="I22" s="30">
        <f>ROUND(F22*'Прил. 10'!$D$12,2)</f>
        <v/>
      </c>
      <c r="J22" s="30">
        <f>ROUND(I22*E22,2)</f>
        <v/>
      </c>
    </row>
    <row r="23" ht="14.25" customFormat="1" customHeight="1" s="201">
      <c r="A23" s="259" t="n"/>
      <c r="B23" s="259" t="n"/>
      <c r="C23" s="262" t="inlineStr">
        <is>
          <t>Итого основные машины и механизмы</t>
        </is>
      </c>
      <c r="D23" s="259" t="n"/>
      <c r="E23" s="331" t="n"/>
      <c r="F23" s="30" t="n"/>
      <c r="G23" s="30">
        <f>SUM(G21:G22)</f>
        <v/>
      </c>
      <c r="H23" s="266">
        <f>G23/G39</f>
        <v/>
      </c>
      <c r="I23" s="179" t="n"/>
      <c r="J23" s="30">
        <f>SUM(J21:J22)</f>
        <v/>
      </c>
    </row>
    <row r="24" ht="25.5" customFormat="1" customHeight="1" s="201">
      <c r="A24" s="259" t="n"/>
      <c r="B24" s="259" t="n"/>
      <c r="C24" s="176" t="inlineStr">
        <is>
          <t>Итого основные машины и механизмы 
(с коэффициентом на демонтаж 0,7)</t>
        </is>
      </c>
      <c r="D24" s="259" t="n"/>
      <c r="E24" s="333" t="n"/>
      <c r="F24" s="263" t="n"/>
      <c r="G24" s="30">
        <f>G23*0.7</f>
        <v/>
      </c>
      <c r="H24" s="265">
        <f>G24/G40</f>
        <v/>
      </c>
      <c r="I24" s="30" t="n"/>
      <c r="J24" s="30">
        <f>J23*0.7</f>
        <v/>
      </c>
    </row>
    <row r="25" outlineLevel="1" ht="25.5" customFormat="1" customHeight="1" s="201">
      <c r="A25" s="259" t="n">
        <v>5</v>
      </c>
      <c r="B25" s="157" t="inlineStr">
        <is>
          <t>91.14.02-001</t>
        </is>
      </c>
      <c r="C25" s="262" t="inlineStr">
        <is>
          <t>Автомобили бортовые, грузоподъемность до 5 т</t>
        </is>
      </c>
      <c r="D25" s="259" t="inlineStr">
        <is>
          <t>маш.час</t>
        </is>
      </c>
      <c r="E25" s="331" t="n">
        <v>4.0947846</v>
      </c>
      <c r="F25" s="264" t="n">
        <v>65.70999999999999</v>
      </c>
      <c r="G25" s="30">
        <f>ROUND(E25*F25,2)</f>
        <v/>
      </c>
      <c r="H25" s="265">
        <f>G25/$G$39</f>
        <v/>
      </c>
      <c r="I25" s="30">
        <f>ROUND(F25*'Прил. 10'!$D$12,2)</f>
        <v/>
      </c>
      <c r="J25" s="30">
        <f>ROUND(I25*E25,2)</f>
        <v/>
      </c>
    </row>
    <row r="26" outlineLevel="1" ht="25.5" customFormat="1" customHeight="1" s="201">
      <c r="A26" s="259" t="n">
        <v>6</v>
      </c>
      <c r="B26" s="157" t="inlineStr">
        <is>
          <t>91.06.06-042</t>
        </is>
      </c>
      <c r="C26" s="262" t="inlineStr">
        <is>
          <t>Подъемники гидравлические, высота подъема 10 м</t>
        </is>
      </c>
      <c r="D26" s="259" t="inlineStr">
        <is>
          <t>маш.час</t>
        </is>
      </c>
      <c r="E26" s="331" t="n">
        <v>5.7</v>
      </c>
      <c r="F26" s="264" t="n">
        <v>29.6</v>
      </c>
      <c r="G26" s="30">
        <f>ROUND(E26*F26,2)</f>
        <v/>
      </c>
      <c r="H26" s="265">
        <f>G26/$G$39</f>
        <v/>
      </c>
      <c r="I26" s="30">
        <f>ROUND(F26*'Прил. 10'!$D$12,2)</f>
        <v/>
      </c>
      <c r="J26" s="30">
        <f>ROUND(I26*E26,2)</f>
        <v/>
      </c>
    </row>
    <row r="27" outlineLevel="1" ht="38.25" customFormat="1" customHeight="1" s="201">
      <c r="A27" s="259" t="n">
        <v>7</v>
      </c>
      <c r="B27" s="157" t="inlineStr">
        <is>
          <t>91.17.04-036</t>
        </is>
      </c>
      <c r="C27" s="262" t="inlineStr">
        <is>
          <t>Агрегаты сварочные передвижные с дизельным двигателем, номинальный сварочный ток 250-400 А</t>
        </is>
      </c>
      <c r="D27" s="259" t="inlineStr">
        <is>
          <t>маш.час</t>
        </is>
      </c>
      <c r="E27" s="331" t="n">
        <v>9.713165999999999</v>
      </c>
      <c r="F27" s="264" t="n">
        <v>14</v>
      </c>
      <c r="G27" s="30">
        <f>ROUND(E27*F27,2)</f>
        <v/>
      </c>
      <c r="H27" s="265">
        <f>G27/$G$39</f>
        <v/>
      </c>
      <c r="I27" s="30">
        <f>ROUND(F27*'Прил. 10'!$D$12,2)</f>
        <v/>
      </c>
      <c r="J27" s="30">
        <f>ROUND(I27*E27,2)</f>
        <v/>
      </c>
    </row>
    <row r="28" outlineLevel="1" ht="38.25" customFormat="1" customHeight="1" s="201">
      <c r="A28" s="259" t="n">
        <v>8</v>
      </c>
      <c r="B28" s="157" t="inlineStr">
        <is>
          <t>91.06.05-011</t>
        </is>
      </c>
      <c r="C28" s="262" t="inlineStr">
        <is>
          <t>Погрузчики, грузоподъемность 5 т</t>
        </is>
      </c>
      <c r="D28" s="259" t="inlineStr">
        <is>
          <t>маш.час</t>
        </is>
      </c>
      <c r="E28" s="331" t="n">
        <v>0.5510454</v>
      </c>
      <c r="F28" s="264" t="n">
        <v>89.98999999999999</v>
      </c>
      <c r="G28" s="30">
        <f>ROUND(E28*F28,2)</f>
        <v/>
      </c>
      <c r="H28" s="265">
        <f>G28/$G$39</f>
        <v/>
      </c>
      <c r="I28" s="30">
        <f>ROUND(F28*'Прил. 10'!$D$12,2)</f>
        <v/>
      </c>
      <c r="J28" s="30">
        <f>ROUND(I28*E28,2)</f>
        <v/>
      </c>
    </row>
    <row r="29" outlineLevel="1" ht="51" customFormat="1" customHeight="1" s="201">
      <c r="A29" s="259" t="n">
        <v>9</v>
      </c>
      <c r="B29" s="157" t="inlineStr">
        <is>
          <t>91.17.04-233</t>
        </is>
      </c>
      <c r="C29" s="262" t="inlineStr">
        <is>
          <t>Установки для сварки ручной дуговой (постоянного тока)</t>
        </is>
      </c>
      <c r="D29" s="259" t="inlineStr">
        <is>
          <t>маш.час</t>
        </is>
      </c>
      <c r="E29" s="331" t="n">
        <v>1.4976</v>
      </c>
      <c r="F29" s="264" t="n">
        <v>8.1</v>
      </c>
      <c r="G29" s="30">
        <f>ROUND(E29*F29,2)</f>
        <v/>
      </c>
      <c r="H29" s="265">
        <f>G29/$G$39</f>
        <v/>
      </c>
      <c r="I29" s="30">
        <f>ROUND(F29*'Прил. 10'!$D$12,2)</f>
        <v/>
      </c>
      <c r="J29" s="30">
        <f>ROUND(I29*E29,2)</f>
        <v/>
      </c>
    </row>
    <row r="30" outlineLevel="1" ht="25.5" customFormat="1" customHeight="1" s="201">
      <c r="A30" s="259" t="n">
        <v>10</v>
      </c>
      <c r="B30" s="157" t="inlineStr">
        <is>
          <t>91.14.02-002</t>
        </is>
      </c>
      <c r="C30" s="262" t="inlineStr">
        <is>
          <t>Автомобили бортовые, грузоподъемность до 8 т</t>
        </is>
      </c>
      <c r="D30" s="259" t="inlineStr">
        <is>
          <t>маш.час</t>
        </is>
      </c>
      <c r="E30" s="331" t="n">
        <v>0.091812</v>
      </c>
      <c r="F30" s="264" t="n">
        <v>85.84</v>
      </c>
      <c r="G30" s="30">
        <f>ROUND(E30*F30,2)</f>
        <v/>
      </c>
      <c r="H30" s="265">
        <f>G30/$G$39</f>
        <v/>
      </c>
      <c r="I30" s="30">
        <f>ROUND(F30*'Прил. 10'!$D$12,2)</f>
        <v/>
      </c>
      <c r="J30" s="30">
        <f>ROUND(I30*E30,2)</f>
        <v/>
      </c>
    </row>
    <row r="31" outlineLevel="1" ht="38.25" customFormat="1" customHeight="1" s="201">
      <c r="A31" s="259" t="n">
        <v>11</v>
      </c>
      <c r="B31" s="157" t="inlineStr">
        <is>
          <t>91.06.05-057</t>
        </is>
      </c>
      <c r="C31" s="262" t="inlineStr">
        <is>
          <t>Погрузчики одноковшовые универсальные фронтальные пневмоколесные, грузоподъемность 3 т</t>
        </is>
      </c>
      <c r="D31" s="259" t="inlineStr">
        <is>
          <t>маш.час</t>
        </is>
      </c>
      <c r="E31" s="331" t="n">
        <v>0.0385</v>
      </c>
      <c r="F31" s="264" t="n">
        <v>90.40000000000001</v>
      </c>
      <c r="G31" s="30">
        <f>ROUND(E31*F31,2)</f>
        <v/>
      </c>
      <c r="H31" s="265">
        <f>G31/$G$39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1">
      <c r="A32" s="259" t="n">
        <v>12</v>
      </c>
      <c r="B32" s="157" t="inlineStr">
        <is>
          <t>91.06.01-003</t>
        </is>
      </c>
      <c r="C32" s="262" t="inlineStr">
        <is>
          <t>Домкраты гидравлические, грузоподъемность 63-100 т</t>
        </is>
      </c>
      <c r="D32" s="259" t="inlineStr">
        <is>
          <t>маш.час</t>
        </is>
      </c>
      <c r="E32" s="331" t="n">
        <v>3.78</v>
      </c>
      <c r="F32" s="264" t="n">
        <v>0.9</v>
      </c>
      <c r="G32" s="30">
        <f>ROUND(E32*F32,2)</f>
        <v/>
      </c>
      <c r="H32" s="265">
        <f>G32/$G$39</f>
        <v/>
      </c>
      <c r="I32" s="30">
        <f>ROUND(F32*'Прил. 10'!$D$12,2)</f>
        <v/>
      </c>
      <c r="J32" s="30">
        <f>ROUND(I32*E32,2)</f>
        <v/>
      </c>
    </row>
    <row r="33" outlineLevel="1" ht="14.25" customFormat="1" customHeight="1" s="201">
      <c r="A33" s="259" t="n">
        <v>13</v>
      </c>
      <c r="B33" s="157" t="inlineStr">
        <is>
          <t>91.08.04-021</t>
        </is>
      </c>
      <c r="C33" s="262" t="inlineStr">
        <is>
          <t>Котлы битумные передвижные 400 л</t>
        </is>
      </c>
      <c r="D33" s="259" t="inlineStr">
        <is>
          <t>маш.час</t>
        </is>
      </c>
      <c r="E33" s="331" t="n">
        <v>0.06565070000000001</v>
      </c>
      <c r="F33" s="264" t="n">
        <v>30</v>
      </c>
      <c r="G33" s="30">
        <f>ROUND(E33*F33,2)</f>
        <v/>
      </c>
      <c r="H33" s="265">
        <f>G33/$G$39</f>
        <v/>
      </c>
      <c r="I33" s="30">
        <f>ROUND(F33*'Прил. 10'!$D$12,2)</f>
        <v/>
      </c>
      <c r="J33" s="30">
        <f>ROUND(I33*E33,2)</f>
        <v/>
      </c>
    </row>
    <row r="34" outlineLevel="1" ht="25.5" customFormat="1" customHeight="1" s="201">
      <c r="A34" s="259" t="n">
        <v>14</v>
      </c>
      <c r="B34" s="157" t="inlineStr">
        <is>
          <t>91.08.09-024</t>
        </is>
      </c>
      <c r="C34" s="262" t="inlineStr">
        <is>
          <t>Трамбовки пневматические при работе от стационарного компрессора</t>
        </is>
      </c>
      <c r="D34" s="259" t="inlineStr">
        <is>
          <t>маш.час</t>
        </is>
      </c>
      <c r="E34" s="331" t="n">
        <v>0.22</v>
      </c>
      <c r="F34" s="264" t="n">
        <v>4.91</v>
      </c>
      <c r="G34" s="30">
        <f>ROUND(E34*F34,2)</f>
        <v/>
      </c>
      <c r="H34" s="265">
        <f>G34/$G$39</f>
        <v/>
      </c>
      <c r="I34" s="30">
        <f>ROUND(F34*'Прил. 10'!$D$12,2)</f>
        <v/>
      </c>
      <c r="J34" s="30">
        <f>ROUND(I34*E34,2)</f>
        <v/>
      </c>
    </row>
    <row r="35" outlineLevel="1" ht="38.25" customFormat="1" customHeight="1" s="201">
      <c r="A35" s="259" t="n">
        <v>15</v>
      </c>
      <c r="B35" s="157" t="inlineStr">
        <is>
          <t>91.21.01-012</t>
        </is>
      </c>
      <c r="C35" s="262" t="inlineStr">
        <is>
          <t>Агрегаты окрасочные высокого давления для окраски поверхностей конструкций, мощность 1 кВт</t>
        </is>
      </c>
      <c r="D35" s="259" t="inlineStr">
        <is>
          <t>маш.час</t>
        </is>
      </c>
      <c r="E35" s="331" t="n">
        <v>0.0464533</v>
      </c>
      <c r="F35" s="264" t="n">
        <v>6.82</v>
      </c>
      <c r="G35" s="30">
        <f>ROUND(E35*F35,2)</f>
        <v/>
      </c>
      <c r="H35" s="265">
        <f>G35/$G$39</f>
        <v/>
      </c>
      <c r="I35" s="30">
        <f>ROUND(F35*'Прил. 10'!$D$12,2)</f>
        <v/>
      </c>
      <c r="J35" s="30">
        <f>ROUND(I35*E35,2)</f>
        <v/>
      </c>
    </row>
    <row r="36" outlineLevel="1" ht="25.5" customFormat="1" customHeight="1" s="201">
      <c r="A36" s="259" t="n">
        <v>16</v>
      </c>
      <c r="B36" s="157" t="inlineStr">
        <is>
          <t>91.06.03-060</t>
        </is>
      </c>
      <c r="C36" s="262" t="inlineStr">
        <is>
          <t>Лебедки электрические тяговым усилием до 5,79 кН (0,59 т)</t>
        </is>
      </c>
      <c r="D36" s="259" t="inlineStr">
        <is>
          <t>маш.час</t>
        </is>
      </c>
      <c r="E36" s="331" t="n">
        <v>0.0002874</v>
      </c>
      <c r="F36" s="264" t="n">
        <v>1.7</v>
      </c>
      <c r="G36" s="30">
        <f>ROUND(E36*F36,2)</f>
        <v/>
      </c>
      <c r="H36" s="265">
        <f>G36/$G$39</f>
        <v/>
      </c>
      <c r="I36" s="30">
        <f>ROUND(F36*'Прил. 10'!$D$12,2)</f>
        <v/>
      </c>
      <c r="J36" s="30">
        <f>ROUND(I36*E36,2)</f>
        <v/>
      </c>
    </row>
    <row r="37" ht="14.25" customFormat="1" customHeight="1" s="201">
      <c r="A37" s="259" t="n"/>
      <c r="B37" s="259" t="n"/>
      <c r="C37" s="262" t="inlineStr">
        <is>
          <t>Итого прочие машины и механизмы</t>
        </is>
      </c>
      <c r="D37" s="259" t="n"/>
      <c r="E37" s="263" t="n"/>
      <c r="F37" s="30" t="n"/>
      <c r="G37" s="179">
        <f>SUM(G25:G36)</f>
        <v/>
      </c>
      <c r="H37" s="265">
        <f>G37/G39</f>
        <v/>
      </c>
      <c r="I37" s="30" t="n"/>
      <c r="J37" s="179">
        <f>SUM(J25:J36)</f>
        <v/>
      </c>
    </row>
    <row r="38" ht="25.5" customFormat="1" customHeight="1" s="201">
      <c r="A38" s="259" t="n"/>
      <c r="B38" s="259" t="n"/>
      <c r="C38" s="176" t="inlineStr">
        <is>
          <t>Итого прочие машины и механизмы 
(с коэффициентом на демонтаж 0,7)</t>
        </is>
      </c>
      <c r="D38" s="259" t="n"/>
      <c r="E38" s="263" t="n"/>
      <c r="F38" s="30" t="n"/>
      <c r="G38" s="30">
        <f>G37*0.7</f>
        <v/>
      </c>
      <c r="H38" s="265">
        <f>G38/G40</f>
        <v/>
      </c>
      <c r="I38" s="30" t="n"/>
      <c r="J38" s="30">
        <f>J37*0.7</f>
        <v/>
      </c>
    </row>
    <row r="39" ht="25.5" customFormat="1" customHeight="1" s="201">
      <c r="A39" s="259" t="n"/>
      <c r="B39" s="259" t="n"/>
      <c r="C39" s="247" t="inlineStr">
        <is>
          <t>Итого по разделу «Машины и механизмы»</t>
        </is>
      </c>
      <c r="D39" s="259" t="n"/>
      <c r="E39" s="263" t="n"/>
      <c r="F39" s="30" t="n"/>
      <c r="G39" s="30">
        <f>G37+G23</f>
        <v/>
      </c>
      <c r="H39" s="181" t="n">
        <v>1</v>
      </c>
      <c r="I39" s="182" t="n"/>
      <c r="J39" s="183">
        <f>J37+J23</f>
        <v/>
      </c>
    </row>
    <row r="40" ht="38.25" customFormat="1" customHeight="1" s="201">
      <c r="A40" s="259" t="n"/>
      <c r="B40" s="259" t="n"/>
      <c r="C40" s="184" t="inlineStr">
        <is>
          <t>Итого по разделу «Машины и механизмы»  
(с коэффициентом на демонтаж 0,7)</t>
        </is>
      </c>
      <c r="D40" s="261" t="n"/>
      <c r="E40" s="186" t="n"/>
      <c r="F40" s="183" t="n"/>
      <c r="G40" s="183">
        <f>G24+G38</f>
        <v/>
      </c>
      <c r="H40" s="181" t="n">
        <v>1</v>
      </c>
      <c r="I40" s="182" t="n"/>
      <c r="J40" s="183">
        <f>J24+J38</f>
        <v/>
      </c>
      <c r="K40" s="190" t="n"/>
    </row>
    <row r="41" ht="14.25" customFormat="1" customHeight="1" s="201">
      <c r="A41" s="259" t="n"/>
      <c r="B41" s="247" t="inlineStr">
        <is>
          <t>Оборудование</t>
        </is>
      </c>
      <c r="C41" s="324" t="n"/>
      <c r="D41" s="324" t="n"/>
      <c r="E41" s="324" t="n"/>
      <c r="F41" s="324" t="n"/>
      <c r="G41" s="324" t="n"/>
      <c r="H41" s="325" t="n"/>
      <c r="I41" s="174" t="n"/>
      <c r="J41" s="174" t="n"/>
    </row>
    <row r="42">
      <c r="A42" s="259" t="n"/>
      <c r="B42" s="262" t="inlineStr">
        <is>
          <t>Основное оборудование</t>
        </is>
      </c>
      <c r="C42" s="324" t="n"/>
      <c r="D42" s="324" t="n"/>
      <c r="E42" s="324" t="n"/>
      <c r="F42" s="324" t="n"/>
      <c r="G42" s="324" t="n"/>
      <c r="H42" s="325" t="n"/>
      <c r="I42" s="174" t="n"/>
      <c r="J42" s="174" t="n"/>
    </row>
    <row r="43">
      <c r="A43" s="259" t="n"/>
      <c r="B43" s="259" t="n"/>
      <c r="C43" s="262" t="inlineStr">
        <is>
          <t>Итого основное оборудование</t>
        </is>
      </c>
      <c r="D43" s="259" t="n"/>
      <c r="E43" s="331" t="n"/>
      <c r="F43" s="264" t="n"/>
      <c r="G43" s="30" t="n">
        <v>0</v>
      </c>
      <c r="H43" s="266" t="n">
        <v>0</v>
      </c>
      <c r="I43" s="179" t="n"/>
      <c r="J43" s="30" t="n">
        <v>0</v>
      </c>
    </row>
    <row r="44">
      <c r="A44" s="259" t="n"/>
      <c r="B44" s="259" t="n"/>
      <c r="C44" s="262" t="inlineStr">
        <is>
          <t>Итого прочее оборудование</t>
        </is>
      </c>
      <c r="D44" s="259" t="n"/>
      <c r="E44" s="331" t="n"/>
      <c r="F44" s="264" t="n"/>
      <c r="G44" s="30" t="n">
        <v>0</v>
      </c>
      <c r="H44" s="265" t="n">
        <v>0</v>
      </c>
      <c r="I44" s="179" t="n"/>
      <c r="J44" s="30" t="n">
        <v>0</v>
      </c>
    </row>
    <row r="45">
      <c r="A45" s="259" t="n"/>
      <c r="B45" s="259" t="n"/>
      <c r="C45" s="247" t="inlineStr">
        <is>
          <t>Итого по разделу «Оборудование»</t>
        </is>
      </c>
      <c r="D45" s="259" t="n"/>
      <c r="E45" s="263" t="n"/>
      <c r="F45" s="264" t="n"/>
      <c r="G45" s="30">
        <f>G44+G43</f>
        <v/>
      </c>
      <c r="H45" s="266">
        <f>H44+H43</f>
        <v/>
      </c>
      <c r="I45" s="179" t="n"/>
      <c r="J45" s="30">
        <f>J44+J43</f>
        <v/>
      </c>
    </row>
    <row r="46" ht="25.5" customHeight="1" s="203">
      <c r="A46" s="259" t="n"/>
      <c r="B46" s="259" t="n"/>
      <c r="C46" s="262" t="inlineStr">
        <is>
          <t>в том числе технологическое оборудование</t>
        </is>
      </c>
      <c r="D46" s="259" t="n"/>
      <c r="E46" s="333" t="n"/>
      <c r="F46" s="264" t="n"/>
      <c r="G46" s="30" t="n">
        <v>0</v>
      </c>
      <c r="H46" s="266" t="n"/>
      <c r="I46" s="179" t="n"/>
      <c r="J46" s="30">
        <f>J45</f>
        <v/>
      </c>
    </row>
    <row r="47" ht="14.25" customFormat="1" customHeight="1" s="201">
      <c r="A47" s="259" t="n"/>
      <c r="B47" s="247" t="inlineStr">
        <is>
          <t>Материалы</t>
        </is>
      </c>
      <c r="C47" s="324" t="n"/>
      <c r="D47" s="324" t="n"/>
      <c r="E47" s="324" t="n"/>
      <c r="F47" s="324" t="n"/>
      <c r="G47" s="324" t="n"/>
      <c r="H47" s="325" t="n"/>
      <c r="I47" s="187" t="n"/>
      <c r="J47" s="187" t="n"/>
    </row>
    <row r="48" ht="14.25" customFormat="1" customHeight="1" s="201">
      <c r="A48" s="259" t="n"/>
      <c r="B48" s="262" t="inlineStr">
        <is>
          <t>Основные материалы</t>
        </is>
      </c>
      <c r="C48" s="324" t="n"/>
      <c r="D48" s="324" t="n"/>
      <c r="E48" s="324" t="n"/>
      <c r="F48" s="324" t="n"/>
      <c r="G48" s="324" t="n"/>
      <c r="H48" s="325" t="n"/>
      <c r="I48" s="187" t="n"/>
      <c r="J48" s="187" t="n"/>
    </row>
    <row r="49" ht="14.25" customFormat="1" customHeight="1" s="201">
      <c r="A49" s="259" t="n"/>
      <c r="B49" s="157" t="n"/>
      <c r="C49" s="262" t="inlineStr">
        <is>
          <t>Итого основные материалы</t>
        </is>
      </c>
      <c r="D49" s="259" t="n"/>
      <c r="E49" s="331" t="n"/>
      <c r="F49" s="30" t="n"/>
      <c r="G49" s="30" t="n">
        <v>0</v>
      </c>
      <c r="H49" s="265" t="n">
        <v>0</v>
      </c>
      <c r="I49" s="30" t="n"/>
      <c r="J49" s="30" t="n">
        <v>0</v>
      </c>
    </row>
    <row r="50" ht="14.25" customFormat="1" customHeight="1" s="201">
      <c r="A50" s="259" t="n"/>
      <c r="B50" s="259" t="n"/>
      <c r="C50" s="262" t="inlineStr">
        <is>
          <t>Итого прочие материалы</t>
        </is>
      </c>
      <c r="D50" s="259" t="n"/>
      <c r="E50" s="263" t="n"/>
      <c r="F50" s="264" t="n"/>
      <c r="G50" s="30" t="n">
        <v>0</v>
      </c>
      <c r="H50" s="265" t="n">
        <v>0</v>
      </c>
      <c r="I50" s="30" t="n"/>
      <c r="J50" s="30" t="n">
        <v>0</v>
      </c>
    </row>
    <row r="51" ht="14.25" customFormat="1" customHeight="1" s="201">
      <c r="A51" s="259" t="n"/>
      <c r="B51" s="259" t="n"/>
      <c r="C51" s="247" t="inlineStr">
        <is>
          <t>Итого по разделу «Материалы»</t>
        </is>
      </c>
      <c r="D51" s="259" t="n"/>
      <c r="E51" s="263" t="n"/>
      <c r="F51" s="264" t="n"/>
      <c r="G51" s="30">
        <f>G49+G50</f>
        <v/>
      </c>
      <c r="H51" s="265" t="n">
        <v>0</v>
      </c>
      <c r="I51" s="30" t="n"/>
      <c r="J51" s="30">
        <f>J49+J50</f>
        <v/>
      </c>
    </row>
    <row r="52" ht="14.25" customFormat="1" customHeight="1" s="201">
      <c r="A52" s="259" t="n"/>
      <c r="B52" s="259" t="n"/>
      <c r="C52" s="262" t="inlineStr">
        <is>
          <t>ИТОГО ПО РМ</t>
        </is>
      </c>
      <c r="D52" s="259" t="n"/>
      <c r="E52" s="263" t="n"/>
      <c r="F52" s="264" t="n"/>
      <c r="G52" s="30">
        <f>G14+G39</f>
        <v/>
      </c>
      <c r="H52" s="265" t="n"/>
      <c r="I52" s="30" t="n"/>
      <c r="J52" s="30">
        <f>J14+J39+J51</f>
        <v/>
      </c>
    </row>
    <row r="53" ht="25.5" customFormat="1" customHeight="1" s="201">
      <c r="A53" s="259" t="n"/>
      <c r="B53" s="259" t="n"/>
      <c r="C53" s="262" t="inlineStr">
        <is>
          <t>ИТОГО ПО РМ
(с коэффициентом на демонтаж 0,7)</t>
        </is>
      </c>
      <c r="D53" s="259" t="n"/>
      <c r="E53" s="263" t="n"/>
      <c r="F53" s="264" t="n"/>
      <c r="G53" s="30">
        <f>G15+G40</f>
        <v/>
      </c>
      <c r="H53" s="265" t="n"/>
      <c r="I53" s="30" t="n"/>
      <c r="J53" s="30">
        <f>J14*0.7+J39*0.7+J51</f>
        <v/>
      </c>
    </row>
    <row r="54" ht="14.25" customFormat="1" customHeight="1" s="201">
      <c r="A54" s="259" t="n"/>
      <c r="B54" s="259" t="n"/>
      <c r="C54" s="262" t="inlineStr">
        <is>
          <t>Накладные расходы</t>
        </is>
      </c>
      <c r="D54" s="188">
        <f>ROUND(G54/(G$17+$G$14),2)</f>
        <v/>
      </c>
      <c r="E54" s="263" t="n"/>
      <c r="F54" s="264" t="n"/>
      <c r="G54" s="30" t="n">
        <v>3863.8</v>
      </c>
      <c r="H54" s="266" t="n"/>
      <c r="I54" s="30" t="n"/>
      <c r="J54" s="30">
        <f>ROUND(D54*(J14+J17),2)</f>
        <v/>
      </c>
    </row>
    <row r="55" ht="25.5" customFormat="1" customHeight="1" s="201">
      <c r="A55" s="259" t="n"/>
      <c r="B55" s="259" t="n"/>
      <c r="C55" s="262" t="inlineStr">
        <is>
          <t>Накладные расходы 
(с коэффициентом на демонтаж 0,7)</t>
        </is>
      </c>
      <c r="D55" s="189">
        <f>ROUND(G55/(G$18+$G$15),2)</f>
        <v/>
      </c>
      <c r="E55" s="263" t="n"/>
      <c r="F55" s="264" t="n"/>
      <c r="G55" s="30">
        <f>G54*0.7</f>
        <v/>
      </c>
      <c r="H55" s="266" t="n"/>
      <c r="I55" s="30" t="n"/>
      <c r="J55" s="30">
        <f>ROUND(D55*(J15+J18),2)</f>
        <v/>
      </c>
    </row>
    <row r="56" ht="14.25" customFormat="1" customHeight="1" s="201">
      <c r="A56" s="259" t="n"/>
      <c r="B56" s="259" t="n"/>
      <c r="C56" s="262" t="inlineStr">
        <is>
          <t>Сметная прибыль</t>
        </is>
      </c>
      <c r="D56" s="188">
        <f>ROUND(G56/(G$14+G$17),2)</f>
        <v/>
      </c>
      <c r="E56" s="263" t="n"/>
      <c r="F56" s="264" t="n"/>
      <c r="G56" s="30" t="n">
        <v>2113.98</v>
      </c>
      <c r="H56" s="266" t="n"/>
      <c r="I56" s="30" t="n"/>
      <c r="J56" s="30">
        <f>ROUND(D56*(J14+J17),2)</f>
        <v/>
      </c>
    </row>
    <row r="57" ht="25.5" customFormat="1" customHeight="1" s="201">
      <c r="A57" s="259" t="n"/>
      <c r="B57" s="259" t="n"/>
      <c r="C57" s="262" t="inlineStr">
        <is>
          <t>Сметная прибыль 
(с коэффициентом на демонтаж 0,7)</t>
        </is>
      </c>
      <c r="D57" s="189">
        <f>ROUND(G57/(G$15+G$18),2)</f>
        <v/>
      </c>
      <c r="E57" s="263" t="n"/>
      <c r="F57" s="264" t="n"/>
      <c r="G57" s="30">
        <f>G56*0.7</f>
        <v/>
      </c>
      <c r="H57" s="266" t="n"/>
      <c r="I57" s="30" t="n"/>
      <c r="J57" s="30">
        <f>ROUND(D57*(J15+J18),2)</f>
        <v/>
      </c>
    </row>
    <row r="58" ht="25.5" customFormat="1" customHeight="1" s="201">
      <c r="A58" s="259" t="n"/>
      <c r="B58" s="259" t="n"/>
      <c r="C58" s="262" t="inlineStr">
        <is>
          <t>Итого СМР (с НР и СП) 
(с коэффициентом на демонтаж 0,7)</t>
        </is>
      </c>
      <c r="D58" s="259" t="n"/>
      <c r="E58" s="263" t="n"/>
      <c r="F58" s="264" t="n"/>
      <c r="G58" s="30">
        <f>G53+G55+G57</f>
        <v/>
      </c>
      <c r="H58" s="266" t="n"/>
      <c r="I58" s="30" t="n"/>
      <c r="J58" s="30">
        <f>ROUND((J53+J55+J57),2)</f>
        <v/>
      </c>
    </row>
    <row r="59" ht="25.5" customFormat="1" customHeight="1" s="201">
      <c r="A59" s="259" t="n"/>
      <c r="B59" s="259" t="n"/>
      <c r="C59" s="262" t="inlineStr">
        <is>
          <t>ВСЕГО СМР + ОБОРУДОВАНИЕ 
(с коэффициентом на демонтаж 0,7)</t>
        </is>
      </c>
      <c r="D59" s="259" t="n"/>
      <c r="E59" s="263" t="n"/>
      <c r="F59" s="264" t="n"/>
      <c r="G59" s="30">
        <f>G58</f>
        <v/>
      </c>
      <c r="H59" s="266" t="n"/>
      <c r="I59" s="30" t="n"/>
      <c r="J59" s="30">
        <f>J58</f>
        <v/>
      </c>
    </row>
    <row r="60" ht="34.5" customFormat="1" customHeight="1" s="201">
      <c r="A60" s="259" t="n"/>
      <c r="B60" s="259" t="n"/>
      <c r="C60" s="262" t="inlineStr">
        <is>
          <t>ИТОГО ПОКАЗАТЕЛЬ НА ЕД. ИЗМ.</t>
        </is>
      </c>
      <c r="D60" s="259" t="inlineStr">
        <is>
          <t>1 ед.</t>
        </is>
      </c>
      <c r="E60" s="263" t="n">
        <v>9</v>
      </c>
      <c r="F60" s="264" t="n"/>
      <c r="G60" s="30">
        <f>G59/E60</f>
        <v/>
      </c>
      <c r="H60" s="266" t="n"/>
      <c r="I60" s="30" t="n"/>
      <c r="J60" s="183">
        <f>J59/E60</f>
        <v/>
      </c>
    </row>
    <row r="62" ht="14.25" customFormat="1" customHeight="1" s="201">
      <c r="A62" s="191" t="inlineStr">
        <is>
          <t>Составил ______________________     Д.Ю. Нефедова</t>
        </is>
      </c>
    </row>
    <row r="63" ht="14.25" customFormat="1" customHeight="1" s="201">
      <c r="A63" s="202" t="inlineStr">
        <is>
          <t xml:space="preserve">                         (подпись, инициалы, фамилия)</t>
        </is>
      </c>
    </row>
    <row r="64" ht="14.25" customFormat="1" customHeight="1" s="201">
      <c r="A64" s="191" t="n"/>
    </row>
    <row r="65" ht="14.25" customFormat="1" customHeight="1" s="201">
      <c r="A65" s="191" t="inlineStr">
        <is>
          <t>Проверил ______________________        А.В. Костянецкая</t>
        </is>
      </c>
    </row>
    <row r="66" ht="14.25" customFormat="1" customHeight="1" s="201">
      <c r="A66" s="20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E9:E10"/>
    <mergeCell ref="B41:H41"/>
    <mergeCell ref="A7:H7"/>
    <mergeCell ref="B47:H47"/>
    <mergeCell ref="B16:H16"/>
    <mergeCell ref="B9:B10"/>
    <mergeCell ref="D9:D10"/>
    <mergeCell ref="B12:H12"/>
    <mergeCell ref="D6:J6"/>
    <mergeCell ref="B48:H48"/>
    <mergeCell ref="B42:H42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  <rowBreaks count="1" manualBreakCount="1">
    <brk id="46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03" min="1" max="1"/>
    <col width="17.5703125" customWidth="1" style="203" min="2" max="2"/>
    <col width="39.140625" customWidth="1" style="203" min="3" max="3"/>
    <col width="10.7109375" customWidth="1" style="278" min="4" max="4"/>
    <col width="13.85546875" customWidth="1" style="203" min="5" max="5"/>
    <col width="13.28515625" customWidth="1" style="203" min="6" max="6"/>
    <col width="14.140625" customWidth="1" style="203" min="7" max="7"/>
  </cols>
  <sheetData>
    <row r="1">
      <c r="A1" s="272" t="inlineStr">
        <is>
          <t>Приложение №6</t>
        </is>
      </c>
    </row>
    <row r="2" ht="21.75" customHeight="1" s="203">
      <c r="A2" s="272" t="n"/>
      <c r="B2" s="272" t="n"/>
      <c r="C2" s="272" t="n"/>
      <c r="D2" s="280" t="n"/>
      <c r="E2" s="272" t="n"/>
      <c r="F2" s="272" t="n"/>
      <c r="G2" s="272" t="n"/>
    </row>
    <row r="3">
      <c r="A3" s="227" t="inlineStr">
        <is>
          <t>Расчет стоимости оборудования</t>
        </is>
      </c>
    </row>
    <row r="4" ht="25.5" customHeight="1" s="203">
      <c r="A4" s="230" t="inlineStr">
        <is>
          <t>Наименование разрабатываемого показателя УНЦ — Демонтаж шинной опоры 35 кВ</t>
        </is>
      </c>
    </row>
    <row r="5">
      <c r="A5" s="191" t="n"/>
      <c r="B5" s="191" t="n"/>
      <c r="C5" s="191" t="n"/>
      <c r="D5" s="280" t="n"/>
      <c r="E5" s="191" t="n"/>
      <c r="F5" s="191" t="n"/>
      <c r="G5" s="191" t="n"/>
    </row>
    <row r="6" ht="30" customHeight="1" s="203">
      <c r="A6" s="277" t="inlineStr">
        <is>
          <t>№ пп.</t>
        </is>
      </c>
      <c r="B6" s="277" t="inlineStr">
        <is>
          <t>Код ресурса</t>
        </is>
      </c>
      <c r="C6" s="277" t="inlineStr">
        <is>
          <t>Наименование</t>
        </is>
      </c>
      <c r="D6" s="277" t="inlineStr">
        <is>
          <t>Ед. изм.</t>
        </is>
      </c>
      <c r="E6" s="259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03">
      <c r="A9" s="24" t="n"/>
      <c r="B9" s="262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 s="203">
      <c r="A10" s="259" t="n"/>
      <c r="B10" s="247" t="n"/>
      <c r="C10" s="262" t="inlineStr">
        <is>
          <t>ИТОГО ИНЖЕНЕРНОЕ ОБОРУДОВАНИЕ</t>
        </is>
      </c>
      <c r="D10" s="267" t="n"/>
      <c r="E10" s="103" t="n"/>
      <c r="F10" s="264" t="n"/>
      <c r="G10" s="264" t="n">
        <v>0</v>
      </c>
    </row>
    <row r="11">
      <c r="A11" s="259" t="n"/>
      <c r="B11" s="262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 ht="25.5" customHeight="1" s="203">
      <c r="A12" s="259" t="n"/>
      <c r="B12" s="262" t="n"/>
      <c r="C12" s="262" t="inlineStr">
        <is>
          <t>ИТОГО ТЕХНОЛОГИЧЕСКОЕ ОБОРУДОВАНИЕ</t>
        </is>
      </c>
      <c r="D12" s="259" t="n"/>
      <c r="E12" s="276" t="n"/>
      <c r="F12" s="264" t="n"/>
      <c r="G12" s="30" t="n">
        <v>0</v>
      </c>
    </row>
    <row r="13" ht="19.5" customHeight="1" s="203">
      <c r="A13" s="259" t="n"/>
      <c r="B13" s="262" t="n"/>
      <c r="C13" s="262" t="inlineStr">
        <is>
          <t>Всего по разделу «Оборудование»</t>
        </is>
      </c>
      <c r="D13" s="259" t="n"/>
      <c r="E13" s="276" t="n"/>
      <c r="F13" s="264" t="n"/>
      <c r="G13" s="30">
        <f>G10+G12</f>
        <v/>
      </c>
    </row>
    <row r="14">
      <c r="A14" s="199" t="n"/>
      <c r="B14" s="200" t="n"/>
      <c r="C14" s="199" t="n"/>
      <c r="D14" s="127" t="n"/>
      <c r="E14" s="199" t="n"/>
      <c r="F14" s="199" t="n"/>
      <c r="G14" s="199" t="n"/>
    </row>
    <row r="15">
      <c r="A15" s="323" t="inlineStr">
        <is>
          <t>Составил ______________________    Д.Ю. Нефедова</t>
        </is>
      </c>
      <c r="B15" s="201" t="n"/>
      <c r="C15" s="201" t="n"/>
      <c r="D15" s="127" t="n"/>
      <c r="E15" s="199" t="n"/>
      <c r="F15" s="199" t="n"/>
      <c r="G15" s="199" t="n"/>
    </row>
    <row r="16">
      <c r="A16" s="202" t="inlineStr">
        <is>
          <t xml:space="preserve">                         (подпись, инициалы, фамилия)</t>
        </is>
      </c>
      <c r="B16" s="201" t="n"/>
      <c r="C16" s="201" t="n"/>
      <c r="D16" s="127" t="n"/>
      <c r="E16" s="199" t="n"/>
      <c r="F16" s="199" t="n"/>
      <c r="G16" s="199" t="n"/>
    </row>
    <row r="17">
      <c r="A17" s="191" t="n"/>
      <c r="B17" s="201" t="n"/>
      <c r="C17" s="201" t="n"/>
      <c r="D17" s="127" t="n"/>
      <c r="E17" s="199" t="n"/>
      <c r="F17" s="199" t="n"/>
      <c r="G17" s="199" t="n"/>
    </row>
    <row r="18">
      <c r="A18" s="191" t="inlineStr">
        <is>
          <t>Проверил ______________________        А.В. Костянецкая</t>
        </is>
      </c>
      <c r="B18" s="201" t="n"/>
      <c r="C18" s="201" t="n"/>
      <c r="D18" s="127" t="n"/>
      <c r="E18" s="199" t="n"/>
      <c r="F18" s="199" t="n"/>
      <c r="G18" s="199" t="n"/>
    </row>
    <row r="19">
      <c r="A19" s="202" t="inlineStr">
        <is>
          <t xml:space="preserve">                        (подпись, инициалы, фамилия)</t>
        </is>
      </c>
      <c r="B19" s="201" t="n"/>
      <c r="C19" s="201" t="n"/>
      <c r="D19" s="127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03" min="1" max="1"/>
    <col width="29.7109375" customWidth="1" style="203" min="2" max="2"/>
    <col width="39.140625" customWidth="1" style="203" min="3" max="3"/>
    <col width="27.7109375" customWidth="1" style="203" min="4" max="4"/>
  </cols>
  <sheetData>
    <row r="1">
      <c r="B1" s="191" t="n"/>
      <c r="C1" s="191" t="n"/>
      <c r="D1" s="272" t="inlineStr">
        <is>
          <t>Приложение №7</t>
        </is>
      </c>
    </row>
    <row r="2">
      <c r="A2" s="272" t="n"/>
      <c r="B2" s="272" t="n"/>
      <c r="C2" s="272" t="n"/>
      <c r="D2" s="272" t="n"/>
    </row>
    <row r="3" ht="24.75" customHeight="1" s="203">
      <c r="A3" s="227" t="inlineStr">
        <is>
          <t>Расчет показателя УНЦ</t>
        </is>
      </c>
    </row>
    <row r="4" ht="24.75" customHeight="1" s="203">
      <c r="A4" s="227" t="n"/>
      <c r="B4" s="227" t="n"/>
      <c r="C4" s="227" t="n"/>
      <c r="D4" s="227" t="n"/>
    </row>
    <row r="5" ht="24.6" customHeight="1" s="203">
      <c r="A5" s="230" t="inlineStr">
        <is>
          <t xml:space="preserve">Наименование разрабатываемого показателя УНЦ - </t>
        </is>
      </c>
      <c r="D5" s="230">
        <f>'Прил.5 Расчет СМР и ОБ'!D6:J6</f>
        <v/>
      </c>
    </row>
    <row r="6" ht="19.9" customHeight="1" s="203">
      <c r="A6" s="230" t="inlineStr">
        <is>
          <t>Единица измерения  — 1 ед</t>
        </is>
      </c>
      <c r="D6" s="230" t="n"/>
    </row>
    <row r="7">
      <c r="A7" s="191" t="n"/>
      <c r="B7" s="191" t="n"/>
      <c r="C7" s="191" t="n"/>
      <c r="D7" s="191" t="n"/>
    </row>
    <row r="8" ht="14.45" customHeight="1" s="203">
      <c r="A8" s="241" t="inlineStr">
        <is>
          <t>Код показателя</t>
        </is>
      </c>
      <c r="B8" s="241" t="inlineStr">
        <is>
          <t>Наименование показателя</t>
        </is>
      </c>
      <c r="C8" s="241" t="inlineStr">
        <is>
          <t>Наименование РМ, входящих в состав показателя</t>
        </is>
      </c>
      <c r="D8" s="241" t="inlineStr">
        <is>
          <t>Норматив цены на 01.01.2023, тыс.руб.</t>
        </is>
      </c>
    </row>
    <row r="9" ht="15" customHeight="1" s="203">
      <c r="A9" s="327" t="n"/>
      <c r="B9" s="327" t="n"/>
      <c r="C9" s="327" t="n"/>
      <c r="D9" s="327" t="n"/>
    </row>
    <row r="10">
      <c r="A10" s="259" t="n">
        <v>1</v>
      </c>
      <c r="B10" s="259" t="n">
        <v>2</v>
      </c>
      <c r="C10" s="259" t="n">
        <v>3</v>
      </c>
      <c r="D10" s="259" t="n">
        <v>4</v>
      </c>
    </row>
    <row r="11" ht="41.45" customHeight="1" s="203">
      <c r="A11" s="259" t="inlineStr">
        <is>
          <t>М6-13-2</t>
        </is>
      </c>
      <c r="B11" s="259" t="inlineStr">
        <is>
          <t>УНЦ на демонтажные работы ПС</t>
        </is>
      </c>
      <c r="C11" s="196">
        <f>D5</f>
        <v/>
      </c>
      <c r="D11" s="197">
        <f>'Прил.4 РМ'!C41/1000</f>
        <v/>
      </c>
      <c r="E11" s="198" t="n"/>
    </row>
    <row r="12">
      <c r="A12" s="199" t="n"/>
      <c r="B12" s="200" t="n"/>
      <c r="C12" s="199" t="n"/>
      <c r="D12" s="199" t="n"/>
    </row>
    <row r="13">
      <c r="A13" s="191" t="inlineStr">
        <is>
          <t>Составил ______________________      Д.Ю. Нефедова</t>
        </is>
      </c>
      <c r="B13" s="201" t="n"/>
      <c r="C13" s="201" t="n"/>
      <c r="D13" s="199" t="n"/>
    </row>
    <row r="14">
      <c r="A14" s="202" t="inlineStr">
        <is>
          <t xml:space="preserve">                         (подпись, инициалы, фамилия)</t>
        </is>
      </c>
      <c r="B14" s="201" t="n"/>
      <c r="C14" s="201" t="n"/>
      <c r="D14" s="199" t="n"/>
    </row>
    <row r="15">
      <c r="A15" s="191" t="n"/>
      <c r="B15" s="201" t="n"/>
      <c r="C15" s="201" t="n"/>
      <c r="D15" s="199" t="n"/>
    </row>
    <row r="16">
      <c r="A16" s="191" t="inlineStr">
        <is>
          <t>Проверил ______________________        А.В. Костянецкая</t>
        </is>
      </c>
      <c r="B16" s="201" t="n"/>
      <c r="C16" s="201" t="n"/>
      <c r="D16" s="199" t="n"/>
    </row>
    <row r="17">
      <c r="A17" s="202" t="inlineStr">
        <is>
          <t xml:space="preserve">                        (подпись, инициалы, фамилия)</t>
        </is>
      </c>
      <c r="B17" s="201" t="n"/>
      <c r="C17" s="201" t="n"/>
      <c r="D17" s="1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8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4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03" min="2" max="2"/>
    <col width="37" customWidth="1" style="203" min="3" max="3"/>
    <col width="32" customWidth="1" style="203" min="4" max="4"/>
  </cols>
  <sheetData>
    <row r="4" ht="15.75" customHeight="1" s="203">
      <c r="B4" s="234" t="inlineStr">
        <is>
          <t>Приложение № 10</t>
        </is>
      </c>
    </row>
    <row r="5" ht="18.75" customHeight="1" s="203">
      <c r="B5" s="118" t="n"/>
    </row>
    <row r="6" ht="15.75" customHeight="1" s="203">
      <c r="B6" s="235" t="inlineStr">
        <is>
          <t>Используемые индексы изменений сметной стоимости и нормы сопутствующих затрат</t>
        </is>
      </c>
    </row>
    <row r="7">
      <c r="B7" s="278" t="n"/>
    </row>
    <row r="8">
      <c r="B8" s="278" t="n"/>
      <c r="C8" s="278" t="n"/>
      <c r="D8" s="278" t="n"/>
      <c r="E8" s="278" t="n"/>
    </row>
    <row r="9" ht="47.25" customHeight="1" s="203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 s="203">
      <c r="B10" s="241" t="n">
        <v>1</v>
      </c>
      <c r="C10" s="241" t="n">
        <v>2</v>
      </c>
      <c r="D10" s="241" t="n">
        <v>3</v>
      </c>
    </row>
    <row r="11" ht="45" customHeight="1" s="203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29.25" customHeight="1" s="203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13.47</v>
      </c>
    </row>
    <row r="13" ht="29.25" customHeight="1" s="203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8.039999999999999</v>
      </c>
    </row>
    <row r="14" ht="30.75" customHeight="1" s="203">
      <c r="B14" s="24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1" t="n">
        <v>6.26</v>
      </c>
    </row>
    <row r="15" ht="89.25" customHeight="1" s="203">
      <c r="B15" s="241" t="inlineStr">
        <is>
          <t>Временные здания и сооружения</t>
        </is>
      </c>
      <c r="C15" s="2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3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03">
      <c r="B17" s="241" t="inlineStr">
        <is>
          <t>Строительный контроль</t>
        </is>
      </c>
      <c r="C17" s="241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03">
      <c r="B18" s="241" t="inlineStr">
        <is>
          <t>Авторский надзор - 0,2%</t>
        </is>
      </c>
      <c r="C18" s="241" t="inlineStr">
        <is>
          <t>Приказ от 4.08.2020 № 421/пр п.173</t>
        </is>
      </c>
      <c r="D18" s="120" t="n">
        <v>0.002</v>
      </c>
    </row>
    <row r="19" ht="24" customHeight="1" s="203">
      <c r="B19" s="241" t="inlineStr">
        <is>
          <t>Непредвиденные расходы</t>
        </is>
      </c>
      <c r="C19" s="241" t="inlineStr">
        <is>
          <t>Приказ от 4.08.2020 № 421/пр п.179</t>
        </is>
      </c>
      <c r="D19" s="120" t="n">
        <v>0.03</v>
      </c>
    </row>
    <row r="20" ht="18.75" customHeight="1" s="203">
      <c r="B20" s="119" t="n"/>
    </row>
    <row r="21" ht="18.75" customHeight="1" s="203">
      <c r="B21" s="119" t="n"/>
    </row>
    <row r="22" ht="18.75" customHeight="1" s="203">
      <c r="B22" s="119" t="n"/>
    </row>
    <row r="23" ht="18.75" customHeight="1" s="203">
      <c r="B23" s="119" t="n"/>
    </row>
    <row r="26">
      <c r="B26" s="191" t="inlineStr">
        <is>
          <t>Составил ______________________        Д.Ю. Нефедова</t>
        </is>
      </c>
      <c r="C26" s="201" t="n"/>
    </row>
    <row r="27">
      <c r="B27" s="202" t="inlineStr">
        <is>
          <t xml:space="preserve">                         (подпись, инициалы, фамилия)</t>
        </is>
      </c>
      <c r="C27" s="201" t="n"/>
    </row>
    <row r="28">
      <c r="B28" s="191" t="n"/>
      <c r="C28" s="201" t="n"/>
    </row>
    <row r="29">
      <c r="B29" s="191" t="inlineStr">
        <is>
          <t>Проверил ______________________        А.В. Костянецкая</t>
        </is>
      </c>
      <c r="C29" s="201" t="n"/>
    </row>
    <row r="30">
      <c r="B30" s="202" t="inlineStr">
        <is>
          <t xml:space="preserve">                        (подпись, инициалы, фамилия)</t>
        </is>
      </c>
      <c r="C30" s="2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G1" sqref="G1:G1048576"/>
    </sheetView>
  </sheetViews>
  <sheetFormatPr baseColWidth="8" defaultColWidth="9.140625" defaultRowHeight="15"/>
  <cols>
    <col width="44.85546875" customWidth="1" style="203" min="2" max="2"/>
    <col width="13" customWidth="1" style="203" min="3" max="3"/>
    <col width="22.85546875" customWidth="1" style="203" min="4" max="4"/>
    <col width="21.5703125" customWidth="1" style="203" min="5" max="5"/>
    <col width="43.85546875" customWidth="1" style="203" min="6" max="6"/>
  </cols>
  <sheetData>
    <row r="1" s="203"/>
    <row r="2" ht="17.25" customHeight="1" s="203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3" s="203"/>
    <row r="4" ht="18" customHeight="1" s="203">
      <c r="A4" s="204" t="inlineStr">
        <is>
          <t>Составлен в уровне цен на 01.01.2023 г.</t>
        </is>
      </c>
      <c r="B4" s="205" t="n"/>
      <c r="C4" s="205" t="n"/>
      <c r="D4" s="205" t="n"/>
      <c r="E4" s="205" t="n"/>
      <c r="F4" s="205" t="n"/>
      <c r="G4" s="205" t="n"/>
    </row>
    <row r="5" ht="15.75" customHeight="1" s="203">
      <c r="A5" s="206" t="inlineStr">
        <is>
          <t>№ пп.</t>
        </is>
      </c>
      <c r="B5" s="206" t="inlineStr">
        <is>
          <t>Наименование элемента</t>
        </is>
      </c>
      <c r="C5" s="206" t="inlineStr">
        <is>
          <t>Обозначение</t>
        </is>
      </c>
      <c r="D5" s="206" t="inlineStr">
        <is>
          <t>Формула</t>
        </is>
      </c>
      <c r="E5" s="206" t="inlineStr">
        <is>
          <t>Величина элемента</t>
        </is>
      </c>
      <c r="F5" s="206" t="inlineStr">
        <is>
          <t>Наименования обосновывающих документов</t>
        </is>
      </c>
      <c r="G5" s="205" t="n"/>
    </row>
    <row r="6" ht="15.75" customHeight="1" s="203">
      <c r="A6" s="206" t="n">
        <v>1</v>
      </c>
      <c r="B6" s="206" t="n">
        <v>2</v>
      </c>
      <c r="C6" s="206" t="n">
        <v>3</v>
      </c>
      <c r="D6" s="206" t="n">
        <v>4</v>
      </c>
      <c r="E6" s="206" t="n">
        <v>5</v>
      </c>
      <c r="F6" s="206" t="n">
        <v>6</v>
      </c>
      <c r="G6" s="205" t="n"/>
    </row>
    <row r="7" ht="110.25" customHeight="1" s="203">
      <c r="A7" s="207" t="inlineStr">
        <is>
          <t>1.1</t>
        </is>
      </c>
      <c r="B7" s="2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10" t="n">
        <v>47872.94</v>
      </c>
      <c r="F7" s="2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5" t="n"/>
    </row>
    <row r="8" ht="31.5" customHeight="1" s="203">
      <c r="A8" s="207" t="inlineStr">
        <is>
          <t>1.2</t>
        </is>
      </c>
      <c r="B8" s="212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11">
        <f>1973/12</f>
        <v/>
      </c>
      <c r="F8" s="212" t="inlineStr">
        <is>
          <t>Производственный календарь 2023 год
(40-часов.неделя)</t>
        </is>
      </c>
      <c r="G8" s="214" t="n"/>
    </row>
    <row r="9" ht="15.75" customHeight="1" s="203">
      <c r="A9" s="207" t="inlineStr">
        <is>
          <t>1.3</t>
        </is>
      </c>
      <c r="B9" s="212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11" t="n">
        <v>1</v>
      </c>
      <c r="F9" s="212" t="n"/>
      <c r="G9" s="214" t="n"/>
    </row>
    <row r="10" ht="15.75" customHeight="1" s="203">
      <c r="A10" s="207" t="inlineStr">
        <is>
          <t>1.4</t>
        </is>
      </c>
      <c r="B10" s="212" t="inlineStr">
        <is>
          <t>Средний разряд работ</t>
        </is>
      </c>
      <c r="C10" s="241" t="n"/>
      <c r="D10" s="241" t="n"/>
      <c r="E10" s="334" t="n">
        <v>4.6</v>
      </c>
      <c r="F10" s="212" t="inlineStr">
        <is>
          <t>РТМ</t>
        </is>
      </c>
      <c r="G10" s="214" t="n"/>
    </row>
    <row r="11" ht="78.75" customHeight="1" s="203">
      <c r="A11" s="207" t="inlineStr">
        <is>
          <t>1.5</t>
        </is>
      </c>
      <c r="B11" s="212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35" t="n">
        <v>1.461</v>
      </c>
      <c r="F11" s="2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5" t="n"/>
    </row>
    <row r="12" ht="78.75" customHeight="1" s="203">
      <c r="A12" s="207" t="inlineStr">
        <is>
          <t>1.6</t>
        </is>
      </c>
      <c r="B12" s="250" t="inlineStr">
        <is>
          <t>Коэффициент инфляции, определяемый поквартально</t>
        </is>
      </c>
      <c r="C12" s="241" t="inlineStr">
        <is>
          <t>Кинф</t>
        </is>
      </c>
      <c r="D12" s="241" t="inlineStr">
        <is>
          <t>-</t>
        </is>
      </c>
      <c r="E12" s="336" t="n">
        <v>1.139</v>
      </c>
      <c r="F12" s="2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4" t="n"/>
    </row>
    <row r="13" ht="63" customHeight="1" s="203">
      <c r="A13" s="220" t="inlineStr">
        <is>
          <t>1.7</t>
        </is>
      </c>
      <c r="B13" s="221" t="inlineStr">
        <is>
          <t>Размер средств на оплату труда рабочих-строителей в текущем уровне цен (ФОТр.тек.), руб/чел.-ч</t>
        </is>
      </c>
      <c r="C13" s="222" t="inlineStr">
        <is>
          <t>ФОТр.тек.</t>
        </is>
      </c>
      <c r="D13" s="222" t="inlineStr">
        <is>
          <t>(С1ср/tср*КТ*Т*Кув)*Кинф</t>
        </is>
      </c>
      <c r="E13" s="223">
        <f>((E7*E9/E8)*E11)*E12</f>
        <v/>
      </c>
      <c r="F13" s="2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2025-01-24T12:12:14Z</dcterms:modified>
  <cp:lastModifiedBy>Nikolay Ivanov</cp:lastModifiedBy>
  <cp:lastPrinted>2023-11-29T09:49:50Z</cp:lastPrinted>
</cp:coreProperties>
</file>