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3'!$A$1:$H$685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  <numFmt numFmtId="172" formatCode="0.0"/>
  </numFmts>
  <fonts count="25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563C1"/>
      <sz val="12"/>
      <u val="single"/>
    </font>
    <font>
      <name val="Times New Roman"/>
      <b val="1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FF0000"/>
      <sz val="12"/>
    </font>
    <font>
      <name val="Times New Roman"/>
      <strike val="0"/>
      <color rgb="FF000000"/>
      <sz val="10"/>
    </font>
    <font>
      <name val="Times New Roman"/>
      <b val="1"/>
      <strike val="0"/>
      <color rgb="FF000000"/>
      <sz val="14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171" fontId="16" fillId="0" borderId="0" pivotButton="0" quotePrefix="0" xfId="0"/>
    <xf numFmtId="10" fontId="16" fillId="0" borderId="0" applyAlignment="1" pivotButton="0" quotePrefix="0" xfId="0">
      <alignment vertical="center"/>
    </xf>
    <xf numFmtId="2" fontId="16" fillId="0" borderId="0" pivotButton="0" quotePrefix="0" xfId="0"/>
    <xf numFmtId="10" fontId="16" fillId="0" borderId="0" pivotButton="0" quotePrefix="0" xfId="0"/>
    <xf numFmtId="172" fontId="16" fillId="0" borderId="0" pivotButton="0" quotePrefix="0" xfId="0"/>
    <xf numFmtId="10" fontId="0" fillId="0" borderId="0" pivotButton="0" quotePrefix="0" xfId="0"/>
    <xf numFmtId="0" fontId="18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165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view="pageBreakPreview" topLeftCell="A10" zoomScale="85" zoomScaleNormal="55" workbookViewId="0">
      <selection activeCell="E16" sqref="E16"/>
    </sheetView>
  </sheetViews>
  <sheetFormatPr baseColWidth="8" defaultColWidth="9.140625" defaultRowHeight="14.4" outlineLevelRow="0"/>
  <cols>
    <col width="9.140625" customWidth="1" style="114" min="1" max="1"/>
    <col width="9.140625" customWidth="1" style="114" min="2" max="2"/>
    <col width="51.7109375" customWidth="1" style="114" min="3" max="3"/>
    <col width="49.85546875" customWidth="1" style="114" min="4" max="4"/>
    <col width="37.42578125" customWidth="1" style="114" min="5" max="5"/>
    <col width="9.140625" customWidth="1" style="114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>
      <c r="B5" s="241" t="n"/>
    </row>
    <row r="6" ht="18.75" customHeight="1">
      <c r="B6" s="148" t="n"/>
      <c r="C6" s="148" t="n"/>
      <c r="D6" s="148" t="n"/>
    </row>
    <row r="7" ht="64.5" customHeight="1">
      <c r="B7" s="238" t="inlineStr">
        <is>
          <t>Наименование разрабатываемого показателя УНЦ - Демонтаж здания РПБ.</t>
        </is>
      </c>
    </row>
    <row r="8" ht="31.7" customHeight="1">
      <c r="B8" s="240" t="inlineStr">
        <is>
          <t>Сопоставимый уровень цен: 1 кв. 2015</t>
        </is>
      </c>
    </row>
    <row r="9" ht="15.75" customHeight="1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1" t="n"/>
    </row>
    <row r="12" ht="108.75" customHeight="1">
      <c r="B12" s="243" t="n">
        <v>1</v>
      </c>
      <c r="C12" s="123" t="inlineStr">
        <is>
          <t>Наименование объекта-представителя</t>
        </is>
      </c>
      <c r="D12" s="243" t="inlineStr">
        <is>
          <t>Строительство ВЛ 330 кВ Кольская АЭС – Княжегубская ГЭС – ПС 330/110/10кВ Лоухи – ОРУ 330кВ Путкинской ГЭС – ОРУ 330кВ Ондской ГЭС. (в части сооружения РП 330кВ Путкинский и РП 330 кВ Ондский с заходами ВЛ 330кВ). РП Путскинский</t>
        </is>
      </c>
    </row>
    <row r="13">
      <c r="B13" s="243" t="n">
        <v>2</v>
      </c>
      <c r="C13" s="123" t="inlineStr">
        <is>
          <t>Наименование субъекта Российской Федерации</t>
        </is>
      </c>
      <c r="D13" s="243" t="inlineStr">
        <is>
          <t>Республика Карелия</t>
        </is>
      </c>
    </row>
    <row r="14">
      <c r="B14" s="243" t="n">
        <v>3</v>
      </c>
      <c r="C14" s="123" t="inlineStr">
        <is>
          <t>Климатический район и подрайон</t>
        </is>
      </c>
      <c r="D14" s="243" t="inlineStr">
        <is>
          <t>IВ</t>
        </is>
      </c>
    </row>
    <row r="15">
      <c r="B15" s="243" t="n">
        <v>4</v>
      </c>
      <c r="C15" s="123" t="inlineStr">
        <is>
          <t>Мощность объекта</t>
        </is>
      </c>
      <c r="D15" s="243" t="n">
        <v>1</v>
      </c>
    </row>
    <row r="16" ht="116.45" customHeight="1">
      <c r="B16" s="243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Здание вспомогательного назначения 
тип фундамента - Свайный с монолитным ж/б ростверком
363,6м2</t>
        </is>
      </c>
    </row>
    <row r="17" ht="79.5" customHeight="1">
      <c r="B17" s="243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SUM(D18:D21)</f>
        <v/>
      </c>
      <c r="E17" s="147" t="n"/>
    </row>
    <row r="18">
      <c r="B18" s="140" t="inlineStr">
        <is>
          <t>6.1</t>
        </is>
      </c>
      <c r="C18" s="123" t="inlineStr">
        <is>
          <t>строительно-монтажные работы</t>
        </is>
      </c>
      <c r="D18" s="200" t="n">
        <v>256554.7644</v>
      </c>
    </row>
    <row r="19" ht="15.75" customHeight="1">
      <c r="B19" s="140" t="inlineStr">
        <is>
          <t>6.2</t>
        </is>
      </c>
      <c r="C19" s="123" t="inlineStr">
        <is>
          <t>оборудование и инвентарь</t>
        </is>
      </c>
      <c r="D19" s="200" t="n">
        <v>474934.2392</v>
      </c>
    </row>
    <row r="20" ht="16.5" customHeight="1">
      <c r="B20" s="140" t="inlineStr">
        <is>
          <t>6.3</t>
        </is>
      </c>
      <c r="C20" s="123" t="inlineStr">
        <is>
          <t>пусконаладочные работы</t>
        </is>
      </c>
      <c r="D20" s="200" t="n"/>
    </row>
    <row r="21" ht="35.45" customHeight="1">
      <c r="B21" s="140" t="inlineStr">
        <is>
          <t>6.4</t>
        </is>
      </c>
      <c r="C21" s="139" t="inlineStr">
        <is>
          <t>прочие и лимитированные затраты</t>
        </is>
      </c>
      <c r="D21" s="200">
        <f>D18*3.9%+(D18+D18*3.9%)*2.1%*1.2</f>
        <v/>
      </c>
    </row>
    <row r="22">
      <c r="B22" s="243" t="n">
        <v>7</v>
      </c>
      <c r="C22" s="139" t="inlineStr">
        <is>
          <t>Сопоставимый уровень цен</t>
        </is>
      </c>
      <c r="D22" s="201" t="inlineStr">
        <is>
          <t>1 кв. 2015</t>
        </is>
      </c>
      <c r="E22" s="137" t="n"/>
    </row>
    <row r="23" ht="123" customHeight="1">
      <c r="B23" s="24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47" t="n"/>
    </row>
    <row r="24" ht="60.75" customHeight="1">
      <c r="B24" s="243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37" t="n"/>
    </row>
    <row r="25" ht="48.2" customHeight="1">
      <c r="B25" s="243" t="n">
        <v>10</v>
      </c>
      <c r="C25" s="123" t="inlineStr">
        <is>
          <t>Примечание</t>
        </is>
      </c>
      <c r="D25" s="243" t="n"/>
    </row>
    <row r="26">
      <c r="B26" s="136" t="n"/>
      <c r="C26" s="135" t="n"/>
      <c r="D26" s="135" t="n"/>
    </row>
    <row r="27" ht="37.5" customHeight="1">
      <c r="B27" s="240" t="n"/>
    </row>
    <row r="28">
      <c r="B28" s="114" t="inlineStr">
        <is>
          <t>Составил ______________________    Д.Ю. Нефедова</t>
        </is>
      </c>
    </row>
    <row r="29">
      <c r="B29" s="240" t="inlineStr">
        <is>
          <t xml:space="preserve">                         (подпись, инициалы, фамилия)</t>
        </is>
      </c>
    </row>
    <row r="31">
      <c r="B31" s="114" t="inlineStr">
        <is>
          <t>Проверил ______________________        А.В. Костянецкая</t>
        </is>
      </c>
    </row>
    <row r="32">
      <c r="B32" s="2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30"/>
  <sheetViews>
    <sheetView showGridLines="1" showRowColHeaders="1" tabSelected="0" view="pageBreakPreview" zoomScale="70" zoomScaleNormal="70" workbookViewId="0">
      <selection activeCell="F10" sqref="F10:J10"/>
    </sheetView>
  </sheetViews>
  <sheetFormatPr baseColWidth="8" defaultColWidth="9.140625" defaultRowHeight="14.4" outlineLevelRow="0"/>
  <cols>
    <col width="5.5703125" customWidth="1" style="114" min="1" max="1"/>
    <col width="9.140625" customWidth="1" style="114" min="2" max="2"/>
    <col width="35.28515625" customWidth="1" style="114" min="3" max="3"/>
    <col width="13.85546875" customWidth="1" style="114" min="4" max="4"/>
    <col width="24.85546875" customWidth="1" style="114" min="5" max="5"/>
    <col width="15.5703125" customWidth="1" style="114" min="6" max="6"/>
    <col width="14.85546875" customWidth="1" style="114" min="7" max="7"/>
    <col width="16.7109375" customWidth="1" style="114" min="8" max="8"/>
    <col width="13" customWidth="1" style="114" min="9" max="9"/>
    <col width="15.42578125" customWidth="1" style="114" min="10" max="10"/>
    <col width="18" customWidth="1" style="114" min="11" max="11"/>
    <col width="9.140625" customWidth="1" style="114" min="12" max="12"/>
  </cols>
  <sheetData>
    <row r="3">
      <c r="B3" s="236" t="inlineStr">
        <is>
          <t>Приложение № 2</t>
        </is>
      </c>
      <c r="K3" s="240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29.25" customHeight="1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>
      <c r="B8" s="129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1 кв. 2015 г., тыс. руб.</t>
        </is>
      </c>
      <c r="G10" s="320" t="n"/>
      <c r="H10" s="320" t="n"/>
      <c r="I10" s="320" t="n"/>
      <c r="J10" s="321" t="n"/>
    </row>
    <row r="11" ht="31.7" customHeight="1">
      <c r="B11" s="323" t="n"/>
      <c r="C11" s="323" t="n"/>
      <c r="D11" s="323" t="n"/>
      <c r="E11" s="32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31.7" customHeight="1">
      <c r="B12" s="243" t="n">
        <v>1</v>
      </c>
      <c r="C12" s="243" t="inlineStr">
        <is>
          <t>Здание вспомогательного назначения 
тип фундамента - Свайный с монолитным ж/б ростверком</t>
        </is>
      </c>
      <c r="D12" s="140" t="inlineStr">
        <is>
          <t>02-14-01</t>
        </is>
      </c>
      <c r="E12" s="123" t="inlineStr">
        <is>
          <t>Строительные работы ОРУ РП Путкинский</t>
        </is>
      </c>
      <c r="F12" s="203">
        <f>21091*6.81</f>
        <v/>
      </c>
      <c r="G12" s="203" t="n"/>
      <c r="H12" s="203" t="n"/>
      <c r="I12" s="203" t="n"/>
      <c r="J12" s="203">
        <f>SUM(F12:I12)</f>
        <v/>
      </c>
    </row>
    <row r="13" ht="62.45" customHeight="1">
      <c r="B13" s="322" t="n"/>
      <c r="C13" s="322" t="n"/>
      <c r="D13" s="140" t="inlineStr">
        <is>
          <t>02-14-02</t>
        </is>
      </c>
      <c r="E13" s="123" t="inlineStr">
        <is>
          <t>Кабельное хозяйство. Приобретение и прокладка кабеля РП Путкинский</t>
        </is>
      </c>
      <c r="F13" s="203">
        <f>217.41*6.81</f>
        <v/>
      </c>
      <c r="G13" s="204">
        <f>7118.51*6.81</f>
        <v/>
      </c>
      <c r="H13" s="203" t="n"/>
      <c r="I13" s="203" t="n"/>
      <c r="J13" s="203">
        <f>SUM(F13:I13)</f>
        <v/>
      </c>
    </row>
    <row r="14" ht="62.45" customHeight="1">
      <c r="B14" s="322" t="n"/>
      <c r="C14" s="322" t="n"/>
      <c r="D14" s="140" t="inlineStr">
        <is>
          <t>02-14-03</t>
        </is>
      </c>
      <c r="E14" s="123" t="inlineStr">
        <is>
          <t>Приобретение и монтаж шунтирующих реакторов 330кВ РП Путкинский</t>
        </is>
      </c>
      <c r="F14" s="203" t="n"/>
      <c r="G14" s="204">
        <f>89.44*6.81</f>
        <v/>
      </c>
      <c r="H14" s="203">
        <f>15547.2*4.04</f>
        <v/>
      </c>
      <c r="I14" s="203" t="n"/>
      <c r="J14" s="203">
        <f>SUM(F14:I14)</f>
        <v/>
      </c>
    </row>
    <row r="15" ht="62.45" customHeight="1">
      <c r="B15" s="322" t="n"/>
      <c r="C15" s="322" t="n"/>
      <c r="D15" s="140" t="inlineStr">
        <is>
          <t>02-14-04</t>
        </is>
      </c>
      <c r="E15" s="123" t="inlineStr">
        <is>
          <t>Приобретение и монтаж оборудования и материалов на ОРУ 330кВ РП Путкинский</t>
        </is>
      </c>
      <c r="F15" s="203">
        <f>37.69*6.81</f>
        <v/>
      </c>
      <c r="G15" s="204">
        <f>4176.86*6.81</f>
        <v/>
      </c>
      <c r="H15" s="203">
        <f>93293.19*4.04</f>
        <v/>
      </c>
      <c r="I15" s="203" t="n"/>
      <c r="J15" s="203">
        <f>SUM(F15:I15)</f>
        <v/>
      </c>
    </row>
    <row r="16" ht="31.35" customHeight="1">
      <c r="B16" s="322" t="n"/>
      <c r="C16" s="322" t="n"/>
      <c r="D16" s="140" t="inlineStr">
        <is>
          <t>02-14-05</t>
        </is>
      </c>
      <c r="E16" s="123" t="inlineStr">
        <is>
          <t>Молниезащита РП Путкинский</t>
        </is>
      </c>
      <c r="F16" s="203" t="n"/>
      <c r="G16" s="204">
        <f>77.78*6.81</f>
        <v/>
      </c>
      <c r="H16" s="203">
        <f>108.93*4.04</f>
        <v/>
      </c>
      <c r="I16" s="203" t="n"/>
      <c r="J16" s="203">
        <f>SUM(F16:I16)</f>
        <v/>
      </c>
    </row>
    <row r="17" ht="31.35" customHeight="1">
      <c r="B17" s="322" t="n"/>
      <c r="C17" s="322" t="n"/>
      <c r="D17" s="140" t="inlineStr">
        <is>
          <t>02-14-06</t>
        </is>
      </c>
      <c r="E17" s="123" t="inlineStr">
        <is>
          <t>Заземление РП Путкинский</t>
        </is>
      </c>
      <c r="F17" s="203" t="n"/>
      <c r="G17" s="204">
        <f>201.17*6.81</f>
        <v/>
      </c>
      <c r="H17" s="203" t="n"/>
      <c r="I17" s="203" t="n"/>
      <c r="J17" s="203">
        <f>SUM(F17:I17)</f>
        <v/>
      </c>
    </row>
    <row r="18" ht="46.9" customHeight="1">
      <c r="B18" s="322" t="n"/>
      <c r="C18" s="322" t="n"/>
      <c r="D18" s="140" t="inlineStr">
        <is>
          <t>02-14-07</t>
        </is>
      </c>
      <c r="E18" s="123" t="inlineStr">
        <is>
          <t>Силовые шкафы на ОРУ 330кВ РП Путкинский</t>
        </is>
      </c>
      <c r="F18" s="203">
        <f>8.52*6.81</f>
        <v/>
      </c>
      <c r="G18" s="204">
        <f>22.72*6.81</f>
        <v/>
      </c>
      <c r="H18" s="203">
        <f>442.86*4.04</f>
        <v/>
      </c>
      <c r="I18" s="203" t="n"/>
      <c r="J18" s="203">
        <f>SUM(F18:I18)</f>
        <v/>
      </c>
    </row>
    <row r="19" ht="62.45" customHeight="1">
      <c r="B19" s="322" t="n"/>
      <c r="C19" s="322" t="n"/>
      <c r="D19" s="140" t="inlineStr">
        <is>
          <t>02-14-08</t>
        </is>
      </c>
      <c r="E19" s="123" t="inlineStr">
        <is>
          <t>Строительные работы по прокладке кабельной перемычки 330кВ РП Путкинский</t>
        </is>
      </c>
      <c r="F19" s="203">
        <f>259.4*6.81</f>
        <v/>
      </c>
      <c r="G19" s="204">
        <f>1.35*6.81</f>
        <v/>
      </c>
      <c r="H19" s="203" t="n"/>
      <c r="I19" s="203" t="n"/>
      <c r="J19" s="203">
        <f>SUM(F19:I19)</f>
        <v/>
      </c>
    </row>
    <row r="20" ht="62.45" customHeight="1">
      <c r="B20" s="323" t="n"/>
      <c r="C20" s="323" t="n"/>
      <c r="D20" s="140" t="inlineStr">
        <is>
          <t>02-14-09</t>
        </is>
      </c>
      <c r="E20" s="123" t="inlineStr">
        <is>
          <t>Монтажные работы по прокладке кабельной перемычки 330кВ РП Путкинский</t>
        </is>
      </c>
      <c r="F20" s="203" t="n"/>
      <c r="G20" s="204">
        <f>4371.39*6.81</f>
        <v/>
      </c>
      <c r="H20" s="203">
        <f>8165.8*4.04</f>
        <v/>
      </c>
      <c r="I20" s="203" t="n"/>
      <c r="J20" s="203">
        <f>SUM(F20:I20)</f>
        <v/>
      </c>
    </row>
    <row r="21" ht="15.75" customHeight="1">
      <c r="B21" s="245" t="inlineStr">
        <is>
          <t>Всего по объекту:</t>
        </is>
      </c>
      <c r="C21" s="324" t="n"/>
      <c r="D21" s="324" t="n"/>
      <c r="E21" s="325" t="n"/>
      <c r="F21" s="205">
        <f>SUM(F12:F20)</f>
        <v/>
      </c>
      <c r="G21" s="205">
        <f>SUM(G12:G20)</f>
        <v/>
      </c>
      <c r="H21" s="205">
        <f>SUM(H12:H20)</f>
        <v/>
      </c>
      <c r="I21" s="205">
        <f>SUM(I12:I20)</f>
        <v/>
      </c>
      <c r="J21" s="205">
        <f>SUM(F21:I21)</f>
        <v/>
      </c>
    </row>
    <row r="22" ht="15.75" customHeight="1">
      <c r="B22" s="242" t="inlineStr">
        <is>
          <t>Всего по объекту в сопоставимом уровне цен 1 кв. 2015 г:</t>
        </is>
      </c>
      <c r="C22" s="320" t="n"/>
      <c r="D22" s="320" t="n"/>
      <c r="E22" s="321" t="n"/>
      <c r="F22" s="206">
        <f>F21</f>
        <v/>
      </c>
      <c r="G22" s="206">
        <f>G21</f>
        <v/>
      </c>
      <c r="H22" s="206">
        <f>H21</f>
        <v/>
      </c>
      <c r="I22" s="206">
        <f>I21</f>
        <v/>
      </c>
      <c r="J22" s="206">
        <f>SUM(F22:I22)</f>
        <v/>
      </c>
    </row>
    <row r="23" ht="15" customHeight="1"/>
    <row r="24" ht="15" customHeight="1"/>
    <row r="25" ht="15" customHeight="1"/>
    <row r="26" ht="15" customHeight="1">
      <c r="C26" s="4" t="inlineStr">
        <is>
          <t>Составил ______________________     Д.Ю. Нефедова</t>
        </is>
      </c>
      <c r="D26" s="12" t="n"/>
      <c r="E26" s="12" t="n"/>
    </row>
    <row r="27" ht="15" customHeight="1">
      <c r="C27" s="30" t="inlineStr">
        <is>
          <t xml:space="preserve">                         (подпись, инициалы, фамилия)</t>
        </is>
      </c>
      <c r="D27" s="12" t="n"/>
      <c r="E27" s="12" t="n"/>
    </row>
    <row r="28" ht="15" customHeight="1">
      <c r="C28" s="4" t="n"/>
      <c r="D28" s="12" t="n"/>
      <c r="E28" s="12" t="n"/>
    </row>
    <row r="29" ht="15" customHeight="1">
      <c r="C29" s="4" t="inlineStr">
        <is>
          <t>Проверил ______________________        А.В. Костянецкая</t>
        </is>
      </c>
      <c r="D29" s="12" t="n"/>
      <c r="E29" s="12" t="n"/>
    </row>
    <row r="30" ht="15" customHeight="1">
      <c r="C30" s="30" t="inlineStr">
        <is>
          <t xml:space="preserve">                        (подпись, инициалы, фамилия)</t>
        </is>
      </c>
      <c r="D30" s="12" t="n"/>
      <c r="E30" s="12" t="n"/>
    </row>
    <row r="31" ht="15" customHeight="1"/>
    <row r="32" ht="15" customHeight="1"/>
    <row r="33" ht="15" customHeight="1"/>
    <row r="34" ht="15" customHeight="1"/>
    <row r="35" ht="15" customHeight="1"/>
    <row r="36" ht="15" customHeight="1"/>
  </sheetData>
  <mergeCells count="14">
    <mergeCell ref="B3:J3"/>
    <mergeCell ref="D10:D11"/>
    <mergeCell ref="B4:K4"/>
    <mergeCell ref="D9:J9"/>
    <mergeCell ref="F10:J10"/>
    <mergeCell ref="B21:E21"/>
    <mergeCell ref="B12:B20"/>
    <mergeCell ref="C12:C20"/>
    <mergeCell ref="B7:K7"/>
    <mergeCell ref="B9:B11"/>
    <mergeCell ref="B6:K6"/>
    <mergeCell ref="E10:E11"/>
    <mergeCell ref="C9:C11"/>
    <mergeCell ref="B22:E22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84"/>
  <sheetViews>
    <sheetView showGridLines="1" showRowColHeaders="1" tabSelected="0" view="pageBreakPreview" workbookViewId="0">
      <selection activeCell="D17" sqref="D17"/>
    </sheetView>
  </sheetViews>
  <sheetFormatPr baseColWidth="8" defaultColWidth="9.140625" defaultRowHeight="14.4" outlineLevelRow="0"/>
  <cols>
    <col width="9.140625" customWidth="1" style="114" min="1" max="1"/>
    <col width="12.5703125" customWidth="1" style="114" min="2" max="2"/>
    <col width="22.42578125" customWidth="1" style="114" min="3" max="3"/>
    <col width="49.7109375" customWidth="1" style="114" min="4" max="4"/>
    <col width="10.140625" customWidth="1" style="114" min="5" max="5"/>
    <col width="20.7109375" customWidth="1" style="114" min="6" max="6"/>
    <col width="20" customWidth="1" style="114" min="7" max="7"/>
    <col width="18.28515625" customWidth="1" style="114" min="8" max="8"/>
    <col hidden="1" width="12" customWidth="1" style="114" min="9" max="9"/>
    <col hidden="1" width="12.140625" customWidth="1" style="114" min="10" max="10"/>
    <col hidden="1" width="15" customWidth="1" style="114" min="11" max="11"/>
    <col hidden="1" width="9.140625" customWidth="1" style="114" min="12" max="12"/>
    <col width="9.140625" customWidth="1" style="114" min="13" max="13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>
      <c r="A4" s="175" t="n"/>
      <c r="B4" s="175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50" t="inlineStr">
        <is>
          <t>Наименование разрабатываемого показателя УНЦ -  Демонтаж здания РПБ.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21" t="n"/>
    </row>
    <row r="9">
      <c r="A9" s="323" t="n"/>
      <c r="B9" s="323" t="n"/>
      <c r="C9" s="323" t="n"/>
      <c r="D9" s="323" t="n"/>
      <c r="E9" s="323" t="n"/>
      <c r="F9" s="323" t="n"/>
      <c r="G9" s="243" t="inlineStr">
        <is>
          <t>на ед.изм.</t>
        </is>
      </c>
      <c r="H9" s="243" t="inlineStr">
        <is>
          <t>общая</t>
        </is>
      </c>
    </row>
    <row r="10">
      <c r="A10" s="244" t="n">
        <v>1</v>
      </c>
      <c r="B10" s="244" t="n"/>
      <c r="C10" s="244" t="n">
        <v>2</v>
      </c>
      <c r="D10" s="244" t="inlineStr">
        <is>
          <t>З</t>
        </is>
      </c>
      <c r="E10" s="244" t="n">
        <v>4</v>
      </c>
      <c r="F10" s="244" t="n">
        <v>5</v>
      </c>
      <c r="G10" s="244" t="n">
        <v>6</v>
      </c>
      <c r="H10" s="244" t="n">
        <v>7</v>
      </c>
    </row>
    <row r="11" customFormat="1" s="179">
      <c r="A11" s="247" t="inlineStr">
        <is>
          <t>Затраты труда рабочих</t>
        </is>
      </c>
      <c r="B11" s="320" t="n"/>
      <c r="C11" s="320" t="n"/>
      <c r="D11" s="320" t="n"/>
      <c r="E11" s="321" t="n"/>
      <c r="F11" s="178">
        <f>SUM(F12:F40)</f>
        <v/>
      </c>
      <c r="G11" s="10" t="n"/>
      <c r="H11" s="178">
        <f>SUM(H12:H40)</f>
        <v/>
      </c>
    </row>
    <row r="12">
      <c r="A12" s="180" t="n">
        <v>1</v>
      </c>
      <c r="B12" s="181" t="n"/>
      <c r="C12" s="182" t="inlineStr">
        <is>
          <t>1-3-8</t>
        </is>
      </c>
      <c r="D12" s="18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185" t="n">
        <v>2948.29</v>
      </c>
      <c r="G12" s="186" t="n">
        <v>9.4</v>
      </c>
      <c r="H12" s="186">
        <f>ROUND(F12*G12,2)</f>
        <v/>
      </c>
      <c r="I12" s="114" t="n">
        <v>3.8</v>
      </c>
      <c r="J12" s="114">
        <f>I12*F12</f>
        <v/>
      </c>
    </row>
    <row r="13">
      <c r="A13" s="180" t="n">
        <v>2</v>
      </c>
      <c r="B13" s="181" t="n"/>
      <c r="C13" s="182" t="inlineStr">
        <is>
          <t>1-3-4</t>
        </is>
      </c>
      <c r="D13" s="183" t="inlineStr">
        <is>
          <t>Затраты труда рабочих (средний разряд работы 3,4)</t>
        </is>
      </c>
      <c r="E13" s="274" t="inlineStr">
        <is>
          <t>чел.-ч</t>
        </is>
      </c>
      <c r="F13" s="185" t="n">
        <v>3005.47</v>
      </c>
      <c r="G13" s="186" t="n">
        <v>8.970000000000001</v>
      </c>
      <c r="H13" s="186">
        <f>ROUND(F13*G13,2)</f>
        <v/>
      </c>
      <c r="I13" s="114" t="n">
        <v>3.4</v>
      </c>
      <c r="J13" s="114">
        <f>I13*F13</f>
        <v/>
      </c>
    </row>
    <row r="14">
      <c r="A14" s="180" t="n">
        <v>3</v>
      </c>
      <c r="B14" s="181" t="n"/>
      <c r="C14" s="182" t="inlineStr">
        <is>
          <t>1-3-2</t>
        </is>
      </c>
      <c r="D14" s="183" t="inlineStr">
        <is>
          <t>Затраты труда рабочих (средний разряд работы 3,2)</t>
        </is>
      </c>
      <c r="E14" s="274" t="inlineStr">
        <is>
          <t>чел.-ч</t>
        </is>
      </c>
      <c r="F14" s="185" t="n">
        <v>2811.88</v>
      </c>
      <c r="G14" s="186" t="n">
        <v>8.74</v>
      </c>
      <c r="H14" s="186">
        <f>ROUND(F14*G14,2)</f>
        <v/>
      </c>
      <c r="I14" s="114" t="n">
        <v>3.4</v>
      </c>
      <c r="J14" s="114">
        <f>I14*F14</f>
        <v/>
      </c>
    </row>
    <row r="15">
      <c r="A15" s="180" t="n">
        <v>4</v>
      </c>
      <c r="B15" s="181" t="n"/>
      <c r="C15" s="182" t="inlineStr">
        <is>
          <t>1-4-0</t>
        </is>
      </c>
      <c r="D15" s="183" t="inlineStr">
        <is>
          <t>Затраты труда рабочих (средний разряд работы 4,0)</t>
        </is>
      </c>
      <c r="E15" s="274" t="inlineStr">
        <is>
          <t>чел.-ч</t>
        </is>
      </c>
      <c r="F15" s="185" t="n">
        <v>1929.19</v>
      </c>
      <c r="G15" s="186" t="n">
        <v>9.619999999999999</v>
      </c>
      <c r="H15" s="186">
        <f>ROUND(F15*G15,2)</f>
        <v/>
      </c>
      <c r="I15" s="114" t="n">
        <v>3.4</v>
      </c>
      <c r="J15" s="114">
        <f>I15*F15</f>
        <v/>
      </c>
    </row>
    <row r="16">
      <c r="A16" s="180" t="n">
        <v>5</v>
      </c>
      <c r="B16" s="181" t="n"/>
      <c r="C16" s="182" t="inlineStr">
        <is>
          <t>1-3-6</t>
        </is>
      </c>
      <c r="D16" s="183" t="inlineStr">
        <is>
          <t>Затраты труда рабочих (средний разряд работы 3,6)</t>
        </is>
      </c>
      <c r="E16" s="274" t="inlineStr">
        <is>
          <t>чел.-ч</t>
        </is>
      </c>
      <c r="F16" s="185" t="n">
        <v>1269.85</v>
      </c>
      <c r="G16" s="186" t="n">
        <v>9.18</v>
      </c>
      <c r="H16" s="186">
        <f>ROUND(F16*G16,2)</f>
        <v/>
      </c>
      <c r="I16" s="114" t="n">
        <v>3.6</v>
      </c>
      <c r="J16" s="114">
        <f>I16*F16</f>
        <v/>
      </c>
    </row>
    <row r="17">
      <c r="A17" s="180" t="n">
        <v>6</v>
      </c>
      <c r="B17" s="181" t="n"/>
      <c r="C17" s="182" t="inlineStr">
        <is>
          <t>1-3-7</t>
        </is>
      </c>
      <c r="D17" s="183" t="inlineStr">
        <is>
          <t>Затраты труда рабочих (средний разряд работы 3,7)</t>
        </is>
      </c>
      <c r="E17" s="274" t="inlineStr">
        <is>
          <t>чел.-ч</t>
        </is>
      </c>
      <c r="F17" s="185" t="n">
        <v>825.04</v>
      </c>
      <c r="G17" s="186" t="n">
        <v>9.289999999999999</v>
      </c>
      <c r="H17" s="186">
        <f>ROUND(F17*G17,2)</f>
        <v/>
      </c>
      <c r="I17" s="114" t="n">
        <v>3.7</v>
      </c>
      <c r="J17" s="114">
        <f>I17*F17</f>
        <v/>
      </c>
    </row>
    <row r="18">
      <c r="A18" s="180" t="n">
        <v>7</v>
      </c>
      <c r="B18" s="181" t="n"/>
      <c r="C18" s="182" t="inlineStr">
        <is>
          <t>1-3-1</t>
        </is>
      </c>
      <c r="D18" s="183" t="inlineStr">
        <is>
          <t>Затраты труда рабочих (средний разряд работы 3,1)</t>
        </is>
      </c>
      <c r="E18" s="274" t="inlineStr">
        <is>
          <t>чел.-ч</t>
        </is>
      </c>
      <c r="F18" s="185" t="n">
        <v>760.75</v>
      </c>
      <c r="G18" s="186" t="n">
        <v>8.640000000000001</v>
      </c>
      <c r="H18" s="186">
        <f>ROUND(F18*G18,2)</f>
        <v/>
      </c>
      <c r="I18" s="114" t="n">
        <v>3.1</v>
      </c>
      <c r="J18" s="114">
        <f>I18*F18</f>
        <v/>
      </c>
    </row>
    <row r="19">
      <c r="A19" s="180" t="n">
        <v>8</v>
      </c>
      <c r="B19" s="181" t="n"/>
      <c r="C19" s="182" t="inlineStr">
        <is>
          <t>1-3-5</t>
        </is>
      </c>
      <c r="D19" s="183" t="inlineStr">
        <is>
          <t>Затраты труда рабочих (средний разряд работы 3,5)</t>
        </is>
      </c>
      <c r="E19" s="274" t="inlineStr">
        <is>
          <t>чел.-ч</t>
        </is>
      </c>
      <c r="F19" s="185" t="n">
        <v>619.15</v>
      </c>
      <c r="G19" s="186" t="n">
        <v>9.07</v>
      </c>
      <c r="H19" s="186">
        <f>ROUND(F19*G19,2)</f>
        <v/>
      </c>
      <c r="I19" s="114" t="n">
        <v>3.5</v>
      </c>
      <c r="J19" s="114">
        <f>I19*F19</f>
        <v/>
      </c>
    </row>
    <row r="20">
      <c r="A20" s="180" t="n">
        <v>9</v>
      </c>
      <c r="B20" s="181" t="n"/>
      <c r="C20" s="182" t="inlineStr">
        <is>
          <t>1-4-4</t>
        </is>
      </c>
      <c r="D20" s="183" t="inlineStr">
        <is>
          <t>Затраты труда рабочих (средний разряд работы 4,4)</t>
        </is>
      </c>
      <c r="E20" s="274" t="inlineStr">
        <is>
          <t>чел.-ч</t>
        </is>
      </c>
      <c r="F20" s="185" t="n">
        <v>525.85</v>
      </c>
      <c r="G20" s="186" t="n">
        <v>10.21</v>
      </c>
      <c r="H20" s="186">
        <f>ROUND(F20*G20,2)</f>
        <v/>
      </c>
      <c r="I20" s="114" t="n">
        <v>4.4</v>
      </c>
      <c r="J20" s="114">
        <f>I20*F20</f>
        <v/>
      </c>
    </row>
    <row r="21">
      <c r="A21" s="180" t="n">
        <v>10</v>
      </c>
      <c r="B21" s="181" t="n"/>
      <c r="C21" s="182" t="inlineStr">
        <is>
          <t>1-3-0</t>
        </is>
      </c>
      <c r="D21" s="183" t="inlineStr">
        <is>
          <t>Затраты труда рабочих (средний разряд работы 3,0)</t>
        </is>
      </c>
      <c r="E21" s="274" t="inlineStr">
        <is>
          <t>чел.-ч</t>
        </is>
      </c>
      <c r="F21" s="185" t="n">
        <v>417.79</v>
      </c>
      <c r="G21" s="186" t="n">
        <v>8.529999999999999</v>
      </c>
      <c r="H21" s="186">
        <f>ROUND(F21*G21,2)</f>
        <v/>
      </c>
      <c r="I21" s="114" t="n">
        <v>3</v>
      </c>
      <c r="J21" s="114">
        <f>I21*F21</f>
        <v/>
      </c>
    </row>
    <row r="22">
      <c r="A22" s="180" t="n">
        <v>11</v>
      </c>
      <c r="B22" s="181" t="n"/>
      <c r="C22" s="182" t="inlineStr">
        <is>
          <t>1-3-9</t>
        </is>
      </c>
      <c r="D22" s="183" t="inlineStr">
        <is>
          <t>Затраты труда рабочих (средний разряд работы 3,9)</t>
        </is>
      </c>
      <c r="E22" s="274" t="inlineStr">
        <is>
          <t>чел.-ч</t>
        </is>
      </c>
      <c r="F22" s="185" t="n">
        <v>367.07</v>
      </c>
      <c r="G22" s="186" t="n">
        <v>9.51</v>
      </c>
      <c r="H22" s="186">
        <f>ROUND(F22*G22,2)</f>
        <v/>
      </c>
      <c r="I22" s="114" t="n">
        <v>3.9</v>
      </c>
      <c r="J22" s="114">
        <f>I22*F22</f>
        <v/>
      </c>
    </row>
    <row r="23">
      <c r="A23" s="180" t="n">
        <v>12</v>
      </c>
      <c r="B23" s="181" t="n"/>
      <c r="C23" s="182" t="inlineStr">
        <is>
          <t>1-4-2</t>
        </is>
      </c>
      <c r="D23" s="183" t="inlineStr">
        <is>
          <t>Затраты труда рабочих (средний разряд работы 4,2)</t>
        </is>
      </c>
      <c r="E23" s="274" t="inlineStr">
        <is>
          <t>чел.-ч</t>
        </is>
      </c>
      <c r="F23" s="185" t="n">
        <v>305.91</v>
      </c>
      <c r="G23" s="186" t="n">
        <v>9.92</v>
      </c>
      <c r="H23" s="186">
        <f>ROUND(F23*G23,2)</f>
        <v/>
      </c>
      <c r="I23" s="114" t="n">
        <v>4.2</v>
      </c>
      <c r="J23" s="114">
        <f>I23*F23</f>
        <v/>
      </c>
    </row>
    <row r="24">
      <c r="A24" s="180" t="n">
        <v>13</v>
      </c>
      <c r="B24" s="181" t="n"/>
      <c r="C24" s="182" t="inlineStr">
        <is>
          <t>1-4-8</t>
        </is>
      </c>
      <c r="D24" s="183" t="inlineStr">
        <is>
          <t>Затраты труда рабочих (средний разряд работы 4,8)</t>
        </is>
      </c>
      <c r="E24" s="274" t="inlineStr">
        <is>
          <t>чел.-ч</t>
        </is>
      </c>
      <c r="F24" s="185" t="n">
        <v>224</v>
      </c>
      <c r="G24" s="186" t="n">
        <v>10.79</v>
      </c>
      <c r="H24" s="186">
        <f>ROUND(F24*G24,2)</f>
        <v/>
      </c>
      <c r="I24" s="114" t="n">
        <v>4.8</v>
      </c>
      <c r="J24" s="114">
        <f>I24*F24</f>
        <v/>
      </c>
    </row>
    <row r="25">
      <c r="A25" s="180" t="n">
        <v>14</v>
      </c>
      <c r="B25" s="181" t="n"/>
      <c r="C25" s="182" t="inlineStr">
        <is>
          <t>1-5-9</t>
        </is>
      </c>
      <c r="D25" s="183" t="inlineStr">
        <is>
          <t>Затраты труда рабочих (средний разряд работы 5,9)</t>
        </is>
      </c>
      <c r="E25" s="274" t="inlineStr">
        <is>
          <t>чел.-ч</t>
        </is>
      </c>
      <c r="F25" s="185" t="n">
        <v>181.27</v>
      </c>
      <c r="G25" s="186" t="n">
        <v>12.74</v>
      </c>
      <c r="H25" s="186">
        <f>ROUND(F25*G25,2)</f>
        <v/>
      </c>
      <c r="I25" s="114" t="n">
        <v>5.9</v>
      </c>
      <c r="J25" s="114">
        <f>I25*F25</f>
        <v/>
      </c>
    </row>
    <row r="26">
      <c r="A26" s="180" t="n">
        <v>15</v>
      </c>
      <c r="B26" s="181" t="n"/>
      <c r="C26" s="182" t="inlineStr">
        <is>
          <t>1-5-3</t>
        </is>
      </c>
      <c r="D26" s="183" t="inlineStr">
        <is>
          <t>Затраты труда рабочих (средний разряд работы 5,3)</t>
        </is>
      </c>
      <c r="E26" s="274" t="inlineStr">
        <is>
          <t>чел.-ч</t>
        </is>
      </c>
      <c r="F26" s="185" t="n">
        <v>185.53</v>
      </c>
      <c r="G26" s="186" t="n">
        <v>11.64</v>
      </c>
      <c r="H26" s="186">
        <f>ROUND(F26*G26,2)</f>
        <v/>
      </c>
      <c r="I26" s="114" t="n">
        <v>5.3</v>
      </c>
      <c r="J26" s="114">
        <f>I26*F26</f>
        <v/>
      </c>
    </row>
    <row r="27">
      <c r="A27" s="180" t="n">
        <v>16</v>
      </c>
      <c r="B27" s="181" t="n"/>
      <c r="C27" s="182" t="inlineStr">
        <is>
          <t>1-4-1</t>
        </is>
      </c>
      <c r="D27" s="183" t="inlineStr">
        <is>
          <t>Затраты труда рабочих (средний разряд работы 4,1)</t>
        </is>
      </c>
      <c r="E27" s="274" t="inlineStr">
        <is>
          <t>чел.-ч</t>
        </is>
      </c>
      <c r="F27" s="185" t="n">
        <v>204.1</v>
      </c>
      <c r="G27" s="186" t="n">
        <v>9.76</v>
      </c>
      <c r="H27" s="186">
        <f>ROUND(F27*G27,2)</f>
        <v/>
      </c>
      <c r="I27" s="114" t="n">
        <v>4.1</v>
      </c>
      <c r="J27" s="114">
        <f>I27*F27</f>
        <v/>
      </c>
    </row>
    <row r="28">
      <c r="A28" s="180" t="n">
        <v>17</v>
      </c>
      <c r="B28" s="181" t="n"/>
      <c r="C28" s="182" t="inlineStr">
        <is>
          <t>1-3-3</t>
        </is>
      </c>
      <c r="D28" s="183" t="inlineStr">
        <is>
          <t>Затраты труда рабочих (средний разряд работы 3,3)</t>
        </is>
      </c>
      <c r="E28" s="274" t="inlineStr">
        <is>
          <t>чел.-ч</t>
        </is>
      </c>
      <c r="F28" s="185" t="n">
        <v>213.39</v>
      </c>
      <c r="G28" s="186" t="n">
        <v>8.859999999999999</v>
      </c>
      <c r="H28" s="186">
        <f>ROUND(F28*G28,2)</f>
        <v/>
      </c>
      <c r="I28" s="114" t="n">
        <v>3.3</v>
      </c>
      <c r="J28" s="114">
        <f>I28*F28</f>
        <v/>
      </c>
    </row>
    <row r="29">
      <c r="A29" s="180" t="n">
        <v>18</v>
      </c>
      <c r="B29" s="181" t="n"/>
      <c r="C29" s="182" t="inlineStr">
        <is>
          <t>1-4-7</t>
        </is>
      </c>
      <c r="D29" s="183" t="inlineStr">
        <is>
          <t>Затраты труда рабочих (средний разряд работы 4,7)</t>
        </is>
      </c>
      <c r="E29" s="274" t="inlineStr">
        <is>
          <t>чел.-ч</t>
        </is>
      </c>
      <c r="F29" s="185" t="n">
        <v>140.5</v>
      </c>
      <c r="G29" s="186" t="n">
        <v>10.65</v>
      </c>
      <c r="H29" s="186">
        <f>ROUND(F29*G29,2)</f>
        <v/>
      </c>
      <c r="I29" s="114" t="n">
        <v>4.7</v>
      </c>
      <c r="J29" s="114">
        <f>I29*F29</f>
        <v/>
      </c>
    </row>
    <row r="30">
      <c r="A30" s="180" t="n">
        <v>19</v>
      </c>
      <c r="B30" s="181" t="n"/>
      <c r="C30" s="182" t="inlineStr">
        <is>
          <t>1-4-3</t>
        </is>
      </c>
      <c r="D30" s="183" t="inlineStr">
        <is>
          <t>Затраты труда рабочих (средний разряд работы 4,3)</t>
        </is>
      </c>
      <c r="E30" s="274" t="inlineStr">
        <is>
          <t>чел.-ч</t>
        </is>
      </c>
      <c r="F30" s="185" t="n">
        <v>137.44</v>
      </c>
      <c r="G30" s="186" t="n">
        <v>10.06</v>
      </c>
      <c r="H30" s="186">
        <f>ROUND(F30*G30,2)</f>
        <v/>
      </c>
      <c r="I30" s="114" t="n">
        <v>4.3</v>
      </c>
      <c r="J30" s="114">
        <f>I30*F30</f>
        <v/>
      </c>
    </row>
    <row r="31">
      <c r="A31" s="180" t="n">
        <v>20</v>
      </c>
      <c r="B31" s="181" t="n"/>
      <c r="C31" s="182" t="inlineStr">
        <is>
          <t>1-2-0</t>
        </is>
      </c>
      <c r="D31" s="183" t="inlineStr">
        <is>
          <t>Затраты труда рабочих (средний разряд работы 2,0)</t>
        </is>
      </c>
      <c r="E31" s="274" t="inlineStr">
        <is>
          <t>чел.-ч</t>
        </is>
      </c>
      <c r="F31" s="185" t="n">
        <v>110.23</v>
      </c>
      <c r="G31" s="186" t="n">
        <v>7.8</v>
      </c>
      <c r="H31" s="186">
        <f>ROUND(F31*G31,2)</f>
        <v/>
      </c>
      <c r="I31" s="114" t="n">
        <v>2</v>
      </c>
      <c r="J31" s="114">
        <f>I31*F31</f>
        <v/>
      </c>
    </row>
    <row r="32">
      <c r="A32" s="180" t="n">
        <v>21</v>
      </c>
      <c r="B32" s="181" t="n"/>
      <c r="C32" s="182" t="inlineStr">
        <is>
          <t>1-2-7</t>
        </is>
      </c>
      <c r="D32" s="183" t="inlineStr">
        <is>
          <t>Затраты труда рабочих (средний разряд работы 2,7)</t>
        </is>
      </c>
      <c r="E32" s="274" t="inlineStr">
        <is>
          <t>чел.-ч</t>
        </is>
      </c>
      <c r="F32" s="185" t="n">
        <v>76.31</v>
      </c>
      <c r="G32" s="186" t="n">
        <v>8.31</v>
      </c>
      <c r="H32" s="186">
        <f>ROUND(F32*G32,2)</f>
        <v/>
      </c>
      <c r="I32" s="114" t="n">
        <v>2.7</v>
      </c>
      <c r="J32" s="114">
        <f>I32*F32</f>
        <v/>
      </c>
    </row>
    <row r="33">
      <c r="A33" s="180" t="n">
        <v>22</v>
      </c>
      <c r="B33" s="181" t="n"/>
      <c r="C33" s="182" t="inlineStr">
        <is>
          <t>1-2-2</t>
        </is>
      </c>
      <c r="D33" s="183" t="inlineStr">
        <is>
          <t>Затраты труда рабочих (средний разряд работы 2,2)</t>
        </is>
      </c>
      <c r="E33" s="274" t="inlineStr">
        <is>
          <t>чел.-ч</t>
        </is>
      </c>
      <c r="F33" s="185" t="n">
        <v>76.51000000000001</v>
      </c>
      <c r="G33" s="186" t="n">
        <v>7.94</v>
      </c>
      <c r="H33" s="186">
        <f>ROUND(F33*G33,2)</f>
        <v/>
      </c>
      <c r="I33" s="114" t="n">
        <v>2.2</v>
      </c>
      <c r="J33" s="114">
        <f>I33*F33</f>
        <v/>
      </c>
    </row>
    <row r="34">
      <c r="A34" s="180" t="n">
        <v>23</v>
      </c>
      <c r="B34" s="181" t="n"/>
      <c r="C34" s="182" t="inlineStr">
        <is>
          <t>1-2-8</t>
        </is>
      </c>
      <c r="D34" s="183" t="inlineStr">
        <is>
          <t>Затраты труда рабочих (средний разряд работы 2,8)</t>
        </is>
      </c>
      <c r="E34" s="274" t="inlineStr">
        <is>
          <t>чел.-ч</t>
        </is>
      </c>
      <c r="F34" s="185" t="n">
        <v>67.43000000000001</v>
      </c>
      <c r="G34" s="186" t="n">
        <v>8.380000000000001</v>
      </c>
      <c r="H34" s="186">
        <f>ROUND(F34*G34,2)</f>
        <v/>
      </c>
      <c r="I34" s="114" t="n">
        <v>2.8</v>
      </c>
      <c r="J34" s="114">
        <f>I34*F34</f>
        <v/>
      </c>
    </row>
    <row r="35">
      <c r="A35" s="180" t="n">
        <v>24</v>
      </c>
      <c r="B35" s="181" t="n"/>
      <c r="C35" s="182" t="inlineStr">
        <is>
          <t>1-2-5</t>
        </is>
      </c>
      <c r="D35" s="183" t="inlineStr">
        <is>
          <t>Затраты труда рабочих (средний разряд работы 2,5)</t>
        </is>
      </c>
      <c r="E35" s="274" t="inlineStr">
        <is>
          <t>чел.-ч</t>
        </is>
      </c>
      <c r="F35" s="185" t="n">
        <v>52.74</v>
      </c>
      <c r="G35" s="186" t="n">
        <v>8.17</v>
      </c>
      <c r="H35" s="186">
        <f>ROUND(F35*G35,2)</f>
        <v/>
      </c>
      <c r="I35" s="114" t="n">
        <v>2.5</v>
      </c>
      <c r="J35" s="114">
        <f>I35*F35</f>
        <v/>
      </c>
    </row>
    <row r="36">
      <c r="A36" s="180" t="n">
        <v>25</v>
      </c>
      <c r="B36" s="181" t="n"/>
      <c r="C36" s="182" t="inlineStr">
        <is>
          <t>1-2-9</t>
        </is>
      </c>
      <c r="D36" s="183" t="inlineStr">
        <is>
          <t>Затраты труда рабочих (средний разряд работы 2,9)</t>
        </is>
      </c>
      <c r="E36" s="274" t="inlineStr">
        <is>
          <t>чел.-ч</t>
        </is>
      </c>
      <c r="F36" s="185" t="n">
        <v>18.13</v>
      </c>
      <c r="G36" s="186" t="n">
        <v>8.460000000000001</v>
      </c>
      <c r="H36" s="186">
        <f>ROUND(F36*G36,2)</f>
        <v/>
      </c>
      <c r="I36" s="114" t="n">
        <v>2.9</v>
      </c>
      <c r="J36" s="114">
        <f>I36*F36</f>
        <v/>
      </c>
    </row>
    <row r="37">
      <c r="A37" s="180" t="n">
        <v>26</v>
      </c>
      <c r="B37" s="181" t="n"/>
      <c r="C37" s="182" t="inlineStr">
        <is>
          <t>1-5-4</t>
        </is>
      </c>
      <c r="D37" s="183" t="inlineStr">
        <is>
          <t>Затраты труда рабочих (средний разряд работы 5,4)</t>
        </is>
      </c>
      <c r="E37" s="274" t="inlineStr">
        <is>
          <t>чел.-ч</t>
        </is>
      </c>
      <c r="F37" s="185" t="n">
        <v>10.87</v>
      </c>
      <c r="G37" s="186" t="n">
        <v>11.82</v>
      </c>
      <c r="H37" s="186">
        <f>ROUND(F37*G37,2)</f>
        <v/>
      </c>
      <c r="I37" s="114" t="n">
        <v>5.4</v>
      </c>
      <c r="J37" s="114">
        <f>I37*F37</f>
        <v/>
      </c>
    </row>
    <row r="38">
      <c r="A38" s="180" t="n">
        <v>27</v>
      </c>
      <c r="B38" s="181" t="n"/>
      <c r="C38" s="182" t="inlineStr">
        <is>
          <t>1-2-3</t>
        </is>
      </c>
      <c r="D38" s="183" t="inlineStr">
        <is>
          <t>Затраты труда рабочих (средний разряд работы 2,3)</t>
        </is>
      </c>
      <c r="E38" s="274" t="inlineStr">
        <is>
          <t>чел.-ч</t>
        </is>
      </c>
      <c r="F38" s="185" t="n">
        <v>6.01</v>
      </c>
      <c r="G38" s="186" t="n">
        <v>8.02</v>
      </c>
      <c r="H38" s="186">
        <f>ROUND(F38*G38,2)</f>
        <v/>
      </c>
      <c r="I38" s="114" t="n">
        <v>2.3</v>
      </c>
      <c r="J38" s="114">
        <f>I38*F38</f>
        <v/>
      </c>
    </row>
    <row r="39">
      <c r="A39" s="180" t="n">
        <v>28</v>
      </c>
      <c r="B39" s="181" t="n"/>
      <c r="C39" s="182" t="inlineStr">
        <is>
          <t>1-2-6</t>
        </is>
      </c>
      <c r="D39" s="183" t="inlineStr">
        <is>
          <t>Затраты труда рабочих (средний разряд работы 2,6)</t>
        </is>
      </c>
      <c r="E39" s="274" t="inlineStr">
        <is>
          <t>чел.-ч</t>
        </is>
      </c>
      <c r="F39" s="185" t="n">
        <v>4.31</v>
      </c>
      <c r="G39" s="186" t="n">
        <v>8.24</v>
      </c>
      <c r="H39" s="186">
        <f>ROUND(F39*G39,2)</f>
        <v/>
      </c>
      <c r="I39" s="114" t="n">
        <v>2.6</v>
      </c>
      <c r="J39" s="114">
        <f>I39*F39</f>
        <v/>
      </c>
    </row>
    <row r="40">
      <c r="A40" s="180" t="n">
        <v>29</v>
      </c>
      <c r="B40" s="181" t="n"/>
      <c r="C40" s="182" t="inlineStr">
        <is>
          <t>1-2-4</t>
        </is>
      </c>
      <c r="D40" s="183" t="inlineStr">
        <is>
          <t>Затраты труда рабочих (средний разряд работы 2,4)</t>
        </is>
      </c>
      <c r="E40" s="274" t="inlineStr">
        <is>
          <t>чел.-ч</t>
        </is>
      </c>
      <c r="F40" s="185" t="n">
        <v>1.1</v>
      </c>
      <c r="G40" s="186" t="n">
        <v>8.09</v>
      </c>
      <c r="H40" s="186">
        <f>ROUND(F40*G40,2)</f>
        <v/>
      </c>
      <c r="I40" s="114" t="n">
        <v>2.4</v>
      </c>
      <c r="J40" s="114">
        <f>I40*F40</f>
        <v/>
      </c>
    </row>
    <row r="41">
      <c r="A41" s="246" t="inlineStr">
        <is>
          <t>Затраты труда машинистов</t>
        </is>
      </c>
      <c r="B41" s="320" t="n"/>
      <c r="C41" s="320" t="n"/>
      <c r="D41" s="320" t="n"/>
      <c r="E41" s="321" t="n"/>
      <c r="F41" s="247" t="n"/>
      <c r="G41" s="188" t="n"/>
      <c r="H41" s="178">
        <f>H42</f>
        <v/>
      </c>
    </row>
    <row r="42">
      <c r="A42" s="274" t="n">
        <v>30</v>
      </c>
      <c r="B42" s="248" t="n"/>
      <c r="C42" s="182" t="n">
        <v>2</v>
      </c>
      <c r="D42" s="183" t="inlineStr">
        <is>
          <t>Затраты труда машинистов</t>
        </is>
      </c>
      <c r="E42" s="274" t="inlineStr">
        <is>
          <t>чел.-ч</t>
        </is>
      </c>
      <c r="F42" s="190">
        <f>1464.33+0.76</f>
        <v/>
      </c>
      <c r="G42" s="191" t="n"/>
      <c r="H42" s="192">
        <f>16886+10.26</f>
        <v/>
      </c>
      <c r="J42" s="114">
        <f>SUM(J12:J40)</f>
        <v/>
      </c>
      <c r="K42" s="193">
        <f>J42/F11</f>
        <v/>
      </c>
    </row>
    <row r="43" customFormat="1" s="179">
      <c r="A43" s="247" t="inlineStr">
        <is>
          <t>Машины и механизмы</t>
        </is>
      </c>
      <c r="B43" s="320" t="n"/>
      <c r="C43" s="320" t="n"/>
      <c r="D43" s="320" t="n"/>
      <c r="E43" s="321" t="n"/>
      <c r="F43" s="247" t="n"/>
      <c r="G43" s="188" t="n"/>
      <c r="H43" s="178">
        <f>SUM(H44:H115)</f>
        <v/>
      </c>
    </row>
    <row r="44" ht="25.5" customHeight="1">
      <c r="A44" s="274" t="n">
        <v>31</v>
      </c>
      <c r="B44" s="248" t="n"/>
      <c r="C44" s="182" t="inlineStr">
        <is>
          <t>91.21.22-021</t>
        </is>
      </c>
      <c r="D44" s="183" t="inlineStr">
        <is>
          <t>Агрегаты для нанесения составов методом торкретирования, 3,2 м3/ч</t>
        </is>
      </c>
      <c r="E44" s="274" t="inlineStr">
        <is>
          <t>маш.-ч</t>
        </is>
      </c>
      <c r="F44" s="274" t="n">
        <v>613.37</v>
      </c>
      <c r="G44" s="192" t="n">
        <v>155.8</v>
      </c>
      <c r="H44" s="186">
        <f>ROUND(F44*G44,2)</f>
        <v/>
      </c>
      <c r="I44" s="194">
        <f>H44/$H$43</f>
        <v/>
      </c>
      <c r="J44" s="195" t="n"/>
      <c r="L44" s="196" t="n"/>
    </row>
    <row r="45" customFormat="1" s="179">
      <c r="A45" s="274" t="n">
        <v>32</v>
      </c>
      <c r="B45" s="248" t="n"/>
      <c r="C45" s="182" t="inlineStr">
        <is>
          <t>91.06.09-011</t>
        </is>
      </c>
      <c r="D45" s="183" t="inlineStr">
        <is>
          <t>Люльки</t>
        </is>
      </c>
      <c r="E45" s="274" t="inlineStr">
        <is>
          <t>маш.-ч</t>
        </is>
      </c>
      <c r="F45" s="274" t="n">
        <v>808.4</v>
      </c>
      <c r="G45" s="192" t="n">
        <v>53.87</v>
      </c>
      <c r="H45" s="186">
        <f>ROUND(F45*G45,2)</f>
        <v/>
      </c>
      <c r="I45" s="194">
        <f>H45/$H$43</f>
        <v/>
      </c>
      <c r="L45" s="196" t="n"/>
    </row>
    <row r="46">
      <c r="A46" s="274" t="n">
        <v>33</v>
      </c>
      <c r="B46" s="248" t="n"/>
      <c r="C46" s="182" t="inlineStr">
        <is>
          <t>91.05.06-009</t>
        </is>
      </c>
      <c r="D46" s="183" t="inlineStr">
        <is>
          <t>Краны на гусеничном ходу, грузоподъемность 50-63 т</t>
        </is>
      </c>
      <c r="E46" s="274" t="inlineStr">
        <is>
          <t>маш.-ч</t>
        </is>
      </c>
      <c r="F46" s="274" t="n">
        <v>89.53</v>
      </c>
      <c r="G46" s="192" t="n">
        <v>290.01</v>
      </c>
      <c r="H46" s="186">
        <f>ROUND(F46*G46,2)</f>
        <v/>
      </c>
      <c r="I46" s="194">
        <f>H46/$H$43</f>
        <v/>
      </c>
      <c r="L46" s="196" t="n"/>
    </row>
    <row r="47" ht="25.5" customHeight="1">
      <c r="A47" s="274" t="n">
        <v>34</v>
      </c>
      <c r="B47" s="248" t="n"/>
      <c r="C47" s="182" t="inlineStr">
        <is>
          <t>91.04.01-077</t>
        </is>
      </c>
      <c r="D47" s="183" t="inlineStr">
        <is>
          <t>Установки и агрегаты буровые на базе автомобилей глубина бурения до 200 м, грузоподъемность до 4 т</t>
        </is>
      </c>
      <c r="E47" s="274" t="inlineStr">
        <is>
          <t>маш.-ч</t>
        </is>
      </c>
      <c r="F47" s="274" t="n">
        <v>83.16</v>
      </c>
      <c r="G47" s="192" t="n">
        <v>219.82</v>
      </c>
      <c r="H47" s="186">
        <f>ROUND(F47*G47,2)</f>
        <v/>
      </c>
      <c r="I47" s="194">
        <f>H47/$H$43</f>
        <v/>
      </c>
      <c r="L47" s="196" t="n"/>
    </row>
    <row r="48">
      <c r="A48" s="274" t="n">
        <v>35</v>
      </c>
      <c r="B48" s="248" t="n"/>
      <c r="C48" s="182" t="inlineStr">
        <is>
          <t>91.14.02-001</t>
        </is>
      </c>
      <c r="D48" s="183" t="inlineStr">
        <is>
          <t>Автомобили бортовые, грузоподъемность до 5 т</t>
        </is>
      </c>
      <c r="E48" s="274" t="inlineStr">
        <is>
          <t>маш.-ч</t>
        </is>
      </c>
      <c r="F48" s="274" t="n">
        <v>208.87</v>
      </c>
      <c r="G48" s="192" t="n">
        <v>65.70999999999999</v>
      </c>
      <c r="H48" s="186">
        <f>ROUND(F48*G48,2)</f>
        <v/>
      </c>
      <c r="I48" s="194">
        <f>H48/$H$43</f>
        <v/>
      </c>
      <c r="L48" s="196" t="n"/>
    </row>
    <row r="49">
      <c r="A49" s="274" t="n">
        <v>36</v>
      </c>
      <c r="B49" s="248" t="n"/>
      <c r="C49" s="182" t="inlineStr">
        <is>
          <t>91.05.06-007</t>
        </is>
      </c>
      <c r="D49" s="183" t="inlineStr">
        <is>
          <t>Краны на гусеничном ходу, грузоподъемность 25 т</t>
        </is>
      </c>
      <c r="E49" s="274" t="inlineStr">
        <is>
          <t>маш.-ч</t>
        </is>
      </c>
      <c r="F49" s="274" t="n">
        <v>82.09</v>
      </c>
      <c r="G49" s="192" t="n">
        <v>120.04</v>
      </c>
      <c r="H49" s="186">
        <f>ROUND(F49*G49,2)</f>
        <v/>
      </c>
      <c r="I49" s="194">
        <f>H49/$H$43</f>
        <v/>
      </c>
      <c r="L49" s="196" t="n"/>
    </row>
    <row r="50" ht="25.5" customHeight="1">
      <c r="A50" s="274" t="n">
        <v>37</v>
      </c>
      <c r="B50" s="248" t="n"/>
      <c r="C50" s="182" t="inlineStr">
        <is>
          <t>91.05.05-014</t>
        </is>
      </c>
      <c r="D50" s="183" t="inlineStr">
        <is>
          <t>Краны на автомобильном ходу, грузоподъемность 10 т</t>
        </is>
      </c>
      <c r="E50" s="274" t="inlineStr">
        <is>
          <t>маш.-ч</t>
        </is>
      </c>
      <c r="F50" s="274" t="n">
        <v>81.31999999999999</v>
      </c>
      <c r="G50" s="192" t="n">
        <v>111.99</v>
      </c>
      <c r="H50" s="186">
        <f>ROUND(F50*G50,2)</f>
        <v/>
      </c>
      <c r="I50" s="194">
        <f>H50/$H$43</f>
        <v/>
      </c>
    </row>
    <row r="51" ht="25.5" customHeight="1">
      <c r="A51" s="274" t="n">
        <v>38</v>
      </c>
      <c r="B51" s="248" t="n"/>
      <c r="C51" s="182" t="inlineStr">
        <is>
          <t>91.05.06-012</t>
        </is>
      </c>
      <c r="D51" s="183" t="inlineStr">
        <is>
          <t>Краны на гусеничном ходу, грузоподъемность до 16 т</t>
        </is>
      </c>
      <c r="E51" s="274" t="inlineStr">
        <is>
          <t>маш.-ч</t>
        </is>
      </c>
      <c r="F51" s="274" t="n">
        <v>70.59</v>
      </c>
      <c r="G51" s="192" t="n">
        <v>96.89</v>
      </c>
      <c r="H51" s="186">
        <f>ROUND(F51*G51,2)</f>
        <v/>
      </c>
      <c r="I51" s="194">
        <f>H51/$H$43</f>
        <v/>
      </c>
    </row>
    <row r="52">
      <c r="A52" s="274" t="n">
        <v>39</v>
      </c>
      <c r="B52" s="248" t="n"/>
      <c r="C52" s="182" t="inlineStr">
        <is>
          <t>91.05.06-010</t>
        </is>
      </c>
      <c r="D52" s="183" t="inlineStr">
        <is>
          <t>Краны на гусеничном ходу, грузоподъемность 100 т</t>
        </is>
      </c>
      <c r="E52" s="274" t="inlineStr">
        <is>
          <t>маш.-ч</t>
        </is>
      </c>
      <c r="F52" s="274" t="n">
        <v>12.06</v>
      </c>
      <c r="G52" s="192" t="n">
        <v>533.27</v>
      </c>
      <c r="H52" s="186">
        <f>ROUND(F52*G52,2)</f>
        <v/>
      </c>
      <c r="I52" s="194">
        <f>H52/$H$43</f>
        <v/>
      </c>
    </row>
    <row r="53" ht="25.5" customHeight="1">
      <c r="A53" s="274" t="n">
        <v>40</v>
      </c>
      <c r="B53" s="248" t="n"/>
      <c r="C53" s="182" t="inlineStr">
        <is>
          <t>91.17.04-233</t>
        </is>
      </c>
      <c r="D53" s="183" t="inlineStr">
        <is>
          <t>Установки для сварки ручной дуговой (постоянного тока)</t>
        </is>
      </c>
      <c r="E53" s="274" t="inlineStr">
        <is>
          <t>маш.-ч</t>
        </is>
      </c>
      <c r="F53" s="274" t="n">
        <v>620.96</v>
      </c>
      <c r="G53" s="192" t="n">
        <v>8.1</v>
      </c>
      <c r="H53" s="186">
        <f>ROUND(F53*G53,2)</f>
        <v/>
      </c>
      <c r="I53" s="194">
        <f>H53/$H$43</f>
        <v/>
      </c>
    </row>
    <row r="54" ht="25.5" customHeight="1">
      <c r="A54" s="274" t="n">
        <v>41</v>
      </c>
      <c r="B54" s="248" t="n"/>
      <c r="C54" s="182" t="inlineStr">
        <is>
          <t>020129</t>
        </is>
      </c>
      <c r="D54" s="183" t="inlineStr">
        <is>
          <t>Краны башенные при работе на других видах строительства 8 т</t>
        </is>
      </c>
      <c r="E54" s="274" t="inlineStr">
        <is>
          <t>маш.час</t>
        </is>
      </c>
      <c r="F54" s="274" t="n">
        <v>48.45</v>
      </c>
      <c r="G54" s="192" t="n">
        <v>86.40000000000001</v>
      </c>
      <c r="H54" s="186">
        <f>ROUND(F54*G54,2)</f>
        <v/>
      </c>
    </row>
    <row r="55" ht="25.5" customHeight="1">
      <c r="A55" s="274" t="n">
        <v>42</v>
      </c>
      <c r="B55" s="248" t="n"/>
      <c r="C55" s="182" t="inlineStr">
        <is>
          <t>021245</t>
        </is>
      </c>
      <c r="D55" s="183" t="inlineStr">
        <is>
          <t>Краны на гусеничном ходу при работе на других видах строительства 40 т</t>
        </is>
      </c>
      <c r="E55" s="274" t="inlineStr">
        <is>
          <t>маш.час</t>
        </is>
      </c>
      <c r="F55" s="274" t="n">
        <v>23.8</v>
      </c>
      <c r="G55" s="192" t="n">
        <v>175.56</v>
      </c>
      <c r="H55" s="186">
        <f>ROUND(F55*G55,2)</f>
        <v/>
      </c>
    </row>
    <row r="56">
      <c r="A56" s="274" t="n">
        <v>43</v>
      </c>
      <c r="B56" s="248" t="n"/>
      <c r="C56" s="182" t="inlineStr">
        <is>
          <t>110501</t>
        </is>
      </c>
      <c r="D56" s="183" t="inlineStr">
        <is>
          <t>Глиномешалки, 4 м3</t>
        </is>
      </c>
      <c r="E56" s="274" t="inlineStr">
        <is>
          <t>маш.час</t>
        </is>
      </c>
      <c r="F56" s="274" t="n">
        <v>134.82</v>
      </c>
      <c r="G56" s="192" t="n">
        <v>26.5</v>
      </c>
      <c r="H56" s="186">
        <f>ROUND(F56*G56,2)</f>
        <v/>
      </c>
    </row>
    <row r="57" ht="25.5" customHeight="1">
      <c r="A57" s="274" t="n">
        <v>44</v>
      </c>
      <c r="B57" s="248" t="n"/>
      <c r="C57" s="182" t="inlineStr">
        <is>
          <t>041000</t>
        </is>
      </c>
      <c r="D57" s="183" t="inlineStr">
        <is>
          <t>Преобразователи сварочные с номинальным сварочным током 315-500 А</t>
        </is>
      </c>
      <c r="E57" s="274" t="inlineStr">
        <is>
          <t>маш.час</t>
        </is>
      </c>
      <c r="F57" s="274" t="n">
        <v>264.99</v>
      </c>
      <c r="G57" s="192" t="n">
        <v>12.31</v>
      </c>
      <c r="H57" s="186">
        <f>ROUND(F57*G57,2)</f>
        <v/>
      </c>
    </row>
    <row r="58" ht="25.5" customHeight="1">
      <c r="A58" s="274" t="n">
        <v>45</v>
      </c>
      <c r="B58" s="248" t="n"/>
      <c r="C58" s="182" t="inlineStr">
        <is>
          <t>270301</t>
        </is>
      </c>
      <c r="D58" s="183" t="inlineStr">
        <is>
          <t>Насосы грязевые, подача 23,4-65,3 м3/ч, давление нагнетания 15,7-5,88 МПа (160-60 кгс/см2)</t>
        </is>
      </c>
      <c r="E58" s="274" t="inlineStr">
        <is>
          <t>маш.час</t>
        </is>
      </c>
      <c r="F58" s="274" t="n">
        <v>83.58</v>
      </c>
      <c r="G58" s="192" t="n">
        <v>32.71</v>
      </c>
      <c r="H58" s="186">
        <f>ROUND(F58*G58,2)</f>
        <v/>
      </c>
    </row>
    <row r="59" ht="25.5" customHeight="1">
      <c r="A59" s="274" t="n">
        <v>46</v>
      </c>
      <c r="B59" s="248" t="n"/>
      <c r="C59" s="182" t="inlineStr">
        <is>
          <t>021102</t>
        </is>
      </c>
      <c r="D59" s="183" t="inlineStr">
        <is>
          <t>Краны на автомобильном ходу при работе на монтаже технологического оборудования 10 т</t>
        </is>
      </c>
      <c r="E59" s="274" t="inlineStr">
        <is>
          <t>маш.час</t>
        </is>
      </c>
      <c r="F59" s="274" t="n">
        <v>15.52</v>
      </c>
      <c r="G59" s="192" t="n">
        <v>134.65</v>
      </c>
      <c r="H59" s="186">
        <f>ROUND(F59*G59,2)</f>
        <v/>
      </c>
      <c r="J59" s="197" t="n"/>
      <c r="L59" s="196" t="n"/>
    </row>
    <row r="60" customFormat="1" s="179">
      <c r="A60" s="274" t="n">
        <v>47</v>
      </c>
      <c r="B60" s="248" t="n"/>
      <c r="C60" s="182" t="inlineStr">
        <is>
          <t>330901</t>
        </is>
      </c>
      <c r="D60" s="183" t="inlineStr">
        <is>
          <t>Ножницы электрические</t>
        </is>
      </c>
      <c r="E60" s="274" t="inlineStr">
        <is>
          <t>маш.час</t>
        </is>
      </c>
      <c r="F60" s="274" t="n">
        <v>44.85</v>
      </c>
      <c r="G60" s="192" t="n">
        <v>33.59</v>
      </c>
      <c r="H60" s="186">
        <f>ROUND(F60*G60,2)</f>
        <v/>
      </c>
      <c r="L60" s="196" t="n"/>
    </row>
    <row r="61">
      <c r="A61" s="274" t="n">
        <v>48</v>
      </c>
      <c r="B61" s="248" t="n"/>
      <c r="C61" s="182" t="inlineStr">
        <is>
          <t>121011</t>
        </is>
      </c>
      <c r="D61" s="183" t="inlineStr">
        <is>
          <t>Котлы битумные передвижные 400 л</t>
        </is>
      </c>
      <c r="E61" s="274" t="inlineStr">
        <is>
          <t>маш.час</t>
        </is>
      </c>
      <c r="F61" s="274" t="n">
        <v>48.08</v>
      </c>
      <c r="G61" s="192" t="n">
        <v>30</v>
      </c>
      <c r="H61" s="186">
        <f>ROUND(F61*G61,2)</f>
        <v/>
      </c>
      <c r="L61" s="196" t="n"/>
    </row>
    <row r="62" ht="38.25" customHeight="1">
      <c r="A62" s="274" t="n">
        <v>49</v>
      </c>
      <c r="B62" s="248" t="n"/>
      <c r="C62" s="182" t="inlineStr">
        <is>
          <t>050101</t>
        </is>
      </c>
      <c r="D62" s="183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62" s="274" t="inlineStr">
        <is>
          <t>маш.час</t>
        </is>
      </c>
      <c r="F62" s="274" t="n">
        <v>14.82</v>
      </c>
      <c r="G62" s="192" t="n">
        <v>90</v>
      </c>
      <c r="H62" s="186">
        <f>ROUND(F62*G62,2)</f>
        <v/>
      </c>
      <c r="L62" s="196" t="n"/>
    </row>
    <row r="63" ht="25.5" customHeight="1">
      <c r="A63" s="274" t="n">
        <v>50</v>
      </c>
      <c r="B63" s="248" t="n"/>
      <c r="C63" s="182" t="inlineStr">
        <is>
          <t>020403</t>
        </is>
      </c>
      <c r="D63" s="183" t="inlineStr">
        <is>
          <t>Краны козловые при работе на монтаже технологического оборудования 32 т</t>
        </is>
      </c>
      <c r="E63" s="274" t="inlineStr">
        <is>
          <t>маш.час</t>
        </is>
      </c>
      <c r="F63" s="274" t="n">
        <v>9.359999999999999</v>
      </c>
      <c r="G63" s="192" t="n">
        <v>120.52</v>
      </c>
      <c r="H63" s="186">
        <f>ROUND(F63*G63,2)</f>
        <v/>
      </c>
      <c r="I63" s="196" t="n"/>
      <c r="L63" s="196" t="n"/>
    </row>
    <row r="64" ht="25.5" customHeight="1">
      <c r="A64" s="274" t="n">
        <v>51</v>
      </c>
      <c r="B64" s="248" t="n"/>
      <c r="C64" s="182" t="inlineStr">
        <is>
          <t>101401</t>
        </is>
      </c>
      <c r="D64" s="183" t="inlineStr">
        <is>
          <t>Насосы для нагнетания воды, содержащей твердые частицы, подача 45 м3/ч, напор до 55 м</t>
        </is>
      </c>
      <c r="E64" s="274" t="inlineStr">
        <is>
          <t>маш.час</t>
        </is>
      </c>
      <c r="F64" s="274" t="n">
        <v>83.16</v>
      </c>
      <c r="G64" s="192" t="n">
        <v>9.73</v>
      </c>
      <c r="H64" s="186">
        <f>ROUND(F64*G64,2)</f>
        <v/>
      </c>
      <c r="I64" s="196" t="n"/>
      <c r="L64" s="196" t="n"/>
    </row>
    <row r="65" ht="25.5" customHeight="1">
      <c r="A65" s="274" t="n">
        <v>52</v>
      </c>
      <c r="B65" s="248" t="n"/>
      <c r="C65" s="182" t="inlineStr">
        <is>
          <t>040202</t>
        </is>
      </c>
      <c r="D65" s="183" t="inlineStr">
        <is>
          <t>Агрегаты сварочные передвижные с номинальным сварочным током 250-400 А с дизельным двигателем</t>
        </is>
      </c>
      <c r="E65" s="274" t="inlineStr">
        <is>
          <t>маш.час</t>
        </is>
      </c>
      <c r="F65" s="274" t="n">
        <v>55.58</v>
      </c>
      <c r="G65" s="192" t="n">
        <v>14</v>
      </c>
      <c r="H65" s="186">
        <f>ROUND(F65*G65,2)</f>
        <v/>
      </c>
      <c r="I65" s="196" t="n"/>
      <c r="L65" s="196" t="n"/>
    </row>
    <row r="66" ht="25.5" customHeight="1">
      <c r="A66" s="274" t="n">
        <v>53</v>
      </c>
      <c r="B66" s="248" t="n"/>
      <c r="C66" s="182" t="inlineStr">
        <is>
          <t>020121</t>
        </is>
      </c>
      <c r="D66" s="183" t="inlineStr">
        <is>
          <t>Краны башенные при работе на монтаже технологического оборудования 25-75 т</t>
        </is>
      </c>
      <c r="E66" s="274" t="inlineStr">
        <is>
          <t>маш.час</t>
        </is>
      </c>
      <c r="F66" s="274" t="n">
        <v>2.28</v>
      </c>
      <c r="G66" s="192" t="n">
        <v>312.21</v>
      </c>
      <c r="H66" s="186">
        <f>ROUND(F66*G66,2)</f>
        <v/>
      </c>
      <c r="I66" s="196" t="n"/>
      <c r="L66" s="196" t="n"/>
    </row>
    <row r="67" ht="25.5" customHeight="1">
      <c r="A67" s="274" t="n">
        <v>54</v>
      </c>
      <c r="B67" s="248" t="n"/>
      <c r="C67" s="182" t="inlineStr">
        <is>
          <t>030405</t>
        </is>
      </c>
      <c r="D67" s="183" t="inlineStr">
        <is>
          <t>Лебедки электрические тяговым усилием до 49,05 кН (5 т)</t>
        </is>
      </c>
      <c r="E67" s="274" t="inlineStr">
        <is>
          <t>маш.час</t>
        </is>
      </c>
      <c r="F67" s="274" t="n">
        <v>85.17</v>
      </c>
      <c r="G67" s="192" t="n">
        <v>8.199999999999999</v>
      </c>
      <c r="H67" s="186">
        <f>ROUND(F67*G67,2)</f>
        <v/>
      </c>
      <c r="I67" s="196" t="n"/>
    </row>
    <row r="68" ht="25.5" customHeight="1">
      <c r="A68" s="274" t="n">
        <v>55</v>
      </c>
      <c r="B68" s="248" t="n"/>
      <c r="C68" s="182" t="inlineStr">
        <is>
          <t>070150</t>
        </is>
      </c>
      <c r="D68" s="183" t="inlineStr">
        <is>
          <t>Бульдозеры при работе на других видах строительства 96 кВт (130 л.с.)</t>
        </is>
      </c>
      <c r="E68" s="274" t="inlineStr">
        <is>
          <t>маш.час</t>
        </is>
      </c>
      <c r="F68" s="274" t="n">
        <v>6.79</v>
      </c>
      <c r="G68" s="192" t="n">
        <v>94.05</v>
      </c>
      <c r="H68" s="186">
        <f>ROUND(F68*G68,2)</f>
        <v/>
      </c>
    </row>
    <row r="69" ht="25.5" customHeight="1">
      <c r="A69" s="274" t="n">
        <v>56</v>
      </c>
      <c r="B69" s="248" t="n"/>
      <c r="C69" s="182" t="inlineStr">
        <is>
          <t>021143</t>
        </is>
      </c>
      <c r="D69" s="183" t="inlineStr">
        <is>
          <t>Краны на автомобильном ходу при работе на других видах строительства 16 т</t>
        </is>
      </c>
      <c r="E69" s="274" t="inlineStr">
        <is>
          <t>маш.час</t>
        </is>
      </c>
      <c r="F69" s="274" t="n">
        <v>5.5</v>
      </c>
      <c r="G69" s="192" t="n">
        <v>115.4</v>
      </c>
      <c r="H69" s="186">
        <f>ROUND(F69*G69,2)</f>
        <v/>
      </c>
    </row>
    <row r="70" ht="38.25" customHeight="1">
      <c r="A70" s="274" t="n">
        <v>57</v>
      </c>
      <c r="B70" s="248" t="n"/>
      <c r="C70" s="182" t="inlineStr">
        <is>
          <t>060247</t>
        </is>
      </c>
      <c r="D70" s="183" t="inlineStr">
        <is>
          <t>Экскаваторы одноковшовые дизельные на гусеничном ходу при работе на других видах строительства 0,5 м3</t>
        </is>
      </c>
      <c r="E70" s="274" t="inlineStr">
        <is>
          <t>маш.час</t>
        </is>
      </c>
      <c r="F70" s="274" t="n">
        <v>5.62</v>
      </c>
      <c r="G70" s="192" t="n">
        <v>100</v>
      </c>
      <c r="H70" s="186">
        <f>ROUND(F70*G70,2)</f>
        <v/>
      </c>
    </row>
    <row r="71">
      <c r="A71" s="274" t="n">
        <v>58</v>
      </c>
      <c r="B71" s="248" t="n"/>
      <c r="C71" s="182" t="inlineStr">
        <is>
          <t>110221</t>
        </is>
      </c>
      <c r="D71" s="183" t="inlineStr">
        <is>
          <t>Автобетононасосы: производительность 160 м3/ч</t>
        </is>
      </c>
      <c r="E71" s="274" t="inlineStr">
        <is>
          <t>маш.-ч</t>
        </is>
      </c>
      <c r="F71" s="274" t="n">
        <v>0.5659999999999999</v>
      </c>
      <c r="G71" s="192" t="n">
        <v>978.63</v>
      </c>
      <c r="H71" s="186">
        <f>ROUND(F71*G71,2)</f>
        <v/>
      </c>
      <c r="I71" s="196" t="n"/>
    </row>
    <row r="72">
      <c r="A72" s="274" t="n">
        <v>59</v>
      </c>
      <c r="B72" s="248" t="n"/>
      <c r="C72" s="182" t="inlineStr">
        <is>
          <t>400002</t>
        </is>
      </c>
      <c r="D72" s="183" t="inlineStr">
        <is>
          <t>Автомобили бортовые, грузоподъемность до 8 т</t>
        </is>
      </c>
      <c r="E72" s="274" t="inlineStr">
        <is>
          <t>маш.час</t>
        </is>
      </c>
      <c r="F72" s="274" t="n">
        <v>5.09</v>
      </c>
      <c r="G72" s="192" t="n">
        <v>107.3</v>
      </c>
      <c r="H72" s="186">
        <f>ROUND(F72*G72,2)</f>
        <v/>
      </c>
    </row>
    <row r="73">
      <c r="A73" s="274" t="n">
        <v>60</v>
      </c>
      <c r="B73" s="248" t="n"/>
      <c r="C73" s="182" t="inlineStr">
        <is>
          <t>030101</t>
        </is>
      </c>
      <c r="D73" s="183" t="inlineStr">
        <is>
          <t>Автопогрузчики 5 т</t>
        </is>
      </c>
      <c r="E73" s="274" t="inlineStr">
        <is>
          <t>маш.час</t>
        </is>
      </c>
      <c r="F73" s="274" t="n">
        <v>5.99</v>
      </c>
      <c r="G73" s="192" t="n">
        <v>89.98999999999999</v>
      </c>
      <c r="H73" s="186">
        <f>ROUND(F73*G73,2)</f>
        <v/>
      </c>
    </row>
    <row r="74" ht="25.5" customHeight="1">
      <c r="A74" s="274" t="n">
        <v>61</v>
      </c>
      <c r="B74" s="248" t="n"/>
      <c r="C74" s="182" t="inlineStr">
        <is>
          <t>030954</t>
        </is>
      </c>
      <c r="D74" s="183" t="inlineStr">
        <is>
          <t>Подъемники грузоподъемностью до 500 кг одномачтовые, высота подъема 45 м</t>
        </is>
      </c>
      <c r="E74" s="274" t="inlineStr">
        <is>
          <t>маш.час</t>
        </is>
      </c>
      <c r="F74" s="274" t="n">
        <v>13.39</v>
      </c>
      <c r="G74" s="192" t="n">
        <v>31.26</v>
      </c>
      <c r="H74" s="186">
        <f>ROUND(F74*G74,2)</f>
        <v/>
      </c>
    </row>
    <row r="75" ht="25.5" customHeight="1">
      <c r="A75" s="274" t="n">
        <v>62</v>
      </c>
      <c r="B75" s="248" t="n"/>
      <c r="C75" s="182" t="inlineStr">
        <is>
          <t>140401</t>
        </is>
      </c>
      <c r="D75" s="183" t="inlineStr">
        <is>
          <t>Вибропогружатели высокочастотные для погружения свай до 1,5 т</t>
        </is>
      </c>
      <c r="E75" s="274" t="inlineStr">
        <is>
          <t>маш.час</t>
        </is>
      </c>
      <c r="F75" s="274" t="n">
        <v>9.81</v>
      </c>
      <c r="G75" s="192" t="n">
        <v>35</v>
      </c>
      <c r="H75" s="186">
        <f>ROUND(F75*G75,2)</f>
        <v/>
      </c>
    </row>
    <row r="76" ht="25.5" customHeight="1">
      <c r="A76" s="274" t="n">
        <v>63</v>
      </c>
      <c r="B76" s="248" t="n"/>
      <c r="C76" s="182" t="inlineStr">
        <is>
          <t>030403</t>
        </is>
      </c>
      <c r="D76" s="183" t="inlineStr">
        <is>
          <t>Лебедки электрические тяговым усилием 19,62 кН (2 т)</t>
        </is>
      </c>
      <c r="E76" s="274" t="inlineStr">
        <is>
          <t>маш.час</t>
        </is>
      </c>
      <c r="F76" s="274" t="n">
        <v>51.17</v>
      </c>
      <c r="G76" s="192" t="n">
        <v>6.66</v>
      </c>
      <c r="H76" s="186">
        <f>ROUND(F76*G76,2)</f>
        <v/>
      </c>
    </row>
    <row r="77" ht="25.5" customHeight="1">
      <c r="A77" s="274" t="n">
        <v>64</v>
      </c>
      <c r="B77" s="248" t="n"/>
      <c r="C77" s="182" t="inlineStr">
        <is>
          <t>340101</t>
        </is>
      </c>
      <c r="D77" s="183" t="inlineStr">
        <is>
          <t>Агрегаты окрасочные высокого давления для окраски поверхностей конструкций мощностью 1 кВт</t>
        </is>
      </c>
      <c r="E77" s="274" t="inlineStr">
        <is>
          <t>маш.час</t>
        </is>
      </c>
      <c r="F77" s="274" t="n">
        <v>42.57</v>
      </c>
      <c r="G77" s="192" t="n">
        <v>6.82</v>
      </c>
      <c r="H77" s="186">
        <f>ROUND(F77*G77,2)</f>
        <v/>
      </c>
    </row>
    <row r="78">
      <c r="A78" s="274" t="n">
        <v>65</v>
      </c>
      <c r="B78" s="248" t="n"/>
      <c r="C78" s="182" t="inlineStr">
        <is>
          <t>110901</t>
        </is>
      </c>
      <c r="D78" s="183" t="inlineStr">
        <is>
          <t>Растворосмесители передвижные 65 л</t>
        </is>
      </c>
      <c r="E78" s="274" t="inlineStr">
        <is>
          <t>маш.час</t>
        </is>
      </c>
      <c r="F78" s="274" t="n">
        <v>21.34</v>
      </c>
      <c r="G78" s="192" t="n">
        <v>12.39</v>
      </c>
      <c r="H78" s="186">
        <f>ROUND(F78*G78,2)</f>
        <v/>
      </c>
    </row>
    <row r="79" ht="25.5" customHeight="1">
      <c r="A79" s="274" t="n">
        <v>66</v>
      </c>
      <c r="B79" s="248" t="n"/>
      <c r="C79" s="182" t="inlineStr">
        <is>
          <t>030305</t>
        </is>
      </c>
      <c r="D79" s="183" t="inlineStr">
        <is>
          <t>Лебедки ручные и рычажные тяговым усилием 31,39 кН (3,2 т)</t>
        </is>
      </c>
      <c r="E79" s="274" t="inlineStr">
        <is>
          <t>маш.час</t>
        </is>
      </c>
      <c r="F79" s="274" t="n">
        <v>82.97</v>
      </c>
      <c r="G79" s="192" t="n">
        <v>3.12</v>
      </c>
      <c r="H79" s="186">
        <f>ROUND(F79*G79,2)</f>
        <v/>
      </c>
      <c r="J79" s="197" t="n"/>
      <c r="L79" s="196" t="n"/>
    </row>
    <row r="80" ht="25.5" customFormat="1" customHeight="1" s="179">
      <c r="A80" s="274" t="n">
        <v>67</v>
      </c>
      <c r="B80" s="248" t="n"/>
      <c r="C80" s="182" t="inlineStr">
        <is>
          <t>040801</t>
        </is>
      </c>
      <c r="D80" s="183" t="inlineStr">
        <is>
          <t>Выпрямители сварочные многопостовые с количеством постов до 30</t>
        </is>
      </c>
      <c r="E80" s="274" t="inlineStr">
        <is>
          <t>маш.час</t>
        </is>
      </c>
      <c r="F80" s="274" t="n">
        <v>7.08</v>
      </c>
      <c r="G80" s="192" t="n">
        <v>34.09</v>
      </c>
      <c r="H80" s="186">
        <f>ROUND(F80*G80,2)</f>
        <v/>
      </c>
      <c r="L80" s="196" t="n"/>
    </row>
    <row r="81">
      <c r="A81" s="274" t="n">
        <v>68</v>
      </c>
      <c r="B81" s="248" t="n"/>
      <c r="C81" s="182" t="inlineStr">
        <is>
          <t>400101</t>
        </is>
      </c>
      <c r="D81" s="183" t="inlineStr">
        <is>
          <t>Тягачи седельные, грузоподъемность 12 т</t>
        </is>
      </c>
      <c r="E81" s="274" t="inlineStr">
        <is>
          <t>маш.час</t>
        </is>
      </c>
      <c r="F81" s="274" t="n">
        <v>1.66</v>
      </c>
      <c r="G81" s="192" t="n">
        <v>127.82</v>
      </c>
      <c r="H81" s="186">
        <f>ROUND(F81*G81,2)</f>
        <v/>
      </c>
      <c r="L81" s="196" t="n"/>
    </row>
    <row r="82" ht="25.5" customHeight="1">
      <c r="A82" s="274" t="n">
        <v>69</v>
      </c>
      <c r="B82" s="248" t="n"/>
      <c r="C82" s="182" t="inlineStr">
        <is>
          <t>150702</t>
        </is>
      </c>
      <c r="D82" s="183" t="inlineStr">
        <is>
          <t>Трубоукладчики для труб диаметром до 700 мм грузоподъемностью 12,5 т</t>
        </is>
      </c>
      <c r="E82" s="274" t="inlineStr">
        <is>
          <t>маш.час</t>
        </is>
      </c>
      <c r="F82" s="274" t="n">
        <v>1.36</v>
      </c>
      <c r="G82" s="192" t="n">
        <v>152.5</v>
      </c>
      <c r="H82" s="186">
        <f>ROUND(F82*G82,2)</f>
        <v/>
      </c>
      <c r="L82" s="196" t="n"/>
    </row>
    <row r="83">
      <c r="A83" s="274" t="n">
        <v>70</v>
      </c>
      <c r="B83" s="248" t="n"/>
      <c r="C83" s="182" t="inlineStr">
        <is>
          <t>040504</t>
        </is>
      </c>
      <c r="D83" s="183" t="inlineStr">
        <is>
          <t>Аппарат для газовой сварки и резки</t>
        </is>
      </c>
      <c r="E83" s="274" t="inlineStr">
        <is>
          <t>маш.час</t>
        </is>
      </c>
      <c r="F83" s="274" t="n">
        <v>167.29</v>
      </c>
      <c r="G83" s="192" t="n">
        <v>1.2</v>
      </c>
      <c r="H83" s="186">
        <f>ROUND(F83*G83,2)</f>
        <v/>
      </c>
      <c r="I83" s="196" t="n"/>
      <c r="L83" s="196" t="n"/>
    </row>
    <row r="84" ht="25.5" customHeight="1">
      <c r="A84" s="274" t="n">
        <v>71</v>
      </c>
      <c r="B84" s="248" t="n"/>
      <c r="C84" s="182" t="inlineStr">
        <is>
          <t>030402</t>
        </is>
      </c>
      <c r="D84" s="183" t="inlineStr">
        <is>
          <t>Лебедки электрические тяговым усилием до 12,26 кН (1,25 т)</t>
        </is>
      </c>
      <c r="E84" s="274" t="inlineStr">
        <is>
          <t>маш.час</t>
        </is>
      </c>
      <c r="F84" s="274" t="n">
        <v>56.85</v>
      </c>
      <c r="G84" s="192" t="n">
        <v>3.28</v>
      </c>
      <c r="H84" s="186">
        <f>ROUND(F84*G84,2)</f>
        <v/>
      </c>
      <c r="I84" s="196" t="n"/>
      <c r="L84" s="196" t="n"/>
    </row>
    <row r="85" ht="38.25" customHeight="1">
      <c r="A85" s="274" t="n">
        <v>72</v>
      </c>
      <c r="B85" s="248" t="n"/>
      <c r="C85" s="182" t="inlineStr">
        <is>
          <t>041400</t>
        </is>
      </c>
      <c r="D85" s="18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85" s="274" t="inlineStr">
        <is>
          <t>маш.час</t>
        </is>
      </c>
      <c r="F85" s="274" t="n">
        <v>25.99</v>
      </c>
      <c r="G85" s="192" t="n">
        <v>6.7</v>
      </c>
      <c r="H85" s="186">
        <f>ROUND(F85*G85,2)</f>
        <v/>
      </c>
      <c r="I85" s="196" t="n"/>
      <c r="L85" s="196" t="n"/>
    </row>
    <row r="86">
      <c r="A86" s="274" t="n">
        <v>73</v>
      </c>
      <c r="B86" s="248" t="n"/>
      <c r="C86" s="182" t="inlineStr">
        <is>
          <t>134041</t>
        </is>
      </c>
      <c r="D86" s="183" t="inlineStr">
        <is>
          <t>Шуруповерт</t>
        </is>
      </c>
      <c r="E86" s="274" t="inlineStr">
        <is>
          <t>маш.час</t>
        </is>
      </c>
      <c r="F86" s="274" t="n">
        <v>57.48</v>
      </c>
      <c r="G86" s="192" t="n">
        <v>3</v>
      </c>
      <c r="H86" s="186">
        <f>ROUND(F86*G86,2)</f>
        <v/>
      </c>
      <c r="I86" s="196" t="n"/>
    </row>
    <row r="87">
      <c r="A87" s="274" t="n">
        <v>74</v>
      </c>
      <c r="B87" s="248" t="n"/>
      <c r="C87" s="182" t="inlineStr">
        <is>
          <t>330301</t>
        </is>
      </c>
      <c r="D87" s="183" t="inlineStr">
        <is>
          <t>Машины шлифовальные электрические</t>
        </is>
      </c>
      <c r="E87" s="274" t="inlineStr">
        <is>
          <t>маш.час</t>
        </is>
      </c>
      <c r="F87" s="274" t="n">
        <v>33.05</v>
      </c>
      <c r="G87" s="192" t="n">
        <v>5.13</v>
      </c>
      <c r="H87" s="186">
        <f>ROUND(F87*G87,2)</f>
        <v/>
      </c>
      <c r="I87" s="196" t="n"/>
    </row>
    <row r="88">
      <c r="A88" s="274" t="n">
        <v>75</v>
      </c>
      <c r="B88" s="248" t="n"/>
      <c r="C88" s="182" t="inlineStr">
        <is>
          <t>330206</t>
        </is>
      </c>
      <c r="D88" s="183" t="inlineStr">
        <is>
          <t>Дрели электрические</t>
        </is>
      </c>
      <c r="E88" s="274" t="inlineStr">
        <is>
          <t>маш.час</t>
        </is>
      </c>
      <c r="F88" s="274" t="n">
        <v>86.26000000000001</v>
      </c>
      <c r="G88" s="192" t="n">
        <v>1.95</v>
      </c>
      <c r="H88" s="186">
        <f>ROUND(F88*G88,2)</f>
        <v/>
      </c>
      <c r="I88" s="196" t="n"/>
    </row>
    <row r="89" ht="25.5" customHeight="1">
      <c r="A89" s="274" t="n">
        <v>76</v>
      </c>
      <c r="B89" s="248" t="n"/>
      <c r="C89" s="182" t="inlineStr">
        <is>
          <t>031812</t>
        </is>
      </c>
      <c r="D89" s="183" t="inlineStr">
        <is>
          <t>Погрузчики одноковшовые универсальные фронтальные пневмоколесные 3 т</t>
        </is>
      </c>
      <c r="E89" s="274" t="inlineStr">
        <is>
          <t>маш.час</t>
        </is>
      </c>
      <c r="F89" s="274" t="n">
        <v>1.5</v>
      </c>
      <c r="G89" s="192" t="n">
        <v>90.40000000000001</v>
      </c>
      <c r="H89" s="186">
        <f>ROUND(F89*G89,2)</f>
        <v/>
      </c>
      <c r="I89" s="196" t="n"/>
    </row>
    <row r="90">
      <c r="A90" s="274" t="n">
        <v>77</v>
      </c>
      <c r="B90" s="248" t="n"/>
      <c r="C90" s="182" t="inlineStr">
        <is>
          <t>350481</t>
        </is>
      </c>
      <c r="D90" s="183" t="inlineStr">
        <is>
          <t>Пресс-ножницы комбинированные</t>
        </is>
      </c>
      <c r="E90" s="274" t="inlineStr">
        <is>
          <t>маш.час</t>
        </is>
      </c>
      <c r="F90" s="274" t="n">
        <v>8.550000000000001</v>
      </c>
      <c r="G90" s="192" t="n">
        <v>15.4</v>
      </c>
      <c r="H90" s="186">
        <f>ROUND(F90*G90,2)</f>
        <v/>
      </c>
    </row>
    <row r="91">
      <c r="A91" s="274" t="n">
        <v>78</v>
      </c>
      <c r="B91" s="248" t="n"/>
      <c r="C91" s="182" t="inlineStr">
        <is>
          <t>331451</t>
        </is>
      </c>
      <c r="D91" s="183" t="inlineStr">
        <is>
          <t>Перфораторы электрические</t>
        </is>
      </c>
      <c r="E91" s="274" t="inlineStr">
        <is>
          <t>маш.час</t>
        </is>
      </c>
      <c r="F91" s="274" t="n">
        <v>54.08</v>
      </c>
      <c r="G91" s="192" t="n">
        <v>2.08</v>
      </c>
      <c r="H91" s="186">
        <f>ROUND(F91*G91,2)</f>
        <v/>
      </c>
    </row>
    <row r="92">
      <c r="A92" s="274" t="n">
        <v>79</v>
      </c>
      <c r="B92" s="248" t="n"/>
      <c r="C92" s="182" t="inlineStr">
        <is>
          <t>340312</t>
        </is>
      </c>
      <c r="D92" s="183" t="inlineStr">
        <is>
          <t>Машины мозаично-шлифовальные</t>
        </is>
      </c>
      <c r="E92" s="274" t="inlineStr">
        <is>
          <t>маш.час</t>
        </is>
      </c>
      <c r="F92" s="274" t="n">
        <v>69.54000000000001</v>
      </c>
      <c r="G92" s="192" t="n">
        <v>1.5</v>
      </c>
      <c r="H92" s="186">
        <f>ROUND(F92*G92,2)</f>
        <v/>
      </c>
    </row>
    <row r="93" ht="25.5" customHeight="1">
      <c r="A93" s="274" t="n">
        <v>80</v>
      </c>
      <c r="B93" s="248" t="n"/>
      <c r="C93" s="182" t="inlineStr">
        <is>
          <t>110221</t>
        </is>
      </c>
      <c r="D93" s="183" t="inlineStr">
        <is>
          <t>Автобетононасосы: производительность 160 м3/ч (см.тех.часть к сб. ФЕР6 п.1.6.40, 556-ПОС3)</t>
        </is>
      </c>
      <c r="E93" s="274" t="inlineStr">
        <is>
          <t>маш.-ч</t>
        </is>
      </c>
      <c r="F93" s="274" t="n">
        <v>0.08749999999999999</v>
      </c>
      <c r="G93" s="192" t="n">
        <v>978.63</v>
      </c>
      <c r="H93" s="186">
        <f>ROUND(F93*G93,2)</f>
        <v/>
      </c>
    </row>
    <row r="94">
      <c r="A94" s="274" t="n">
        <v>81</v>
      </c>
      <c r="B94" s="248" t="n"/>
      <c r="C94" s="182" t="inlineStr">
        <is>
          <t>91.14.03-002</t>
        </is>
      </c>
      <c r="D94" s="183" t="inlineStr">
        <is>
          <t>Автомобили-самосвалы, грузоподъемность до 10 т</t>
        </is>
      </c>
      <c r="E94" s="274" t="inlineStr">
        <is>
          <t>маш.-ч</t>
        </is>
      </c>
      <c r="F94" s="274" t="inlineStr">
        <is>
          <t>0,76</t>
        </is>
      </c>
      <c r="G94" s="192" t="n">
        <v>87.48999999999999</v>
      </c>
      <c r="H94" s="186">
        <f>ROUND(F94*G94,2)</f>
        <v/>
      </c>
    </row>
    <row r="95" ht="38.25" customHeight="1">
      <c r="A95" s="274" t="n">
        <v>82</v>
      </c>
      <c r="B95" s="248" t="n"/>
      <c r="C95" s="182" t="inlineStr">
        <is>
          <t>101208</t>
        </is>
      </c>
      <c r="D95" s="183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E95" s="274" t="inlineStr">
        <is>
          <t>маш.час</t>
        </is>
      </c>
      <c r="F95" s="274" t="n">
        <v>8.5</v>
      </c>
      <c r="G95" s="192" t="n">
        <v>7.77</v>
      </c>
      <c r="H95" s="186">
        <f>ROUND(F95*G95,2)</f>
        <v/>
      </c>
      <c r="J95" s="197" t="n"/>
      <c r="L95" s="196" t="n"/>
    </row>
    <row r="96" ht="25.5" customFormat="1" customHeight="1" s="179">
      <c r="A96" s="274" t="n">
        <v>83</v>
      </c>
      <c r="B96" s="248" t="n"/>
      <c r="C96" s="182" t="inlineStr">
        <is>
          <t>330210</t>
        </is>
      </c>
      <c r="D96" s="183" t="inlineStr">
        <is>
          <t>Установки для сверления отверстий в железобетоне диаметром до 160 мм</t>
        </is>
      </c>
      <c r="E96" s="274" t="inlineStr">
        <is>
          <t>маш.час</t>
        </is>
      </c>
      <c r="F96" s="274" t="n">
        <v>1.68</v>
      </c>
      <c r="G96" s="192" t="n">
        <v>34.55</v>
      </c>
      <c r="H96" s="186">
        <f>ROUND(F96*G96,2)</f>
        <v/>
      </c>
      <c r="L96" s="196" t="n"/>
    </row>
    <row r="97">
      <c r="A97" s="274" t="n">
        <v>84</v>
      </c>
      <c r="B97" s="248" t="n"/>
      <c r="C97" s="182" t="inlineStr">
        <is>
          <t>122801</t>
        </is>
      </c>
      <c r="D97" s="183" t="inlineStr">
        <is>
          <t>Виброплита с двигателем внутреннего сгорания</t>
        </is>
      </c>
      <c r="E97" s="274" t="inlineStr">
        <is>
          <t>маш.час</t>
        </is>
      </c>
      <c r="F97" s="274" t="n">
        <v>0.78</v>
      </c>
      <c r="G97" s="192" t="n">
        <v>60</v>
      </c>
      <c r="H97" s="186">
        <f>ROUND(F97*G97,2)</f>
        <v/>
      </c>
      <c r="L97" s="196" t="n"/>
    </row>
    <row r="98">
      <c r="A98" s="274" t="n">
        <v>85</v>
      </c>
      <c r="B98" s="248" t="n"/>
      <c r="C98" s="182" t="inlineStr">
        <is>
          <t>111301</t>
        </is>
      </c>
      <c r="D98" s="183" t="inlineStr">
        <is>
          <t>Вибратор поверхностный</t>
        </is>
      </c>
      <c r="E98" s="274" t="inlineStr">
        <is>
          <t>маш.час</t>
        </is>
      </c>
      <c r="F98" s="274" t="n">
        <v>62.3</v>
      </c>
      <c r="G98" s="192" t="n">
        <v>0.5</v>
      </c>
      <c r="H98" s="186">
        <f>ROUND(F98*G98,2)</f>
        <v/>
      </c>
      <c r="L98" s="196" t="n"/>
    </row>
    <row r="99">
      <c r="A99" s="274" t="n">
        <v>86</v>
      </c>
      <c r="B99" s="248" t="n"/>
      <c r="C99" s="182" t="inlineStr">
        <is>
          <t>111100</t>
        </is>
      </c>
      <c r="D99" s="183" t="inlineStr">
        <is>
          <t>Вибратор глубинный</t>
        </is>
      </c>
      <c r="E99" s="274" t="inlineStr">
        <is>
          <t>маш.час</t>
        </is>
      </c>
      <c r="F99" s="274" t="n">
        <v>16.19</v>
      </c>
      <c r="G99" s="192" t="n">
        <v>1.9</v>
      </c>
      <c r="H99" s="186">
        <f>ROUND(F99*G99,2)</f>
        <v/>
      </c>
      <c r="I99" s="196" t="n"/>
      <c r="L99" s="196" t="n"/>
    </row>
    <row r="100" ht="25.5" customHeight="1">
      <c r="A100" s="274" t="n">
        <v>87</v>
      </c>
      <c r="B100" s="248" t="n"/>
      <c r="C100" s="182" t="inlineStr">
        <is>
          <t>030404</t>
        </is>
      </c>
      <c r="D100" s="183" t="inlineStr">
        <is>
          <t>Лебедки электрические тяговым усилием до 31,39 кН (3,2 т)</t>
        </is>
      </c>
      <c r="E100" s="274" t="inlineStr">
        <is>
          <t>маш.час</t>
        </is>
      </c>
      <c r="F100" s="274" t="n">
        <v>4.3</v>
      </c>
      <c r="G100" s="192" t="n">
        <v>6.9</v>
      </c>
      <c r="H100" s="186">
        <f>ROUND(F100*G100,2)</f>
        <v/>
      </c>
      <c r="I100" s="196" t="n"/>
      <c r="L100" s="196" t="n"/>
    </row>
    <row r="101" ht="25.5" customHeight="1">
      <c r="A101" s="274" t="n">
        <v>88</v>
      </c>
      <c r="B101" s="248" t="n"/>
      <c r="C101" s="182" t="inlineStr">
        <is>
          <t>331100</t>
        </is>
      </c>
      <c r="D101" s="183" t="inlineStr">
        <is>
          <t>Трамбовки пневматические при работе от передвижных компрессорных станций</t>
        </is>
      </c>
      <c r="E101" s="274" t="inlineStr">
        <is>
          <t>маш.час</t>
        </is>
      </c>
      <c r="F101" s="274" t="n">
        <v>38.41</v>
      </c>
      <c r="G101" s="192" t="n">
        <v>0.55</v>
      </c>
      <c r="H101" s="186">
        <f>ROUND(F101*G101,2)</f>
        <v/>
      </c>
      <c r="I101" s="196" t="n"/>
      <c r="L101" s="196" t="n"/>
    </row>
    <row r="102" ht="25.5" customHeight="1">
      <c r="A102" s="274" t="n">
        <v>89</v>
      </c>
      <c r="B102" s="248" t="n"/>
      <c r="C102" s="182" t="inlineStr">
        <is>
          <t>400111</t>
        </is>
      </c>
      <c r="D102" s="183" t="inlineStr">
        <is>
          <t>Полуприцепы общего назначения, грузоподъемность 12 т</t>
        </is>
      </c>
      <c r="E102" s="274" t="inlineStr">
        <is>
          <t>маш.час</t>
        </is>
      </c>
      <c r="F102" s="274" t="n">
        <v>1.66</v>
      </c>
      <c r="G102" s="192" t="n">
        <v>12</v>
      </c>
      <c r="H102" s="186">
        <f>ROUND(F102*G102,2)</f>
        <v/>
      </c>
      <c r="I102" s="196" t="n"/>
      <c r="L102" s="196" t="n"/>
    </row>
    <row r="103" ht="25.5" customHeight="1">
      <c r="A103" s="274" t="n">
        <v>90</v>
      </c>
      <c r="B103" s="248" t="n"/>
      <c r="C103" s="182" t="inlineStr">
        <is>
          <t>030401</t>
        </is>
      </c>
      <c r="D103" s="183" t="inlineStr">
        <is>
          <t>Лебедки электрические тяговым усилием до 5,79 кН (0,59 т)</t>
        </is>
      </c>
      <c r="E103" s="274" t="inlineStr">
        <is>
          <t>маш.час</t>
        </is>
      </c>
      <c r="F103" s="274" t="n">
        <v>11.68</v>
      </c>
      <c r="G103" s="192" t="n">
        <v>1.7</v>
      </c>
      <c r="H103" s="186">
        <f>ROUND(F103*G103,2)</f>
        <v/>
      </c>
      <c r="I103" s="196" t="n"/>
    </row>
    <row r="104" ht="38.25" customHeight="1">
      <c r="A104" s="274" t="n">
        <v>91</v>
      </c>
      <c r="B104" s="248" t="n"/>
      <c r="C104" s="182" t="inlineStr">
        <is>
          <t>042900</t>
        </is>
      </c>
      <c r="D104" s="183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104" s="274" t="inlineStr">
        <is>
          <t>маш.час</t>
        </is>
      </c>
      <c r="F104" s="274" t="n">
        <v>0.32</v>
      </c>
      <c r="G104" s="192" t="n">
        <v>29.67</v>
      </c>
      <c r="H104" s="186">
        <f>ROUND(F104*G104,2)</f>
        <v/>
      </c>
    </row>
    <row r="105" ht="25.5" customHeight="1">
      <c r="A105" s="274" t="n">
        <v>92</v>
      </c>
      <c r="B105" s="248" t="n"/>
      <c r="C105" s="182" t="inlineStr">
        <is>
          <t>332101</t>
        </is>
      </c>
      <c r="D105" s="183" t="inlineStr">
        <is>
          <t>Установки для изготовления бандажей, диафрагм, пряжек</t>
        </is>
      </c>
      <c r="E105" s="274" t="inlineStr">
        <is>
          <t>маш.час</t>
        </is>
      </c>
      <c r="F105" s="274" t="n">
        <v>3.39</v>
      </c>
      <c r="G105" s="192" t="n">
        <v>2.16</v>
      </c>
      <c r="H105" s="186">
        <f>ROUND(F105*G105,2)</f>
        <v/>
      </c>
    </row>
    <row r="106">
      <c r="A106" s="274" t="n">
        <v>93</v>
      </c>
      <c r="B106" s="248" t="n"/>
      <c r="C106" s="182" t="inlineStr">
        <is>
          <t>331531</t>
        </is>
      </c>
      <c r="D106" s="183" t="inlineStr">
        <is>
          <t>Пила дисковая электрическая</t>
        </is>
      </c>
      <c r="E106" s="274" t="inlineStr">
        <is>
          <t>маш.час</t>
        </is>
      </c>
      <c r="F106" s="274" t="n">
        <v>4.79</v>
      </c>
      <c r="G106" s="192" t="n">
        <v>0.95</v>
      </c>
      <c r="H106" s="186">
        <f>ROUND(F106*G106,2)</f>
        <v/>
      </c>
    </row>
    <row r="107">
      <c r="A107" s="274" t="n">
        <v>94</v>
      </c>
      <c r="B107" s="248" t="n"/>
      <c r="C107" s="182" t="inlineStr">
        <is>
          <t>331532</t>
        </is>
      </c>
      <c r="D107" s="183" t="inlineStr">
        <is>
          <t>Пила цепная электрическая</t>
        </is>
      </c>
      <c r="E107" s="274" t="inlineStr">
        <is>
          <t>маш.час</t>
        </is>
      </c>
      <c r="F107" s="274" t="n">
        <v>1.33</v>
      </c>
      <c r="G107" s="192" t="n">
        <v>3.27</v>
      </c>
      <c r="H107" s="186">
        <f>ROUND(F107*G107,2)</f>
        <v/>
      </c>
      <c r="I107" s="196" t="n"/>
    </row>
    <row r="108" ht="25.5" customHeight="1">
      <c r="A108" s="274" t="n">
        <v>95</v>
      </c>
      <c r="B108" s="248" t="n"/>
      <c r="C108" s="182" t="inlineStr">
        <is>
          <t>100602</t>
        </is>
      </c>
      <c r="D108" s="183" t="inlineStr">
        <is>
          <t>Молотки бурильные легкие при работе от передвижных компрессорных станций</t>
        </is>
      </c>
      <c r="E108" s="274" t="inlineStr">
        <is>
          <t>маш.час</t>
        </is>
      </c>
      <c r="F108" s="274" t="n">
        <v>0.93</v>
      </c>
      <c r="G108" s="192" t="n">
        <v>2.99</v>
      </c>
      <c r="H108" s="186">
        <f>ROUND(F108*G108,2)</f>
        <v/>
      </c>
    </row>
    <row r="109" ht="25.5" customHeight="1">
      <c r="A109" s="274" t="n">
        <v>96</v>
      </c>
      <c r="B109" s="248" t="n"/>
      <c r="C109" s="182" t="inlineStr">
        <is>
          <t>020128</t>
        </is>
      </c>
      <c r="D109" s="183" t="inlineStr">
        <is>
          <t>Краны башенные при работе на других видах строительства 5 т</t>
        </is>
      </c>
      <c r="E109" s="274" t="inlineStr">
        <is>
          <t>маш.час</t>
        </is>
      </c>
      <c r="F109" s="274" t="n">
        <v>0.02</v>
      </c>
      <c r="G109" s="192" t="n">
        <v>83.43000000000001</v>
      </c>
      <c r="H109" s="186">
        <f>ROUND(F109*G109,2)</f>
        <v/>
      </c>
    </row>
    <row r="110" ht="25.5" customHeight="1">
      <c r="A110" s="274" t="n">
        <v>97</v>
      </c>
      <c r="B110" s="248" t="n"/>
      <c r="C110" s="182" t="inlineStr">
        <is>
          <t>030203</t>
        </is>
      </c>
      <c r="D110" s="183" t="inlineStr">
        <is>
          <t>Домкраты гидравлические грузоподъемностью 63-100 т</t>
        </is>
      </c>
      <c r="E110" s="274" t="inlineStr">
        <is>
          <t>маш.час</t>
        </is>
      </c>
      <c r="F110" s="274" t="n">
        <v>1.72</v>
      </c>
      <c r="G110" s="192" t="n">
        <v>0.9</v>
      </c>
      <c r="H110" s="186">
        <f>ROUND(F110*G110,2)</f>
        <v/>
      </c>
    </row>
    <row r="111" ht="25.5" customHeight="1">
      <c r="A111" s="274" t="n">
        <v>98</v>
      </c>
      <c r="B111" s="248" t="n"/>
      <c r="C111" s="182" t="inlineStr">
        <is>
          <t>021140</t>
        </is>
      </c>
      <c r="D111" s="183" t="inlineStr">
        <is>
          <t>Краны на автомобильном ходу при работе на других видах строительства 6,3 т</t>
        </is>
      </c>
      <c r="E111" s="274" t="inlineStr">
        <is>
          <t>маш.час</t>
        </is>
      </c>
      <c r="F111" s="274" t="n">
        <v>0.01</v>
      </c>
      <c r="G111" s="192" t="n">
        <v>88.01000000000001</v>
      </c>
      <c r="H111" s="186">
        <f>ROUND(F111*G111,2)</f>
        <v/>
      </c>
    </row>
    <row r="112">
      <c r="A112" s="274" t="n">
        <v>99</v>
      </c>
      <c r="B112" s="248" t="n"/>
      <c r="C112" s="182" t="inlineStr">
        <is>
          <t>350451</t>
        </is>
      </c>
      <c r="D112" s="183" t="inlineStr">
        <is>
          <t>Пресс гидравлический с электроприводом</t>
        </is>
      </c>
      <c r="E112" s="274" t="inlineStr">
        <is>
          <t>маш.час</t>
        </is>
      </c>
      <c r="F112" s="274" t="n">
        <v>0.77</v>
      </c>
      <c r="G112" s="192" t="n">
        <v>1.11</v>
      </c>
      <c r="H112" s="186">
        <f>ROUND(F112*G112,2)</f>
        <v/>
      </c>
    </row>
    <row r="113">
      <c r="A113" s="274" t="n">
        <v>100</v>
      </c>
      <c r="B113" s="248" t="n"/>
      <c r="C113" s="182" t="inlineStr">
        <is>
          <t>331002</t>
        </is>
      </c>
      <c r="D113" s="183" t="inlineStr">
        <is>
          <t>Станок сверлильный</t>
        </is>
      </c>
      <c r="E113" s="274" t="inlineStr">
        <is>
          <t>маш.час</t>
        </is>
      </c>
      <c r="F113" s="274" t="n">
        <v>0.2</v>
      </c>
      <c r="G113" s="192" t="n">
        <v>2.36</v>
      </c>
      <c r="H113" s="186">
        <f>ROUND(F113*G113,2)</f>
        <v/>
      </c>
    </row>
    <row r="114">
      <c r="A114" s="274" t="n">
        <v>101</v>
      </c>
      <c r="B114" s="248" t="n"/>
      <c r="C114" s="182" t="inlineStr">
        <is>
          <t>339904</t>
        </is>
      </c>
      <c r="D114" s="183" t="inlineStr">
        <is>
          <t>Плиткорез MAKITA RH 4101</t>
        </is>
      </c>
      <c r="E114" s="274" t="inlineStr">
        <is>
          <t>маш.час</t>
        </is>
      </c>
      <c r="F114" s="274" t="n">
        <v>0.03</v>
      </c>
      <c r="G114" s="192" t="n">
        <v>9.970000000000001</v>
      </c>
      <c r="H114" s="186">
        <f>ROUND(F114*G114,2)</f>
        <v/>
      </c>
    </row>
    <row r="115" ht="25.5" customHeight="1">
      <c r="A115" s="274" t="n">
        <v>102</v>
      </c>
      <c r="B115" s="248" t="n"/>
      <c r="C115" s="182" t="inlineStr">
        <is>
          <t>030952</t>
        </is>
      </c>
      <c r="D115" s="183" t="inlineStr">
        <is>
          <t>Подъемники грузоподъемностью до 500 кг одномачтовые, высота подъема 25 м</t>
        </is>
      </c>
      <c r="E115" s="274" t="inlineStr">
        <is>
          <t>маш.час</t>
        </is>
      </c>
      <c r="F115" s="274" t="n">
        <v>0.01</v>
      </c>
      <c r="G115" s="192" t="n">
        <v>27.66</v>
      </c>
      <c r="H115" s="186">
        <f>ROUND(F115*G115,2)</f>
        <v/>
      </c>
      <c r="J115" s="197" t="n"/>
      <c r="L115" s="196" t="n"/>
    </row>
    <row r="116" ht="15" customHeight="1">
      <c r="A116" s="246" t="inlineStr">
        <is>
          <t>Оборудование</t>
        </is>
      </c>
      <c r="B116" s="320" t="n"/>
      <c r="C116" s="320" t="n"/>
      <c r="D116" s="320" t="n"/>
      <c r="E116" s="321" t="n"/>
      <c r="F116" s="10" t="n"/>
      <c r="G116" s="10" t="n"/>
      <c r="H116" s="178">
        <f>SUM(H117:H149)</f>
        <v/>
      </c>
    </row>
    <row r="117" ht="25.5" customHeight="1">
      <c r="A117" s="180" t="n">
        <v>103</v>
      </c>
      <c r="B117" s="246" t="n"/>
      <c r="C117" s="182" t="inlineStr">
        <is>
          <t>64.4.03.01-0025</t>
        </is>
      </c>
      <c r="D117" s="183" t="inlineStr">
        <is>
          <t>Установки вентиляционно-приточные типа: АПК-6,3-4 В с ручным приводом</t>
        </is>
      </c>
      <c r="E117" s="274" t="inlineStr">
        <is>
          <t>шт.</t>
        </is>
      </c>
      <c r="F117" s="182" t="inlineStr">
        <is>
          <t>2</t>
        </is>
      </c>
      <c r="G117" s="192" t="n">
        <v>44009.36</v>
      </c>
      <c r="H117" s="186">
        <f>ROUND(F117*G117,2)</f>
        <v/>
      </c>
      <c r="I117" s="198">
        <f>H117/$H$116</f>
        <v/>
      </c>
    </row>
    <row r="118" ht="38.25" customHeight="1">
      <c r="A118" s="180" t="n">
        <v>104</v>
      </c>
      <c r="B118" s="246" t="n"/>
      <c r="C118" s="182" t="inlineStr">
        <is>
          <t>64.1.02.01-0057</t>
        </is>
      </c>
      <c r="D118" s="183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18" s="274" t="inlineStr">
        <is>
          <t>шт.</t>
        </is>
      </c>
      <c r="F118" s="182" t="n">
        <v>3</v>
      </c>
      <c r="G118" s="192" t="n">
        <v>25330.33</v>
      </c>
      <c r="H118" s="186">
        <f>ROUND(F118*G118,2)</f>
        <v/>
      </c>
      <c r="I118" s="198">
        <f>H118/$H$116</f>
        <v/>
      </c>
      <c r="K118" s="71" t="n"/>
    </row>
    <row r="119" ht="15" customHeight="1">
      <c r="A119" s="180" t="n">
        <v>105</v>
      </c>
      <c r="B119" s="246" t="n"/>
      <c r="C119" s="182" t="inlineStr">
        <is>
          <t>08.1.06.01-0015</t>
        </is>
      </c>
      <c r="D119" s="183" t="inlineStr">
        <is>
          <t>Ворота распашные складчатые РСВ 4,8x5,4</t>
        </is>
      </c>
      <c r="E119" s="274" t="inlineStr">
        <is>
          <t>шт.</t>
        </is>
      </c>
      <c r="F119" s="182" t="n">
        <v>3</v>
      </c>
      <c r="G119" s="192" t="n">
        <v>18513.91</v>
      </c>
      <c r="H119" s="186">
        <f>ROUND(F119*G119,2)</f>
        <v/>
      </c>
      <c r="I119" s="198">
        <f>H119/$H$116</f>
        <v/>
      </c>
      <c r="K119" s="71" t="n"/>
    </row>
    <row r="120" ht="15" customHeight="1">
      <c r="A120" s="180" t="n">
        <v>106</v>
      </c>
      <c r="B120" s="246" t="n"/>
      <c r="C120" s="258" t="inlineStr">
        <is>
          <t>Прайс из СД ОП</t>
        </is>
      </c>
      <c r="D120" s="183" t="inlineStr">
        <is>
          <t>Управляющий модуль ACM-T1FZ1+FZ1-E30-M</t>
        </is>
      </c>
      <c r="E120" s="274" t="inlineStr">
        <is>
          <t>шт.</t>
        </is>
      </c>
      <c r="F120" s="182" t="n">
        <v>1</v>
      </c>
      <c r="G120" s="186" t="n">
        <v>38597.35</v>
      </c>
      <c r="H120" s="186">
        <f>ROUND(F120*G120,2)</f>
        <v/>
      </c>
      <c r="I120" s="198">
        <f>H120/$H$116</f>
        <v/>
      </c>
      <c r="K120" s="71">
        <f>ROUND(38597.35*6.26,2)</f>
        <v/>
      </c>
    </row>
    <row r="121" ht="22.7" customHeight="1">
      <c r="A121" s="180" t="n">
        <v>107</v>
      </c>
      <c r="B121" s="246" t="n"/>
      <c r="C121" s="258" t="inlineStr">
        <is>
          <t>Прайс из СД ОП</t>
        </is>
      </c>
      <c r="D121" s="183" t="inlineStr">
        <is>
          <t>Управляющий модуль ACM-T2FZ1+FZ1-E24-M</t>
        </is>
      </c>
      <c r="E121" s="274" t="inlineStr">
        <is>
          <t>шт.</t>
        </is>
      </c>
      <c r="F121" s="182" t="n">
        <v>1</v>
      </c>
      <c r="G121" s="186" t="n">
        <v>38597.35</v>
      </c>
      <c r="H121" s="186">
        <f>ROUND(F121*G121,2)</f>
        <v/>
      </c>
      <c r="I121" s="198">
        <f>H121/$H$116</f>
        <v/>
      </c>
      <c r="K121" s="71">
        <f>ROUND(38597.35*6.26,2)</f>
        <v/>
      </c>
    </row>
    <row r="122" ht="87" customHeight="1">
      <c r="A122" s="180" t="n">
        <v>108</v>
      </c>
      <c r="B122" s="246" t="n"/>
      <c r="C122" s="258" t="inlineStr">
        <is>
          <t>Прайс из СД ОП</t>
        </is>
      </c>
      <c r="D122" s="183" t="inlineStr">
        <is>
          <t xml:space="preserve">Силовой щиток с трехполюсным рубильником на вводе Sirco VM2 3X160А F, с 7-ю трехполюсными фидерами автом. S203P: В25-2шт., В32-1шт., В40-4шт. с 2-я дифференциальным автоматами: DS204 А-В40/0.03-1шт, DS202 А~В40/0.03-1шт. с дополнительной защитной шинкой заземления </t>
        </is>
      </c>
      <c r="E122" s="274" t="inlineStr">
        <is>
          <t>шт.</t>
        </is>
      </c>
      <c r="F122" s="182" t="n">
        <v>1</v>
      </c>
      <c r="G122" s="186" t="n">
        <v>23257.29</v>
      </c>
      <c r="H122" s="186">
        <f>ROUND(F122*G122,2)</f>
        <v/>
      </c>
      <c r="I122" s="198">
        <f>H122/$H$116</f>
        <v/>
      </c>
      <c r="K122" s="71">
        <f>ROUND(23257.29*6.26,2)</f>
        <v/>
      </c>
    </row>
    <row r="123" ht="32.25" customHeight="1">
      <c r="A123" s="180" t="n">
        <v>109</v>
      </c>
      <c r="B123" s="246" t="n"/>
      <c r="C123" s="182" t="inlineStr">
        <is>
          <t>64.4.02.03-0013</t>
        </is>
      </c>
      <c r="D123" s="183" t="inlineStr">
        <is>
          <t>Модуль управляющий для вентиляторов канальных типа IRE OSTBERG: АСМ1-C2WU3</t>
        </is>
      </c>
      <c r="E123" s="274" t="inlineStr">
        <is>
          <t>шт.</t>
        </is>
      </c>
      <c r="F123" s="182" t="n">
        <v>1</v>
      </c>
      <c r="G123" s="192" t="n">
        <v>21998.2</v>
      </c>
      <c r="H123" s="186">
        <f>ROUND(F123*G123,2)</f>
        <v/>
      </c>
      <c r="I123" s="198">
        <f>H123/$H$116</f>
        <v/>
      </c>
      <c r="K123" s="71" t="n"/>
    </row>
    <row r="124" ht="38.25" customHeight="1">
      <c r="A124" s="180" t="n">
        <v>110</v>
      </c>
      <c r="B124" s="246" t="n"/>
      <c r="C124" s="182" t="inlineStr">
        <is>
          <t>64.1.02.01-0053</t>
        </is>
      </c>
      <c r="D124" s="183" t="inlineStr">
        <is>
          <t>Вентиляторы канальные в изолированном корпусе для круглых воздуховодов OSTBERG марки IRE 500 B, производительность 3000 м3/час</t>
        </is>
      </c>
      <c r="E124" s="274" t="inlineStr">
        <is>
          <t>шт.</t>
        </is>
      </c>
      <c r="F124" s="182" t="n">
        <v>1</v>
      </c>
      <c r="G124" s="192" t="n">
        <v>20453.73</v>
      </c>
      <c r="H124" s="186">
        <f>ROUND(F124*G124,2)</f>
        <v/>
      </c>
      <c r="I124" s="198">
        <f>H124/$H$116</f>
        <v/>
      </c>
      <c r="K124" s="71" t="n"/>
    </row>
    <row r="125" ht="25.5" customHeight="1">
      <c r="A125" s="180" t="n">
        <v>111</v>
      </c>
      <c r="B125" s="246" t="n"/>
      <c r="C125" s="182" t="inlineStr">
        <is>
          <t>64.1.03.03-0057</t>
        </is>
      </c>
      <c r="D125" s="183" t="inlineStr">
        <is>
          <t>Вентиляторы крышные общего назначения ВКР 10, электродвигатель мощностью 15 кВт</t>
        </is>
      </c>
      <c r="E125" s="274" t="inlineStr">
        <is>
          <t>шт.</t>
        </is>
      </c>
      <c r="F125" s="182" t="n">
        <v>1</v>
      </c>
      <c r="G125" s="192" t="n">
        <v>15297.59</v>
      </c>
      <c r="H125" s="186">
        <f>ROUND(F125*G125,2)</f>
        <v/>
      </c>
      <c r="I125" s="198">
        <f>H125/$H$116</f>
        <v/>
      </c>
      <c r="K125" s="71" t="n"/>
    </row>
    <row r="126" ht="25.5" customHeight="1">
      <c r="A126" s="180" t="n">
        <v>112</v>
      </c>
      <c r="B126" s="246" t="n"/>
      <c r="C126" s="182" t="inlineStr">
        <is>
          <t>64.4.03.01-0002</t>
        </is>
      </c>
      <c r="D126" s="183" t="inlineStr">
        <is>
          <t>Установки вентиляционно-приточные типа: АПК-1,6-2 В с электроприводом Belimo</t>
        </is>
      </c>
      <c r="E126" s="274" t="inlineStr">
        <is>
          <t>шт.</t>
        </is>
      </c>
      <c r="F126" s="182" t="n">
        <v>1</v>
      </c>
      <c r="G126" s="192" t="n">
        <v>12466.03</v>
      </c>
      <c r="H126" s="186">
        <f>ROUND(F126*G126,2)</f>
        <v/>
      </c>
      <c r="I126" s="198">
        <f>H126/$H$116</f>
        <v/>
      </c>
      <c r="K126" s="71" t="n"/>
    </row>
    <row r="127" ht="89.45" customHeight="1">
      <c r="A127" s="180" t="n">
        <v>113</v>
      </c>
      <c r="B127" s="246" t="n"/>
      <c r="C127" s="258" t="inlineStr">
        <is>
          <t>62.1.02.23-0022</t>
        </is>
      </c>
      <c r="D127" s="183" t="inlineStr">
        <is>
          <t>Щиты главные ввода и учета ГЩВУ-1 (без электросчетчиков)</t>
        </is>
      </c>
      <c r="E127" s="274" t="inlineStr">
        <is>
          <t>шт.</t>
        </is>
      </c>
      <c r="F127" s="182" t="n">
        <v>1</v>
      </c>
      <c r="G127" s="186" t="n">
        <v>13675.08</v>
      </c>
      <c r="H127" s="186">
        <f>ROUND(F127*G127,2)</f>
        <v/>
      </c>
      <c r="I127" s="198">
        <f>H127/$H$116</f>
        <v/>
      </c>
      <c r="K127" s="71">
        <f>ROUND(12352.53*6.26,2)</f>
        <v/>
      </c>
    </row>
    <row r="128" ht="25.5" customHeight="1">
      <c r="A128" s="180" t="n">
        <v>114</v>
      </c>
      <c r="B128" s="246" t="n"/>
      <c r="C128" s="182" t="inlineStr">
        <is>
          <t>69.3.01.02-0007</t>
        </is>
      </c>
      <c r="D128" s="183" t="inlineStr">
        <is>
          <t>Электропривод редукторный к клапану, тип GM24-SR, 30 Нм</t>
        </is>
      </c>
      <c r="E128" s="274" t="inlineStr">
        <is>
          <t>шт.</t>
        </is>
      </c>
      <c r="F128" s="182" t="n">
        <v>3</v>
      </c>
      <c r="G128" s="192" t="n">
        <v>3575.06</v>
      </c>
      <c r="H128" s="186">
        <f>ROUND(F128*G128,2)</f>
        <v/>
      </c>
      <c r="I128" s="198">
        <f>H128/$H$116</f>
        <v/>
      </c>
      <c r="K128" s="71" t="n"/>
    </row>
    <row r="129" ht="30.75" customHeight="1">
      <c r="A129" s="180" t="n">
        <v>115</v>
      </c>
      <c r="B129" s="246" t="n"/>
      <c r="C129" s="258" t="inlineStr">
        <is>
          <t>Прайс из СД ОП</t>
        </is>
      </c>
      <c r="D129" s="183" t="inlineStr">
        <is>
          <t>Преобразователь частоты SKB3400110  1.1кВт</t>
        </is>
      </c>
      <c r="E129" s="274" t="inlineStr">
        <is>
          <t>шт.</t>
        </is>
      </c>
      <c r="F129" s="182" t="n">
        <v>2</v>
      </c>
      <c r="G129" s="186" t="n">
        <v>5004.3</v>
      </c>
      <c r="H129" s="186">
        <f>ROUND(F129*G129,2)</f>
        <v/>
      </c>
      <c r="I129" s="198">
        <f>H129/$H$116</f>
        <v/>
      </c>
      <c r="K129" s="71">
        <f>ROUND(5004.3*6.26,2)</f>
        <v/>
      </c>
    </row>
    <row r="130" ht="89.45" customHeight="1">
      <c r="A130" s="180" t="n">
        <v>116</v>
      </c>
      <c r="B130" s="246" t="n"/>
      <c r="C130" s="258" t="inlineStr">
        <is>
          <t>Прайс из СД ОП</t>
        </is>
      </c>
      <c r="D130" s="183" t="inlineStr">
        <is>
          <t xml:space="preserve">Силовой щиток с трехполюсным рубильником на вводе Sirco VMO 3Х32А F, с 4-ю трехполюсными фидерами автом. S203P: В16-2шт., С4-2шт. с 2-мя однополюсными фидерами автом. S203P: В16-2шт., С4-2шт. с 2-мя однополюсными фидерами автом. S201P: С10-2. с дополнительной защитной шинкой заземления </t>
        </is>
      </c>
      <c r="E130" s="274" t="inlineStr">
        <is>
          <t>шт.</t>
        </is>
      </c>
      <c r="F130" s="182" t="n">
        <v>1</v>
      </c>
      <c r="G130" s="192" t="n">
        <v>7645.9</v>
      </c>
      <c r="H130" s="186">
        <f>ROUND(F130*G130,2)</f>
        <v/>
      </c>
      <c r="I130" s="198" t="n"/>
      <c r="K130" s="71">
        <f>ROUND(7645.9*6.26,2)</f>
        <v/>
      </c>
    </row>
    <row r="131" ht="15" customHeight="1">
      <c r="A131" s="180" t="n">
        <v>117</v>
      </c>
      <c r="B131" s="246" t="n"/>
      <c r="C131" s="182" t="inlineStr">
        <is>
          <t>63.3.01.02-0005</t>
        </is>
      </c>
      <c r="D131" s="183" t="inlineStr">
        <is>
          <t>Обогреватели электрические Noirot: Spot E-3 1500 Вт</t>
        </is>
      </c>
      <c r="E131" s="274" t="inlineStr">
        <is>
          <t>шт.</t>
        </is>
      </c>
      <c r="F131" s="182" t="n">
        <v>8</v>
      </c>
      <c r="G131" s="192" t="n">
        <v>946.77</v>
      </c>
      <c r="H131" s="186">
        <f>ROUND(F131*G131,2)</f>
        <v/>
      </c>
      <c r="I131" s="198" t="n"/>
      <c r="K131" s="71" t="n"/>
    </row>
    <row r="132" ht="15" customHeight="1">
      <c r="A132" s="180" t="n">
        <v>118</v>
      </c>
      <c r="B132" s="246" t="n"/>
      <c r="C132" s="182" t="inlineStr">
        <is>
          <t>62.1.04.05-0019</t>
        </is>
      </c>
      <c r="D132" s="183" t="inlineStr">
        <is>
          <t>Реле напряжения: РН-154 УХЛ4</t>
        </is>
      </c>
      <c r="E132" s="274" t="inlineStr">
        <is>
          <t>шт.</t>
        </is>
      </c>
      <c r="F132" s="182" t="n">
        <v>3</v>
      </c>
      <c r="G132" s="192" t="n">
        <v>2318.56</v>
      </c>
      <c r="H132" s="186">
        <f>ROUND(F132*G132,2)</f>
        <v/>
      </c>
      <c r="I132" s="198" t="n"/>
      <c r="K132" s="71" t="n"/>
    </row>
    <row r="133" ht="15" customHeight="1">
      <c r="A133" s="180" t="n">
        <v>119</v>
      </c>
      <c r="B133" s="246" t="n"/>
      <c r="C133" s="182" t="inlineStr">
        <is>
          <t>61.2.07.11-0161</t>
        </is>
      </c>
      <c r="D133" s="183" t="inlineStr">
        <is>
          <t>Термостат комнатный 230V</t>
        </is>
      </c>
      <c r="E133" s="274" t="inlineStr">
        <is>
          <t>шт.</t>
        </is>
      </c>
      <c r="F133" s="182" t="n">
        <v>29</v>
      </c>
      <c r="G133" s="192" t="n">
        <v>237.66</v>
      </c>
      <c r="H133" s="186">
        <f>ROUND(F133*G133,2)</f>
        <v/>
      </c>
      <c r="I133" s="198" t="n"/>
      <c r="K133" s="71" t="n"/>
    </row>
    <row r="134" ht="15" customHeight="1">
      <c r="A134" s="180" t="n">
        <v>120</v>
      </c>
      <c r="B134" s="246" t="n"/>
      <c r="C134" s="182" t="inlineStr">
        <is>
          <t>63.3.01.02-0005</t>
        </is>
      </c>
      <c r="D134" s="183" t="inlineStr">
        <is>
          <t>Обогреватели электрические Noirot: Spot E-3 1500 Вт</t>
        </is>
      </c>
      <c r="E134" s="274" t="inlineStr">
        <is>
          <t>шт.</t>
        </is>
      </c>
      <c r="F134" s="182" t="n">
        <v>7</v>
      </c>
      <c r="G134" s="192" t="n">
        <v>946.77</v>
      </c>
      <c r="H134" s="186">
        <f>ROUND(F134*G134,2)</f>
        <v/>
      </c>
      <c r="I134" s="198" t="n"/>
      <c r="K134" s="71" t="n"/>
    </row>
    <row r="135" ht="27.75" customHeight="1">
      <c r="A135" s="180" t="n">
        <v>121</v>
      </c>
      <c r="B135" s="246" t="n"/>
      <c r="C135" s="258" t="inlineStr">
        <is>
          <t>Прайс из СД ОП</t>
        </is>
      </c>
      <c r="D135" s="183" t="inlineStr">
        <is>
          <t>Преобразователь частоты SKB3400075  0.75кВт</t>
        </is>
      </c>
      <c r="E135" s="274" t="inlineStr">
        <is>
          <t>шт.</t>
        </is>
      </c>
      <c r="F135" s="182" t="n">
        <v>1</v>
      </c>
      <c r="G135" s="192" t="n">
        <v>4845.81</v>
      </c>
      <c r="H135" s="186">
        <f>ROUND(F135*G135,2)</f>
        <v/>
      </c>
      <c r="I135" s="198" t="n"/>
      <c r="K135" s="71">
        <f>ROUND(4845.81*6.26,2)</f>
        <v/>
      </c>
    </row>
    <row r="136" ht="63.75" customHeight="1">
      <c r="A136" s="180" t="n">
        <v>122</v>
      </c>
      <c r="B136" s="246" t="n"/>
      <c r="C136" s="258" t="inlineStr">
        <is>
          <t>Прайс из СД ОП</t>
        </is>
      </c>
      <c r="D136" s="183" t="inlineStr">
        <is>
          <t>Силовой щиток с трехполюсным рубильником на вводе Sirco VMO 3Х32А F, с 4-ю однополюсным фидерами автом. S201P С2-4шт, с 1-им трехполюсным автоматом S203P С4-1шт. с дополнительной защитной шинкой заземления</t>
        </is>
      </c>
      <c r="E136" s="274" t="inlineStr">
        <is>
          <t>шт.</t>
        </is>
      </c>
      <c r="F136" s="182" t="n">
        <v>1</v>
      </c>
      <c r="G136" s="192" t="n">
        <v>4529.08</v>
      </c>
      <c r="H136" s="186">
        <f>ROUND(F136*G136,2)</f>
        <v/>
      </c>
      <c r="I136" s="198" t="n"/>
      <c r="K136" s="71">
        <f>ROUND(4529.08*6.26,2)</f>
        <v/>
      </c>
    </row>
    <row r="137" ht="51" customHeight="1">
      <c r="A137" s="180" t="n">
        <v>123</v>
      </c>
      <c r="B137" s="246" t="n"/>
      <c r="C137" s="258" t="inlineStr">
        <is>
          <t>Прайс из СД ОП</t>
        </is>
      </c>
      <c r="D137" s="183" t="inlineStr">
        <is>
          <t xml:space="preserve">Силовой щиток с трехполюсным рубильником на вводе Sirco VMO 3Х32А F, с 7-ю однополюсным фидерами автом. S201P С1-7шт. с дополнительной защитной шинкой заземления </t>
        </is>
      </c>
      <c r="E137" s="274" t="inlineStr">
        <is>
          <t>шт.</t>
        </is>
      </c>
      <c r="F137" s="182" t="n">
        <v>1</v>
      </c>
      <c r="G137" s="192" t="n">
        <v>4348.79</v>
      </c>
      <c r="H137" s="186">
        <f>ROUND(F137*G137,2)</f>
        <v/>
      </c>
      <c r="I137" s="198" t="n"/>
      <c r="K137" s="71">
        <f>ROUND(4348.79*6.26,2)</f>
        <v/>
      </c>
    </row>
    <row r="138" ht="25.5" customHeight="1">
      <c r="A138" s="180" t="n">
        <v>124</v>
      </c>
      <c r="B138" s="246" t="n"/>
      <c r="C138" s="182" t="inlineStr">
        <is>
          <t>63.3.01.02-1002</t>
        </is>
      </c>
      <c r="D138" s="183" t="inlineStr">
        <is>
          <t>Электрообогреватель излучающего типа, тип исполнения-мобильный, мощность 0,75 кВт</t>
        </is>
      </c>
      <c r="E138" s="274" t="inlineStr">
        <is>
          <t>шт.</t>
        </is>
      </c>
      <c r="F138" s="182" t="n">
        <v>4</v>
      </c>
      <c r="G138" s="192" t="n">
        <v>767.9400000000001</v>
      </c>
      <c r="H138" s="186">
        <f>ROUND(F138*G138,2)</f>
        <v/>
      </c>
      <c r="I138" s="198" t="n"/>
      <c r="K138" s="71" t="n"/>
    </row>
    <row r="139" ht="15" customHeight="1">
      <c r="A139" s="180" t="n">
        <v>125</v>
      </c>
      <c r="B139" s="246" t="n"/>
      <c r="C139" s="182" t="inlineStr">
        <is>
          <t>63.3.01.02-0005</t>
        </is>
      </c>
      <c r="D139" s="183" t="inlineStr">
        <is>
          <t>Обогреватели электрические Noirot: Spot E-3 1500 Вт</t>
        </is>
      </c>
      <c r="E139" s="274" t="inlineStr">
        <is>
          <t>шт.</t>
        </is>
      </c>
      <c r="F139" s="182" t="n">
        <v>3</v>
      </c>
      <c r="G139" s="192" t="n">
        <v>946.77</v>
      </c>
      <c r="H139" s="186">
        <f>ROUND(F139*G139,2)</f>
        <v/>
      </c>
      <c r="I139" s="198" t="n"/>
      <c r="K139" s="71" t="n"/>
    </row>
    <row r="140" ht="25.5" customHeight="1">
      <c r="A140" s="180" t="n">
        <v>126</v>
      </c>
      <c r="B140" s="246" t="n"/>
      <c r="C140" s="182" t="inlineStr">
        <is>
          <t>63.3.01.02-1000</t>
        </is>
      </c>
      <c r="D140" s="183" t="inlineStr">
        <is>
          <t>Электрообогреватель излучающего типа, тип исполнения-мобильный, мощность 0,5 кВт</t>
        </is>
      </c>
      <c r="E140" s="274" t="inlineStr">
        <is>
          <t>шт.</t>
        </is>
      </c>
      <c r="F140" s="182" t="n">
        <v>3</v>
      </c>
      <c r="G140" s="192" t="n">
        <v>746.9</v>
      </c>
      <c r="H140" s="186">
        <f>ROUND(F140*G140,2)</f>
        <v/>
      </c>
      <c r="I140" s="198" t="n"/>
      <c r="K140" s="71" t="n"/>
    </row>
    <row r="141" ht="38.25" customHeight="1">
      <c r="A141" s="180" t="n">
        <v>127</v>
      </c>
      <c r="B141" s="246" t="n"/>
      <c r="C141" s="182" t="inlineStr">
        <is>
          <t>64.4.02.04-0001</t>
        </is>
      </c>
      <c r="D141" s="183" t="inlineStr">
        <is>
          <t>Регуляторы скорости вращения вентилятора, однофазные, пятиступенчатые, номинальный ток 1,5 А</t>
        </is>
      </c>
      <c r="E141" s="274" t="inlineStr">
        <is>
          <t>шт.</t>
        </is>
      </c>
      <c r="F141" s="182" t="n">
        <v>3</v>
      </c>
      <c r="G141" s="192" t="n">
        <v>679.3099999999999</v>
      </c>
      <c r="H141" s="186">
        <f>ROUND(F141*G141,2)</f>
        <v/>
      </c>
      <c r="I141" s="198" t="n"/>
      <c r="K141" s="71" t="n"/>
    </row>
    <row r="142" ht="15" customHeight="1">
      <c r="A142" s="180" t="n">
        <v>128</v>
      </c>
      <c r="B142" s="246" t="n"/>
      <c r="C142" s="182" t="inlineStr">
        <is>
          <t>63.3.01.02-0005</t>
        </is>
      </c>
      <c r="D142" s="183" t="inlineStr">
        <is>
          <t>Обогреватели электрические Noirot: Spot E-3 1500 Вт</t>
        </is>
      </c>
      <c r="E142" s="274" t="inlineStr">
        <is>
          <t>шт.</t>
        </is>
      </c>
      <c r="F142" s="182" t="n">
        <v>2</v>
      </c>
      <c r="G142" s="192" t="n">
        <v>946.77</v>
      </c>
      <c r="H142" s="186">
        <f>ROUND(F142*G142,2)</f>
        <v/>
      </c>
      <c r="I142" s="198" t="n"/>
      <c r="K142" s="71" t="n"/>
    </row>
    <row r="143" ht="15" customHeight="1">
      <c r="A143" s="180" t="n">
        <v>129</v>
      </c>
      <c r="B143" s="246" t="n"/>
      <c r="C143" s="182" t="inlineStr">
        <is>
          <t>61.2.04.10-0013</t>
        </is>
      </c>
      <c r="D143" s="183" t="inlineStr">
        <is>
          <t>Пульт управления оператора, марка "ПУ-02"</t>
        </is>
      </c>
      <c r="E143" s="274" t="inlineStr">
        <is>
          <t>шт.</t>
        </is>
      </c>
      <c r="F143" s="182" t="n">
        <v>1</v>
      </c>
      <c r="G143" s="192" t="n">
        <v>1576.99</v>
      </c>
      <c r="H143" s="186">
        <f>ROUND(F143*G143,2)</f>
        <v/>
      </c>
      <c r="I143" s="198" t="n"/>
      <c r="K143" s="71" t="n"/>
    </row>
    <row r="144" ht="15" customHeight="1">
      <c r="A144" s="180" t="n">
        <v>130</v>
      </c>
      <c r="B144" s="246" t="n"/>
      <c r="C144" s="182" t="inlineStr">
        <is>
          <t>62.1.04.01-0001</t>
        </is>
      </c>
      <c r="D144" s="183" t="inlineStr">
        <is>
          <t>Датчик-реле давления ДД-1,6</t>
        </is>
      </c>
      <c r="E144" s="274" t="inlineStr">
        <is>
          <t>шт.</t>
        </is>
      </c>
      <c r="F144" s="182" t="n">
        <v>2</v>
      </c>
      <c r="G144" s="192" t="n">
        <v>560.37</v>
      </c>
      <c r="H144" s="186">
        <f>ROUND(F144*G144,2)</f>
        <v/>
      </c>
      <c r="I144" s="198" t="n"/>
      <c r="K144" s="71" t="n"/>
    </row>
    <row r="145" ht="25.5" customHeight="1">
      <c r="A145" s="180" t="n">
        <v>131</v>
      </c>
      <c r="B145" s="246" t="n"/>
      <c r="C145" s="182" t="inlineStr">
        <is>
          <t>63.3.01.02-1016</t>
        </is>
      </c>
      <c r="D145" s="183" t="inlineStr">
        <is>
          <t>Электрообогреватели излучающего типа, тип исполнения настенный, мощность 2 кВт</t>
        </is>
      </c>
      <c r="E145" s="274" t="inlineStr">
        <is>
          <t>шт.</t>
        </is>
      </c>
      <c r="F145" s="182" t="n">
        <v>1</v>
      </c>
      <c r="G145" s="192" t="n">
        <v>1073.02</v>
      </c>
      <c r="H145" s="186">
        <f>ROUND(F145*G145,2)</f>
        <v/>
      </c>
      <c r="I145" s="198" t="n"/>
      <c r="K145" s="71" t="n"/>
    </row>
    <row r="146" ht="15" customHeight="1">
      <c r="A146" s="180" t="n">
        <v>132</v>
      </c>
      <c r="B146" s="246" t="n"/>
      <c r="C146" s="182" t="inlineStr">
        <is>
          <t>63.4.03.01-0004</t>
        </is>
      </c>
      <c r="D146" s="183" t="inlineStr">
        <is>
          <t>Датчик температуры комнатный TG-R 430</t>
        </is>
      </c>
      <c r="E146" s="274" t="inlineStr">
        <is>
          <t>шт.</t>
        </is>
      </c>
      <c r="F146" s="182" t="inlineStr">
        <is>
          <t>0,3</t>
        </is>
      </c>
      <c r="G146" s="192" t="n">
        <v>3399</v>
      </c>
      <c r="H146" s="186">
        <f>ROUND(F146*G146,2)</f>
        <v/>
      </c>
      <c r="I146" s="198" t="n"/>
      <c r="K146" s="71" t="n"/>
    </row>
    <row r="147" ht="25.5" customHeight="1">
      <c r="A147" s="180" t="n">
        <v>133</v>
      </c>
      <c r="B147" s="246" t="n"/>
      <c r="C147" s="182" t="inlineStr">
        <is>
          <t>61.2.05.04-0021</t>
        </is>
      </c>
      <c r="D147" s="183" t="inlineStr">
        <is>
          <t>Радиокомплект ACS-101 (1-канальный приемник и 2 брелка)</t>
        </is>
      </c>
      <c r="E147" s="274" t="inlineStr">
        <is>
          <t>шт.</t>
        </is>
      </c>
      <c r="F147" s="182" t="n">
        <v>3</v>
      </c>
      <c r="G147" s="192" t="n">
        <v>271.44</v>
      </c>
      <c r="H147" s="186">
        <f>ROUND(F147*G147,2)</f>
        <v/>
      </c>
      <c r="I147" s="198" t="n"/>
      <c r="K147" s="71" t="n"/>
    </row>
    <row r="148" ht="25.5" customHeight="1">
      <c r="A148" s="180" t="n">
        <v>134</v>
      </c>
      <c r="B148" s="246" t="n"/>
      <c r="C148" s="182" t="inlineStr">
        <is>
          <t>61.2.05.04-0021</t>
        </is>
      </c>
      <c r="D148" s="183" t="inlineStr">
        <is>
          <t>Радиокомплект ACS-101 (1-канальный приемник и 2 брелка)</t>
        </is>
      </c>
      <c r="E148" s="274" t="inlineStr">
        <is>
          <t>шт.</t>
        </is>
      </c>
      <c r="F148" s="182" t="n">
        <v>3</v>
      </c>
      <c r="G148" s="192" t="n">
        <v>271.44</v>
      </c>
      <c r="H148" s="186">
        <f>ROUND(F148*G148,2)</f>
        <v/>
      </c>
      <c r="I148" s="198" t="n"/>
      <c r="K148" s="71" t="n"/>
    </row>
    <row r="149" ht="25.5" customHeight="1">
      <c r="A149" s="180" t="n">
        <v>135</v>
      </c>
      <c r="B149" s="246" t="n"/>
      <c r="C149" s="182" t="inlineStr">
        <is>
          <t>63.3.01.02-1008</t>
        </is>
      </c>
      <c r="D149" s="183" t="inlineStr">
        <is>
          <t>Электрообогреватели излучающего типа, тип исполнения настенный, мощность 1 кВт</t>
        </is>
      </c>
      <c r="E149" s="274" t="inlineStr">
        <is>
          <t>шт.</t>
        </is>
      </c>
      <c r="F149" s="182" t="n">
        <v>1</v>
      </c>
      <c r="G149" s="192" t="n">
        <v>810.02</v>
      </c>
      <c r="H149" s="186">
        <f>ROUND(F149*G149,2)</f>
        <v/>
      </c>
      <c r="I149" s="198" t="n"/>
      <c r="K149" s="71" t="n"/>
    </row>
    <row r="150">
      <c r="A150" s="247" t="inlineStr">
        <is>
          <t>Материалы</t>
        </is>
      </c>
      <c r="B150" s="320" t="n"/>
      <c r="C150" s="320" t="n"/>
      <c r="D150" s="320" t="n"/>
      <c r="E150" s="321" t="n"/>
      <c r="F150" s="247" t="n"/>
      <c r="G150" s="188" t="n"/>
      <c r="H150" s="178">
        <f>SUM(H151:H677)</f>
        <v/>
      </c>
      <c r="K150" s="240" t="n"/>
    </row>
    <row r="151">
      <c r="A151" s="180" t="n">
        <v>136</v>
      </c>
      <c r="B151" s="248" t="n"/>
      <c r="C151" s="182" t="inlineStr">
        <is>
          <t>14.2.02.11-0029</t>
        </is>
      </c>
      <c r="D151" s="183" t="inlineStr">
        <is>
          <t>Состав огнезащитный: ОФП-НВ-«ЭСКАЛИБУР»</t>
        </is>
      </c>
      <c r="E151" s="274" t="inlineStr">
        <is>
          <t>кг</t>
        </is>
      </c>
      <c r="F151" s="182" t="n">
        <v>9919</v>
      </c>
      <c r="G151" s="192" t="n">
        <v>54</v>
      </c>
      <c r="H151" s="186">
        <f>ROUND(F151*G151,2)</f>
        <v/>
      </c>
      <c r="I151" s="198">
        <f>H151/$H$150</f>
        <v/>
      </c>
      <c r="K151" s="194" t="n"/>
    </row>
    <row r="152" ht="51.6" customHeight="1">
      <c r="A152" s="180" t="n">
        <v>137</v>
      </c>
      <c r="B152" s="248" t="n"/>
      <c r="C152" s="182" t="inlineStr">
        <is>
          <t>23.5.02.03-0118</t>
        </is>
      </c>
      <c r="D152" s="183" t="inlineStr">
        <is>
          <t>Свая шпунтовая трубчатая сварная с составным замковым клещевидным соединением, из электросварных труб, наружный диаметр 820 мм, толщина стенки 14 мм</t>
        </is>
      </c>
      <c r="E152" s="274" t="inlineStr">
        <is>
          <t>т</t>
        </is>
      </c>
      <c r="F152" s="182" t="n">
        <v>13.6663</v>
      </c>
      <c r="G152" s="192" t="n">
        <v>31034.64</v>
      </c>
      <c r="H152" s="186">
        <f>ROUND(F152*G152,2)</f>
        <v/>
      </c>
      <c r="I152" s="198">
        <f>H152/$H$150</f>
        <v/>
      </c>
      <c r="K152" s="194" t="n"/>
    </row>
    <row r="153" ht="77.45" customHeight="1">
      <c r="A153" s="180" t="n">
        <v>138</v>
      </c>
      <c r="B153" s="248" t="n"/>
      <c r="C153" s="182" t="inlineStr">
        <is>
          <t>07.2.05.05-0081</t>
        </is>
      </c>
      <c r="D153" s="18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200 мм, тип покрытия PRISMA, толщина металлических облицовок 0,5 мм</t>
        </is>
      </c>
      <c r="E153" s="274" t="inlineStr">
        <is>
          <t>м2</t>
        </is>
      </c>
      <c r="F153" s="182" t="n">
        <v>540</v>
      </c>
      <c r="G153" s="192" t="n">
        <v>307.41</v>
      </c>
      <c r="H153" s="186">
        <f>ROUND(F153*G153,2)</f>
        <v/>
      </c>
      <c r="I153" s="198">
        <f>H153/$H$150</f>
        <v/>
      </c>
      <c r="K153" s="240" t="n"/>
    </row>
    <row r="154" ht="25.9" customHeight="1">
      <c r="A154" s="180" t="n">
        <v>139</v>
      </c>
      <c r="B154" s="248" t="n"/>
      <c r="C154" s="182" t="inlineStr">
        <is>
          <t>05.4.01.03-0002</t>
        </is>
      </c>
      <c r="D154" s="183" t="inlineStr">
        <is>
          <t>Плиты гипсовые пазогребневые гидрофобизированные, толщина 100 мм</t>
        </is>
      </c>
      <c r="E154" s="274" t="inlineStr">
        <is>
          <t>м2</t>
        </is>
      </c>
      <c r="F154" s="182" t="n">
        <v>778.4</v>
      </c>
      <c r="G154" s="192" t="n">
        <v>206.75</v>
      </c>
      <c r="H154" s="186">
        <f>ROUND(F154*G154,2)</f>
        <v/>
      </c>
      <c r="I154" s="198">
        <f>H154/$H$150</f>
        <v/>
      </c>
      <c r="K154" s="240" t="n"/>
    </row>
    <row r="155">
      <c r="A155" s="180" t="n">
        <v>140</v>
      </c>
      <c r="B155" s="248" t="n"/>
      <c r="C155" s="182" t="inlineStr">
        <is>
          <t>07.2.07.13-0012</t>
        </is>
      </c>
      <c r="D155" s="183" t="inlineStr">
        <is>
          <t>Балки промежуточные</t>
        </is>
      </c>
      <c r="E155" s="274" t="inlineStr">
        <is>
          <t>т</t>
        </is>
      </c>
      <c r="F155" s="182" t="n">
        <v>12.896</v>
      </c>
      <c r="G155" s="192" t="n">
        <v>11425.09</v>
      </c>
      <c r="H155" s="186">
        <f>ROUND(F155*G155,2)</f>
        <v/>
      </c>
      <c r="I155" s="198">
        <f>H155/$H$150</f>
        <v/>
      </c>
      <c r="K155" s="240" t="n"/>
    </row>
    <row r="156" ht="38.85" customHeight="1">
      <c r="A156" s="180" t="n">
        <v>141</v>
      </c>
      <c r="B156" s="248" t="n"/>
      <c r="C156" s="182" t="inlineStr">
        <is>
          <t>07.2.07.12-0011</t>
        </is>
      </c>
      <c r="D156" s="18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56" s="274" t="inlineStr">
        <is>
          <t>т</t>
        </is>
      </c>
      <c r="F156" s="182" t="n">
        <v>11.8804</v>
      </c>
      <c r="G156" s="192" t="n">
        <v>11255</v>
      </c>
      <c r="H156" s="186">
        <f>ROUND(F156*G156,2)</f>
        <v/>
      </c>
      <c r="I156" s="198">
        <f>H156/$H$150</f>
        <v/>
      </c>
      <c r="K156" s="240" t="n"/>
    </row>
    <row r="157" ht="51.6" customHeight="1">
      <c r="A157" s="180" t="n">
        <v>142</v>
      </c>
      <c r="B157" s="248" t="n"/>
      <c r="C157" s="182" t="inlineStr">
        <is>
          <t>07.2.07.12-0006</t>
        </is>
      </c>
      <c r="D157" s="183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57" s="274" t="inlineStr">
        <is>
          <t>т</t>
        </is>
      </c>
      <c r="F157" s="182" t="n">
        <v>11.7106</v>
      </c>
      <c r="G157" s="192" t="n">
        <v>10045</v>
      </c>
      <c r="H157" s="186">
        <f>ROUND(F157*G157,2)</f>
        <v/>
      </c>
      <c r="I157" s="198">
        <f>H157/$H$150</f>
        <v/>
      </c>
      <c r="K157" s="240" t="n"/>
    </row>
    <row r="158" ht="25.9" customHeight="1">
      <c r="A158" s="180" t="n">
        <v>143</v>
      </c>
      <c r="B158" s="248" t="n"/>
      <c r="C158" s="182" t="inlineStr">
        <is>
          <t>12.2.05.05-0014</t>
        </is>
      </c>
      <c r="D158" s="183" t="inlineStr">
        <is>
          <t>Плиты из минеральной ваты повышенной жесткости на синтетическом связующем ППЖ-200</t>
        </is>
      </c>
      <c r="E158" s="274" t="inlineStr">
        <is>
          <t>м3</t>
        </is>
      </c>
      <c r="F158" s="182" t="n">
        <v>65.548</v>
      </c>
      <c r="G158" s="192" t="n">
        <v>1588.5</v>
      </c>
      <c r="H158" s="186">
        <f>ROUND(F158*G158,2)</f>
        <v/>
      </c>
      <c r="I158" s="198">
        <f>H158/$H$150</f>
        <v/>
      </c>
      <c r="K158" s="240" t="n"/>
    </row>
    <row r="159" ht="25.9" customHeight="1">
      <c r="A159" s="180" t="n">
        <v>144</v>
      </c>
      <c r="B159" s="248" t="n"/>
      <c r="C159" s="182" t="inlineStr">
        <is>
          <t>08.3.10.02-0001</t>
        </is>
      </c>
      <c r="D159" s="183" t="inlineStr">
        <is>
          <t>Профили фасонные горячекатаные для шпунтовых свай Л4 и Л5, масса от 50 до 100 кг, сталь марка 16ХГ</t>
        </is>
      </c>
      <c r="E159" s="274" t="inlineStr">
        <is>
          <t>т</t>
        </is>
      </c>
      <c r="F159" s="182" t="n">
        <v>15.24</v>
      </c>
      <c r="G159" s="192" t="n">
        <v>6789.36</v>
      </c>
      <c r="H159" s="186">
        <f>ROUND(F159*G159,2)</f>
        <v/>
      </c>
      <c r="I159" s="198">
        <f>H159/$H$150</f>
        <v/>
      </c>
      <c r="K159" s="240" t="n"/>
    </row>
    <row r="160" ht="51.6" customHeight="1">
      <c r="A160" s="180" t="n">
        <v>145</v>
      </c>
      <c r="B160" s="248" t="n"/>
      <c r="C160" s="182" t="inlineStr">
        <is>
          <t>07.2.07.12-0012</t>
        </is>
      </c>
      <c r="D160" s="18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60" s="274" t="inlineStr">
        <is>
          <t>т</t>
        </is>
      </c>
      <c r="F160" s="182" t="n">
        <v>7.8769</v>
      </c>
      <c r="G160" s="192" t="n">
        <v>10508</v>
      </c>
      <c r="H160" s="186">
        <f>ROUND(F160*G160,2)</f>
        <v/>
      </c>
      <c r="I160" s="198">
        <f>H160/$H$150</f>
        <v/>
      </c>
      <c r="K160" s="240" t="n"/>
    </row>
    <row r="161" ht="38.85" customFormat="1" customHeight="1" s="179">
      <c r="A161" s="180" t="n">
        <v>146</v>
      </c>
      <c r="B161" s="248" t="n"/>
      <c r="C161" s="182" t="inlineStr">
        <is>
          <t>07.2.03.05-0031</t>
        </is>
      </c>
      <c r="D161" s="183" t="inlineStr">
        <is>
          <t>Основные несущие конструкции каркасов цельнометаллические с применением железобетонных плит в покрытии, расход стали на 1 м2 до 70 кг</t>
        </is>
      </c>
      <c r="E161" s="274" t="inlineStr">
        <is>
          <t>т</t>
        </is>
      </c>
      <c r="F161" s="182" t="n">
        <v>6.76</v>
      </c>
      <c r="G161" s="192" t="n">
        <v>10586.62</v>
      </c>
      <c r="H161" s="186">
        <f>ROUND(F161*G161,2)</f>
        <v/>
      </c>
      <c r="I161" s="198">
        <f>H161/$H$150</f>
        <v/>
      </c>
      <c r="K161" s="199" t="n"/>
    </row>
    <row r="162">
      <c r="A162" s="180" t="n">
        <v>147</v>
      </c>
      <c r="B162" s="248" t="n"/>
      <c r="C162" s="182" t="inlineStr">
        <is>
          <t>08.3.11.01-0094</t>
        </is>
      </c>
      <c r="D162" s="183" t="inlineStr">
        <is>
          <t>Швеллеры № 40, марка стали Ст3сп</t>
        </is>
      </c>
      <c r="E162" s="274" t="inlineStr">
        <is>
          <t>т</t>
        </is>
      </c>
      <c r="F162" s="182" t="n">
        <v>10.5058</v>
      </c>
      <c r="G162" s="192" t="n">
        <v>5751.7</v>
      </c>
      <c r="H162" s="186">
        <f>ROUND(F162*G162,2)</f>
        <v/>
      </c>
      <c r="I162" s="198">
        <f>H162/$H$150</f>
        <v/>
      </c>
      <c r="K162" s="240" t="n"/>
    </row>
    <row r="163" ht="25.9" customHeight="1">
      <c r="A163" s="180" t="n">
        <v>148</v>
      </c>
      <c r="B163" s="248" t="n"/>
      <c r="C163" s="182" t="inlineStr">
        <is>
          <t>05.1.06.12-0021</t>
        </is>
      </c>
      <c r="D163" s="183" t="inlineStr">
        <is>
          <t>Плиты покрытия ребристые 2ПГ6-4Ат VТ, бетон B22,5, объем 0,62 м3, расход арматуры 57,7 кг</t>
        </is>
      </c>
      <c r="E163" s="274" t="inlineStr">
        <is>
          <t>шт</t>
        </is>
      </c>
      <c r="F163" s="182" t="n">
        <v>40</v>
      </c>
      <c r="G163" s="192" t="n">
        <v>1465.1</v>
      </c>
      <c r="H163" s="186">
        <f>ROUND(F163*G163,2)</f>
        <v/>
      </c>
      <c r="I163" s="198">
        <f>H163/$H$150</f>
        <v/>
      </c>
      <c r="K163" s="194" t="n"/>
    </row>
    <row r="164" ht="25.9" customHeight="1">
      <c r="A164" s="180" t="n">
        <v>149</v>
      </c>
      <c r="B164" s="248" t="n"/>
      <c r="C164" s="182" t="inlineStr">
        <is>
          <t>04.1.02.05-0043</t>
        </is>
      </c>
      <c r="D164" s="183" t="inlineStr">
        <is>
          <t>Смеси бетонные тяжелого бетона (БСТ), крупность заполнителя 20 мм, класс В15 (М200)</t>
        </is>
      </c>
      <c r="E164" s="274" t="inlineStr">
        <is>
          <t>м3</t>
        </is>
      </c>
      <c r="F164" s="182" t="n">
        <v>76.8023</v>
      </c>
      <c r="G164" s="192" t="n">
        <v>665</v>
      </c>
      <c r="H164" s="186">
        <f>ROUND(F164*G164,2)</f>
        <v/>
      </c>
      <c r="I164" s="198">
        <f>H164/$H$150</f>
        <v/>
      </c>
      <c r="K164" s="194" t="n"/>
    </row>
    <row r="165">
      <c r="A165" s="180" t="n">
        <v>150</v>
      </c>
      <c r="B165" s="248" t="n"/>
      <c r="C165" s="182" t="inlineStr">
        <is>
          <t>12.1.03.02-0001</t>
        </is>
      </c>
      <c r="D165" s="183" t="inlineStr">
        <is>
          <t>Металлочерепица «Монтеррей»</t>
        </is>
      </c>
      <c r="E165" s="274" t="inlineStr">
        <is>
          <t>м2</t>
        </is>
      </c>
      <c r="F165" s="182" t="n">
        <v>608.6</v>
      </c>
      <c r="G165" s="192" t="n">
        <v>70.5</v>
      </c>
      <c r="H165" s="186">
        <f>ROUND(F165*G165,2)</f>
        <v/>
      </c>
      <c r="I165" s="198">
        <f>H165/$H$150</f>
        <v/>
      </c>
      <c r="K165" s="194" t="n"/>
    </row>
    <row r="166" ht="25.9" customHeight="1">
      <c r="A166" s="180" t="n">
        <v>151</v>
      </c>
      <c r="B166" s="248" t="n"/>
      <c r="C166" s="182" t="inlineStr">
        <is>
          <t>04.3.02.03-0102</t>
        </is>
      </c>
      <c r="D166" s="183" t="inlineStr">
        <is>
          <t>Состав двухкомпонентный эпоксидный самовыравнивающийся для покрытия пола</t>
        </is>
      </c>
      <c r="E166" s="274" t="inlineStr">
        <is>
          <t>т</t>
        </is>
      </c>
      <c r="F166" s="182" t="n">
        <v>0.6954</v>
      </c>
      <c r="G166" s="192" t="n">
        <v>59210</v>
      </c>
      <c r="H166" s="186">
        <f>ROUND(F166*G166,2)</f>
        <v/>
      </c>
      <c r="I166" s="198">
        <f>H166/$H$150</f>
        <v/>
      </c>
      <c r="K166" s="194" t="n"/>
    </row>
    <row r="167" ht="25.9" customHeight="1">
      <c r="A167" s="180" t="n">
        <v>152</v>
      </c>
      <c r="B167" s="248" t="n"/>
      <c r="C167" s="182" t="inlineStr">
        <is>
          <t>01.6.01.10-0001</t>
        </is>
      </c>
      <c r="D167" s="183" t="inlineStr">
        <is>
          <t>Плиты цементно-стружечные нешлифованные, толщина 10 мм</t>
        </is>
      </c>
      <c r="E167" s="274" t="inlineStr">
        <is>
          <t>м2</t>
        </is>
      </c>
      <c r="F167" s="182" t="n">
        <v>712.8</v>
      </c>
      <c r="G167" s="192" t="n">
        <v>53.81</v>
      </c>
      <c r="H167" s="186">
        <f>ROUND(F167*G167,2)</f>
        <v/>
      </c>
      <c r="I167" s="198">
        <f>H167/$H$150</f>
        <v/>
      </c>
      <c r="K167" s="240" t="n"/>
    </row>
    <row r="168" ht="25.9" customHeight="1">
      <c r="A168" s="180" t="n">
        <v>153</v>
      </c>
      <c r="B168" s="248" t="n"/>
      <c r="C168" s="182" t="inlineStr">
        <is>
          <t>20.3.03.04-0456</t>
        </is>
      </c>
      <c r="D168" s="183" t="inlineStr">
        <is>
          <t>Светильники настенные для компактных люминесцентных ламп типа NBT 21 F226</t>
        </is>
      </c>
      <c r="E168" s="274" t="inlineStr">
        <is>
          <t>шт.</t>
        </is>
      </c>
      <c r="F168" s="182" t="inlineStr">
        <is>
          <t>34</t>
        </is>
      </c>
      <c r="G168" s="192" t="n">
        <v>1074.23</v>
      </c>
      <c r="H168" s="186">
        <f>ROUND(F168*G168,2)</f>
        <v/>
      </c>
      <c r="I168" s="198">
        <f>H168/$H$150</f>
        <v/>
      </c>
      <c r="K168" s="240" t="n"/>
    </row>
    <row r="169" ht="38.85" customHeight="1">
      <c r="A169" s="180" t="n">
        <v>154</v>
      </c>
      <c r="B169" s="248" t="n"/>
      <c r="C169" s="182" t="inlineStr">
        <is>
          <t>11.3.02.01-0020</t>
        </is>
      </c>
      <c r="D169" s="183" t="inlineStr">
        <is>
          <t>Блок оконный пластиковый: двустворчатый, с глухой и поворотно-откидной створкой, двухкамерным стеклопакетом (32 мм), площадью: до 1,5 м2</t>
        </is>
      </c>
      <c r="E169" s="274" t="inlineStr">
        <is>
          <t>м2</t>
        </is>
      </c>
      <c r="F169" s="182" t="n">
        <v>10.08</v>
      </c>
      <c r="G169" s="192" t="n">
        <v>3520.48</v>
      </c>
      <c r="H169" s="186">
        <f>ROUND(F169*G169,2)</f>
        <v/>
      </c>
      <c r="I169" s="198">
        <f>H169/$H$150</f>
        <v/>
      </c>
      <c r="K169" s="240" t="n"/>
    </row>
    <row r="170" ht="25.9" customHeight="1">
      <c r="A170" s="180" t="n">
        <v>155</v>
      </c>
      <c r="B170" s="248" t="n"/>
      <c r="C170" s="182" t="inlineStr">
        <is>
          <t>04.3.02.09-0824</t>
        </is>
      </c>
      <c r="D170" s="183" t="inlineStr">
        <is>
          <t>Смесь сухая: для заделки швов (фуга) АТЛАС растворная для ручной работы</t>
        </is>
      </c>
      <c r="E170" s="274" t="inlineStr">
        <is>
          <t>т</t>
        </is>
      </c>
      <c r="F170" s="182" t="n">
        <v>12.81</v>
      </c>
      <c r="G170" s="192" t="n">
        <v>2500</v>
      </c>
      <c r="H170" s="186">
        <f>ROUND(F170*G170,2)</f>
        <v/>
      </c>
      <c r="I170" s="198">
        <f>H170/$H$150</f>
        <v/>
      </c>
      <c r="K170" s="194" t="n"/>
    </row>
    <row r="171" ht="38.85" customHeight="1">
      <c r="A171" s="180" t="n">
        <v>156</v>
      </c>
      <c r="B171" s="248" t="n"/>
      <c r="C171" s="182" t="inlineStr">
        <is>
          <t>11.3.02.01-0024</t>
        </is>
      </c>
      <c r="D171" s="183" t="inlineStr">
        <is>
          <t>Блок оконный пластиковый: двустворчатый, с глухой и поворотно-откидной створкой, однокамерным стеклопакетом (24 мм), площадью до 2 м2</t>
        </is>
      </c>
      <c r="E171" s="274" t="inlineStr">
        <is>
          <t>м2</t>
        </is>
      </c>
      <c r="F171" s="182" t="n">
        <v>10.92</v>
      </c>
      <c r="G171" s="192" t="n">
        <v>2910.02</v>
      </c>
      <c r="H171" s="186">
        <f>ROUND(F171*G171,2)</f>
        <v/>
      </c>
      <c r="I171" s="198">
        <f>H171/$H$150</f>
        <v/>
      </c>
      <c r="K171" s="240" t="n"/>
    </row>
    <row r="172">
      <c r="A172" s="180" t="n">
        <v>157</v>
      </c>
      <c r="B172" s="248" t="n"/>
      <c r="C172" s="182" t="inlineStr">
        <is>
          <t>08.4.03.04-0001</t>
        </is>
      </c>
      <c r="D172" s="183" t="inlineStr">
        <is>
          <t>Сталь арматурная, горячекатаная, класс А-I, А-II, А-III</t>
        </is>
      </c>
      <c r="E172" s="274" t="inlineStr">
        <is>
          <t>т</t>
        </is>
      </c>
      <c r="F172" s="182" t="n">
        <v>5.2883</v>
      </c>
      <c r="G172" s="192" t="n">
        <v>5650</v>
      </c>
      <c r="H172" s="186">
        <f>ROUND(F172*G172,2)</f>
        <v/>
      </c>
      <c r="I172" s="198">
        <f>H172/$H$150</f>
        <v/>
      </c>
      <c r="K172" s="240" t="n"/>
    </row>
    <row r="173" ht="38.85" customHeight="1">
      <c r="A173" s="180" t="n">
        <v>158</v>
      </c>
      <c r="B173" s="248" t="n"/>
      <c r="C173" s="182" t="inlineStr">
        <is>
          <t>01.7.15.14-0101</t>
        </is>
      </c>
      <c r="D173" s="183" t="inlineStr">
        <is>
          <t>Шурупы-саморезы с шести-восьмигранной головкой, с специальной уплотнительной прокладкой (шайбой) из ЭПДМ 4,5х25 (35) мм</t>
        </is>
      </c>
      <c r="E173" s="274" t="inlineStr">
        <is>
          <t>100 шт</t>
        </is>
      </c>
      <c r="F173" s="182" t="n">
        <v>48.69</v>
      </c>
      <c r="G173" s="192" t="n">
        <v>585.1</v>
      </c>
      <c r="H173" s="186">
        <f>ROUND(F173*G173,2)</f>
        <v/>
      </c>
      <c r="I173" s="198">
        <f>H173/$H$150</f>
        <v/>
      </c>
      <c r="K173" s="240" t="n"/>
    </row>
    <row r="174" ht="64.5" customHeight="1">
      <c r="A174" s="180" t="n">
        <v>159</v>
      </c>
      <c r="B174" s="248" t="n"/>
      <c r="C174" s="182" t="inlineStr">
        <is>
          <t>23.5.01.09-0020</t>
        </is>
      </c>
      <c r="D174" s="183" t="inlineStr">
        <is>
          <t>Трубы стальные электросварные для класса прочности К 52, наружным диаметром: 1420 мм толщина стенки 15,7 мм (в заводской изоляции, трёхслойное наружное покрытие толщиной 3,5 мм из экструдированного полиэтилена)</t>
        </is>
      </c>
      <c r="E174" s="274" t="inlineStr">
        <is>
          <t>т</t>
        </is>
      </c>
      <c r="F174" s="182" t="n">
        <v>1.5726</v>
      </c>
      <c r="G174" s="192" t="n">
        <v>18074.36</v>
      </c>
      <c r="H174" s="186">
        <f>ROUND(F174*G174,2)</f>
        <v/>
      </c>
      <c r="I174" s="198">
        <f>H174/$H$150</f>
        <v/>
      </c>
      <c r="K174" s="240" t="n"/>
    </row>
    <row r="175">
      <c r="A175" s="180" t="n">
        <v>160</v>
      </c>
      <c r="B175" s="248" t="n"/>
      <c r="C175" s="182" t="inlineStr">
        <is>
          <t>01.4.01.03-0113</t>
        </is>
      </c>
      <c r="D175" s="183" t="inlineStr">
        <is>
          <t>Долото трехшарошечное III 295.3 СЗ-ГВ R175</t>
        </is>
      </c>
      <c r="E175" s="274" t="inlineStr">
        <is>
          <t>шт</t>
        </is>
      </c>
      <c r="F175" s="182" t="n">
        <v>0.4099</v>
      </c>
      <c r="G175" s="192" t="n">
        <v>59706.18</v>
      </c>
      <c r="H175" s="186">
        <f>ROUND(F175*G175,2)</f>
        <v/>
      </c>
      <c r="I175" s="198">
        <f>H175/$H$150</f>
        <v/>
      </c>
    </row>
    <row r="176" ht="25.9" customHeight="1">
      <c r="A176" s="180" t="n">
        <v>161</v>
      </c>
      <c r="B176" s="248" t="n"/>
      <c r="C176" s="182" t="inlineStr">
        <is>
          <t>08.4.03.03-0031</t>
        </is>
      </c>
      <c r="D176" s="183" t="inlineStr">
        <is>
          <t>Сталь арматурная, горячекатаная, периодического профиля, класс А-III, диаметр 10 мм</t>
        </is>
      </c>
      <c r="E176" s="274" t="inlineStr">
        <is>
          <t>т</t>
        </is>
      </c>
      <c r="F176" s="182" t="n">
        <v>2.8676</v>
      </c>
      <c r="G176" s="192" t="n">
        <v>8014.15</v>
      </c>
      <c r="H176" s="186">
        <f>ROUND(F176*G176,2)</f>
        <v/>
      </c>
      <c r="I176" s="198">
        <f>H176/$H$150</f>
        <v/>
      </c>
    </row>
    <row r="177" ht="25.9" customHeight="1">
      <c r="A177" s="180" t="n">
        <v>162</v>
      </c>
      <c r="B177" s="248" t="n"/>
      <c r="C177" s="182" t="inlineStr">
        <is>
          <t>15.1.02.18-0003</t>
        </is>
      </c>
      <c r="D177" s="183" t="inlineStr">
        <is>
          <t>Мостик с ограждениями (деревянный), ширина 800 мм, длина 800 мм</t>
        </is>
      </c>
      <c r="E177" s="274" t="inlineStr">
        <is>
          <t>шт.</t>
        </is>
      </c>
      <c r="F177" s="182" t="n">
        <v>10.5137</v>
      </c>
      <c r="G177" s="192" t="n">
        <v>2178.59</v>
      </c>
      <c r="H177" s="186">
        <f>ROUND(F177*G177,2)</f>
        <v/>
      </c>
      <c r="I177" s="198">
        <f>H177/$H$150</f>
        <v/>
      </c>
    </row>
    <row r="178" ht="25.9" customHeight="1">
      <c r="A178" s="180" t="n">
        <v>163</v>
      </c>
      <c r="B178" s="248" t="n"/>
      <c r="C178" s="182" t="inlineStr">
        <is>
          <t>04.1.02.05-0011</t>
        </is>
      </c>
      <c r="D178" s="183" t="inlineStr">
        <is>
          <t>Смеси бетонные тяжелого бетона (БСТ), класс В30 (М400)</t>
        </is>
      </c>
      <c r="E178" s="274" t="inlineStr">
        <is>
          <t>м3</t>
        </is>
      </c>
      <c r="F178" s="182" t="n">
        <v>27.68</v>
      </c>
      <c r="G178" s="192" t="n">
        <v>790</v>
      </c>
      <c r="H178" s="186">
        <f>ROUND(F178*G178,2)</f>
        <v/>
      </c>
      <c r="I178" s="198">
        <f>H178/$H$150</f>
        <v/>
      </c>
    </row>
    <row r="179" ht="25.9" customHeight="1">
      <c r="A179" s="180" t="n">
        <v>164</v>
      </c>
      <c r="B179" s="248" t="n"/>
      <c r="C179" s="182" t="inlineStr">
        <is>
          <t>07.1.01.01-0020</t>
        </is>
      </c>
      <c r="D179" s="183" t="inlineStr">
        <is>
          <t>Дверь противопожарная металлическая: однопольная ДПМ-01/60, размером 1000х2100 мм</t>
        </is>
      </c>
      <c r="E179" s="274" t="inlineStr">
        <is>
          <t>шт</t>
        </is>
      </c>
      <c r="F179" s="182" t="n">
        <v>7</v>
      </c>
      <c r="G179" s="192" t="n">
        <v>3104.96</v>
      </c>
      <c r="H179" s="186">
        <f>ROUND(F179*G179,2)</f>
        <v/>
      </c>
      <c r="I179" s="198">
        <f>H179/$H$150</f>
        <v/>
      </c>
    </row>
    <row r="180" ht="25.9" customHeight="1">
      <c r="A180" s="180" t="n">
        <v>165</v>
      </c>
      <c r="B180" s="248" t="n"/>
      <c r="C180" s="182" t="inlineStr">
        <is>
          <t>07.2.05.02-0001</t>
        </is>
      </c>
      <c r="D180" s="183" t="inlineStr">
        <is>
          <t>Изделия фасонные (толщина 0,5 мм) для трехслойных стеновых сэндвич-панелей c покрытием полиэстер</t>
        </is>
      </c>
      <c r="E180" s="274" t="inlineStr">
        <is>
          <t>м2</t>
        </is>
      </c>
      <c r="F180" s="182" t="n">
        <v>117.4</v>
      </c>
      <c r="G180" s="192" t="n">
        <v>138.67</v>
      </c>
      <c r="H180" s="186">
        <f>ROUND(F180*G180,2)</f>
        <v/>
      </c>
      <c r="I180" s="198">
        <f>H180/$H$150</f>
        <v/>
      </c>
    </row>
    <row r="181" ht="25.9" customHeight="1">
      <c r="A181" s="180" t="n">
        <v>166</v>
      </c>
      <c r="B181" s="248" t="n"/>
      <c r="C181" s="182" t="inlineStr">
        <is>
          <t>14.3.02.01-0219</t>
        </is>
      </c>
      <c r="D181" s="183" t="inlineStr">
        <is>
          <t>Краска универсальная, акриловая для внутренних и наружных работ</t>
        </is>
      </c>
      <c r="E181" s="274" t="inlineStr">
        <is>
          <t>т</t>
        </is>
      </c>
      <c r="F181" s="182" t="n">
        <v>0.971</v>
      </c>
      <c r="G181" s="192" t="n">
        <v>15481</v>
      </c>
      <c r="H181" s="186">
        <f>ROUND(F181*G181,2)</f>
        <v/>
      </c>
      <c r="I181" s="198">
        <f>H181/$H$150</f>
        <v/>
      </c>
    </row>
    <row r="182" ht="25.9" customHeight="1">
      <c r="A182" s="180" t="n">
        <v>167</v>
      </c>
      <c r="B182" s="248" t="n"/>
      <c r="C182" s="182" t="inlineStr">
        <is>
          <t>12.1.01.03-0033</t>
        </is>
      </c>
      <c r="D182" s="183" t="inlineStr">
        <is>
          <t>Пленка диффузионная гидроизоляционная, максимальная сила растяжения 165/140 Н/50 мм</t>
        </is>
      </c>
      <c r="E182" s="274" t="inlineStr">
        <is>
          <t>м2</t>
        </is>
      </c>
      <c r="F182" s="182" t="n">
        <v>560.28</v>
      </c>
      <c r="G182" s="192" t="n">
        <v>25.3</v>
      </c>
      <c r="H182" s="186">
        <f>ROUND(F182*G182,2)</f>
        <v/>
      </c>
      <c r="I182" s="198">
        <f>H182/$H$150</f>
        <v/>
      </c>
    </row>
    <row r="183" ht="25.9" customHeight="1">
      <c r="A183" s="180" t="n">
        <v>168</v>
      </c>
      <c r="B183" s="248" t="n"/>
      <c r="C183" s="182" t="inlineStr">
        <is>
          <t>05.1.05.01-0086</t>
        </is>
      </c>
      <c r="D183" s="183" t="inlineStr">
        <is>
          <t>Балки фундаментные ФБ 6-17, бетон B15, объем 0,60 м3, расход арматуры 36,60 кг</t>
        </is>
      </c>
      <c r="E183" s="274" t="inlineStr">
        <is>
          <t>шт</t>
        </is>
      </c>
      <c r="F183" s="182" t="n">
        <v>14</v>
      </c>
      <c r="G183" s="192" t="n">
        <v>994.5</v>
      </c>
      <c r="H183" s="186">
        <f>ROUND(F183*G183,2)</f>
        <v/>
      </c>
      <c r="I183" s="198">
        <f>H183/$H$150</f>
        <v/>
      </c>
    </row>
    <row r="184" ht="25.9" customHeight="1">
      <c r="A184" s="180" t="n">
        <v>169</v>
      </c>
      <c r="B184" s="248" t="n"/>
      <c r="C184" s="182" t="inlineStr">
        <is>
          <t>11.1.03.06-0001</t>
        </is>
      </c>
      <c r="D184" s="183" t="inlineStr">
        <is>
          <t>Доска обрезная, антисептированная, длина 4-6,5 м, ширина 75-150 мм, толщина 32-40 мм, сорт II</t>
        </is>
      </c>
      <c r="E184" s="274" t="inlineStr">
        <is>
          <t>м3</t>
        </is>
      </c>
      <c r="F184" s="182" t="n">
        <v>7.1</v>
      </c>
      <c r="G184" s="192" t="n">
        <v>1611.84</v>
      </c>
      <c r="H184" s="186">
        <f>ROUND(F184*G184,2)</f>
        <v/>
      </c>
      <c r="I184" s="198">
        <f>H184/$H$150</f>
        <v/>
      </c>
    </row>
    <row r="185" ht="25.9" customHeight="1">
      <c r="A185" s="180" t="n">
        <v>170</v>
      </c>
      <c r="B185" s="248" t="n"/>
      <c r="C185" s="182" t="inlineStr">
        <is>
          <t>01.2.01.02-0021</t>
        </is>
      </c>
      <c r="D185" s="183" t="inlineStr">
        <is>
          <t>Битумы нефтяные модифицированные для кровельных мастик БНМ-55/60</t>
        </is>
      </c>
      <c r="E185" s="274" t="inlineStr">
        <is>
          <t>т</t>
        </is>
      </c>
      <c r="F185" s="182" t="n">
        <v>6.184</v>
      </c>
      <c r="G185" s="192" t="n">
        <v>1596</v>
      </c>
      <c r="H185" s="186">
        <f>ROUND(F185*G185,2)</f>
        <v/>
      </c>
      <c r="I185" s="198">
        <f>H185/$H$150</f>
        <v/>
      </c>
    </row>
    <row r="186">
      <c r="A186" s="180" t="n">
        <v>171</v>
      </c>
      <c r="B186" s="248" t="n"/>
      <c r="C186" s="182" t="inlineStr">
        <is>
          <t>Общ.указания к ФССЦ</t>
        </is>
      </c>
      <c r="D186" s="183" t="inlineStr">
        <is>
          <t>Надбавка на водонепроницаемость W6</t>
        </is>
      </c>
      <c r="E186" s="274" t="inlineStr">
        <is>
          <t>м3</t>
        </is>
      </c>
      <c r="F186" s="182" t="n">
        <v>14</v>
      </c>
      <c r="G186" s="192" t="n">
        <v>697.26</v>
      </c>
      <c r="H186" s="186">
        <f>ROUND(F186*G186,2)</f>
        <v/>
      </c>
      <c r="I186" s="198">
        <f>H186/$H$150</f>
        <v/>
      </c>
    </row>
    <row r="187" ht="25.9" customHeight="1">
      <c r="A187" s="180" t="n">
        <v>172</v>
      </c>
      <c r="B187" s="248" t="n"/>
      <c r="C187" s="182" t="inlineStr">
        <is>
          <t>Общ.указания к ФССЦ</t>
        </is>
      </c>
      <c r="D187" s="183" t="inlineStr">
        <is>
          <t>Надбавка на водонепроницаемость бетона В30, W6, F150</t>
        </is>
      </c>
      <c r="E187" s="274" t="inlineStr">
        <is>
          <t>м3</t>
        </is>
      </c>
      <c r="F187" s="182" t="n">
        <v>13.68</v>
      </c>
      <c r="G187" s="192" t="n">
        <v>697.26</v>
      </c>
      <c r="H187" s="186">
        <f>ROUND(F187*G187,2)</f>
        <v/>
      </c>
      <c r="I187" s="198">
        <f>H187/$H$150</f>
        <v/>
      </c>
    </row>
    <row r="188" ht="25.9" customFormat="1" customHeight="1" s="179">
      <c r="A188" s="180" t="n">
        <v>173</v>
      </c>
      <c r="B188" s="248" t="n"/>
      <c r="C188" s="182" t="inlineStr">
        <is>
          <t>20.3.03.07-0093</t>
        </is>
      </c>
      <c r="D188" s="183" t="inlineStr">
        <is>
          <t>Светильник потолочный GM: A40-16-31-CM-40-V с декоративной накладкой</t>
        </is>
      </c>
      <c r="E188" s="274" t="inlineStr">
        <is>
          <t>шт.</t>
        </is>
      </c>
      <c r="F188" s="182" t="n">
        <v>13</v>
      </c>
      <c r="G188" s="192" t="n">
        <v>731.64</v>
      </c>
      <c r="H188" s="186">
        <f>ROUND(F188*G188,2)</f>
        <v/>
      </c>
      <c r="I188" s="198">
        <f>H188/$H$150</f>
        <v/>
      </c>
    </row>
    <row r="189" ht="25.5" customHeight="1">
      <c r="A189" s="180" t="n">
        <v>174</v>
      </c>
      <c r="B189" s="248" t="n"/>
      <c r="C189" s="182" t="inlineStr">
        <is>
          <t>05.2.03.01-0012</t>
        </is>
      </c>
      <c r="D189" s="183" t="inlineStr">
        <is>
          <t>Камни бетонные стеновые из легкого бетона, марка 35</t>
        </is>
      </c>
      <c r="E189" s="274" t="inlineStr">
        <is>
          <t>м3</t>
        </is>
      </c>
      <c r="F189" s="182" t="n">
        <v>12.01</v>
      </c>
      <c r="G189" s="192" t="n">
        <v>765</v>
      </c>
      <c r="H189" s="186">
        <f>ROUND(F189*G189,2)</f>
        <v/>
      </c>
      <c r="I189" s="198">
        <f>H189/$H$150</f>
        <v/>
      </c>
    </row>
    <row r="190" ht="25.9" customHeight="1">
      <c r="A190" s="180" t="n">
        <v>175</v>
      </c>
      <c r="B190" s="248" t="n"/>
      <c r="C190" s="182" t="inlineStr">
        <is>
          <t>06.2.05.03-0003</t>
        </is>
      </c>
      <c r="D190" s="183" t="inlineStr">
        <is>
          <t>Плитка керамогранитная многоцветная неполированная, размер 400х400х9 мм</t>
        </is>
      </c>
      <c r="E190" s="274" t="inlineStr">
        <is>
          <t>м2</t>
        </is>
      </c>
      <c r="F190" s="182" t="n">
        <v>62.02</v>
      </c>
      <c r="G190" s="192" t="n">
        <v>140.45</v>
      </c>
      <c r="H190" s="186">
        <f>ROUND(F190*G190,2)</f>
        <v/>
      </c>
      <c r="I190" s="198">
        <f>H190/$H$150</f>
        <v/>
      </c>
      <c r="K190" s="196" t="n"/>
    </row>
    <row r="191">
      <c r="A191" s="180" t="n">
        <v>176</v>
      </c>
      <c r="B191" s="248" t="n"/>
      <c r="C191" s="182" t="inlineStr">
        <is>
          <t>01.2.03.03-0013</t>
        </is>
      </c>
      <c r="D191" s="183" t="inlineStr">
        <is>
          <t>Мастика битумная кровельная горячая</t>
        </is>
      </c>
      <c r="E191" s="274" t="inlineStr">
        <is>
          <t>т</t>
        </is>
      </c>
      <c r="F191" s="182" t="n">
        <v>2.484</v>
      </c>
      <c r="G191" s="192" t="n">
        <v>3390</v>
      </c>
      <c r="H191" s="186">
        <f>ROUND(F191*G191,2)</f>
        <v/>
      </c>
      <c r="I191" s="198">
        <f>H191/$H$150</f>
        <v/>
      </c>
      <c r="K191" s="196" t="n"/>
    </row>
    <row r="192">
      <c r="A192" s="180" t="n">
        <v>177</v>
      </c>
      <c r="B192" s="248" t="n"/>
      <c r="C192" s="182" t="inlineStr">
        <is>
          <t>12.2.03.08-0013</t>
        </is>
      </c>
      <c r="D192" s="183" t="inlineStr">
        <is>
          <t>Прокладки пробковые, размер 100х80х5 мм</t>
        </is>
      </c>
      <c r="E192" s="274" t="inlineStr">
        <is>
          <t>м2</t>
        </is>
      </c>
      <c r="F192" s="182" t="n">
        <v>55.39</v>
      </c>
      <c r="G192" s="192" t="n">
        <v>149.56</v>
      </c>
      <c r="H192" s="186">
        <f>ROUND(F192*G192,2)</f>
        <v/>
      </c>
      <c r="I192" s="198" t="n"/>
      <c r="K192" s="196" t="n"/>
    </row>
    <row r="193" ht="25.9" customHeight="1">
      <c r="A193" s="180" t="n">
        <v>178</v>
      </c>
      <c r="B193" s="248" t="n"/>
      <c r="C193" s="182" t="inlineStr">
        <is>
          <t>04.1.02.05-0031</t>
        </is>
      </c>
      <c r="D193" s="183" t="inlineStr">
        <is>
          <t>Смеси бетонные тяжелого бетона (БСТ), крупность заполнителя 10 мм, класс В30 (М400)</t>
        </is>
      </c>
      <c r="E193" s="274" t="inlineStr">
        <is>
          <t>м3</t>
        </is>
      </c>
      <c r="F193" s="182" t="n">
        <v>9.109</v>
      </c>
      <c r="G193" s="192" t="n">
        <v>900.35</v>
      </c>
      <c r="H193" s="186">
        <f>ROUND(F193*G193,2)</f>
        <v/>
      </c>
      <c r="I193" s="198" t="n"/>
    </row>
    <row r="194" ht="25.9" customHeight="1">
      <c r="A194" s="180" t="n">
        <v>179</v>
      </c>
      <c r="B194" s="248" t="n"/>
      <c r="C194" s="182" t="inlineStr">
        <is>
          <t>204-0024</t>
        </is>
      </c>
      <c r="D194" s="183" t="inlineStr">
        <is>
          <t>Горячекатаная арматурная сталь периодического профиля класса А-III, диаметром 16-18 мм</t>
        </is>
      </c>
      <c r="E194" s="274" t="inlineStr">
        <is>
          <t>т</t>
        </is>
      </c>
      <c r="F194" s="182" t="n">
        <v>0.9167999999999999</v>
      </c>
      <c r="G194" s="192" t="n">
        <v>7956.21</v>
      </c>
      <c r="H194" s="186">
        <f>ROUND(F194*G194,2)</f>
        <v/>
      </c>
      <c r="I194" s="198" t="n"/>
    </row>
    <row r="195">
      <c r="A195" s="180" t="n">
        <v>180</v>
      </c>
      <c r="B195" s="248" t="n"/>
      <c r="C195" s="182" t="inlineStr">
        <is>
          <t>504-0344</t>
        </is>
      </c>
      <c r="D195" s="183" t="inlineStr">
        <is>
          <t>Ящики управления, тип Я 5111 3174-3474 УХЛ4</t>
        </is>
      </c>
      <c r="E195" s="274" t="inlineStr">
        <is>
          <t>шт.</t>
        </is>
      </c>
      <c r="F195" s="182" t="n">
        <v>3</v>
      </c>
      <c r="G195" s="192" t="n">
        <v>2411.6</v>
      </c>
      <c r="H195" s="186">
        <f>ROUND(F195*G195,2)</f>
        <v/>
      </c>
      <c r="I195" s="198" t="n"/>
    </row>
    <row r="196" ht="25.9" customHeight="1">
      <c r="A196" s="180" t="n">
        <v>181</v>
      </c>
      <c r="B196" s="248" t="n"/>
      <c r="C196" s="182" t="inlineStr">
        <is>
          <t>401-0085</t>
        </is>
      </c>
      <c r="D196" s="183" t="inlineStr">
        <is>
          <t>Бетон тяжелый, крупность заполнителя 10 мм, класс В12,5 (М150)</t>
        </is>
      </c>
      <c r="E196" s="274" t="inlineStr">
        <is>
          <t>м3</t>
        </is>
      </c>
      <c r="F196" s="182" t="n">
        <v>11.749</v>
      </c>
      <c r="G196" s="192" t="n">
        <v>600</v>
      </c>
      <c r="H196" s="186">
        <f>ROUND(F196*G196,2)</f>
        <v/>
      </c>
      <c r="I196" s="198" t="n"/>
    </row>
    <row r="197" ht="25.9" customHeight="1">
      <c r="A197" s="180" t="n">
        <v>182</v>
      </c>
      <c r="B197" s="248" t="n"/>
      <c r="C197" s="182" t="inlineStr">
        <is>
          <t>101-4134</t>
        </is>
      </c>
      <c r="D197" s="183" t="inlineStr">
        <is>
          <t>Пленка подкровельная антиконденсатная (гидроизоляционная) типа ЮТАКОН</t>
        </is>
      </c>
      <c r="E197" s="274" t="inlineStr">
        <is>
          <t>м2</t>
        </is>
      </c>
      <c r="F197" s="182" t="n">
        <v>560.3</v>
      </c>
      <c r="G197" s="192" t="n">
        <v>12.37</v>
      </c>
      <c r="H197" s="186">
        <f>ROUND(F197*G197,2)</f>
        <v/>
      </c>
      <c r="I197" s="198" t="n"/>
    </row>
    <row r="198" ht="25.9" customHeight="1">
      <c r="A198" s="180" t="n">
        <v>183</v>
      </c>
      <c r="B198" s="248" t="n"/>
      <c r="C198" s="182" t="inlineStr">
        <is>
          <t>404-0005</t>
        </is>
      </c>
      <c r="D198" s="183" t="inlineStr">
        <is>
          <t>Кирпич керамический одинарный, размером 250х120х65 мм, марка 100</t>
        </is>
      </c>
      <c r="E198" s="274" t="inlineStr">
        <is>
          <t>1000 шт.</t>
        </is>
      </c>
      <c r="F198" s="182" t="n">
        <v>3.869</v>
      </c>
      <c r="G198" s="192" t="n">
        <v>1752.6</v>
      </c>
      <c r="H198" s="186">
        <f>ROUND(F198*G198,2)</f>
        <v/>
      </c>
      <c r="I198" s="198" t="n"/>
    </row>
    <row r="199">
      <c r="A199" s="180" t="n">
        <v>184</v>
      </c>
      <c r="B199" s="248" t="n"/>
      <c r="C199" s="182" t="inlineStr">
        <is>
          <t>113-0246</t>
        </is>
      </c>
      <c r="D199" s="183" t="inlineStr">
        <is>
          <t>Эмаль ПФ-115 серая</t>
        </is>
      </c>
      <c r="E199" s="274" t="inlineStr">
        <is>
          <t>т</t>
        </is>
      </c>
      <c r="F199" s="182" t="n">
        <v>0.457</v>
      </c>
      <c r="G199" s="192" t="n">
        <v>14312.87</v>
      </c>
      <c r="H199" s="186">
        <f>ROUND(F199*G199,2)</f>
        <v/>
      </c>
      <c r="I199" s="198" t="n"/>
    </row>
    <row r="200" ht="38.85" customHeight="1">
      <c r="A200" s="180" t="n">
        <v>185</v>
      </c>
      <c r="B200" s="248" t="n"/>
      <c r="C200" s="258" t="inlineStr">
        <is>
          <t>Прайс из СД ОП</t>
        </is>
      </c>
      <c r="D200" s="183" t="inlineStr">
        <is>
          <t>Дверь стальная утепленная одностворчатая "Эконом" 1000*2100(h), с фурнитурой, с доводчиком и порогом, RAL</t>
        </is>
      </c>
      <c r="E200" s="274" t="inlineStr">
        <is>
          <t>шт.</t>
        </is>
      </c>
      <c r="F200" s="182" t="n">
        <v>4</v>
      </c>
      <c r="G200" s="192" t="n">
        <v>1575.66</v>
      </c>
      <c r="H200" s="186">
        <f>ROUND(F200*G200,2)</f>
        <v/>
      </c>
      <c r="I200" s="198" t="n"/>
    </row>
    <row r="201">
      <c r="A201" s="180" t="n">
        <v>186</v>
      </c>
      <c r="B201" s="248" t="n"/>
      <c r="C201" s="182" t="inlineStr">
        <is>
          <t>101-2414</t>
        </is>
      </c>
      <c r="D201" s="183" t="inlineStr">
        <is>
          <t>Панели потолочные с комплектующими «Армстронг»</t>
        </is>
      </c>
      <c r="E201" s="274" t="inlineStr">
        <is>
          <t>м2</t>
        </is>
      </c>
      <c r="F201" s="182" t="n">
        <v>119.6</v>
      </c>
      <c r="G201" s="192" t="n">
        <v>51.8</v>
      </c>
      <c r="H201" s="186">
        <f>ROUND(F201*G201,2)</f>
        <v/>
      </c>
      <c r="I201" s="198" t="n"/>
    </row>
    <row r="202">
      <c r="A202" s="180" t="n">
        <v>187</v>
      </c>
      <c r="B202" s="248" t="n"/>
      <c r="C202" s="182" t="inlineStr">
        <is>
          <t>101-3333</t>
        </is>
      </c>
      <c r="D202" s="183" t="inlineStr">
        <is>
          <t>Грунтовка «Ризопокс-1100»</t>
        </is>
      </c>
      <c r="E202" s="274" t="inlineStr">
        <is>
          <t>т</t>
        </is>
      </c>
      <c r="F202" s="182" t="n">
        <v>0.1391</v>
      </c>
      <c r="G202" s="192" t="n">
        <v>44408</v>
      </c>
      <c r="H202" s="186">
        <f>ROUND(F202*G202,2)</f>
        <v/>
      </c>
      <c r="I202" s="198" t="n"/>
    </row>
    <row r="203" ht="25.9" customHeight="1">
      <c r="A203" s="180" t="n">
        <v>188</v>
      </c>
      <c r="B203" s="248" t="n"/>
      <c r="C203" s="182" t="inlineStr">
        <is>
          <t>301-1531</t>
        </is>
      </c>
      <c r="D203" s="183" t="inlineStr">
        <is>
          <t>Кабина душевая 800х800х1935 мм с чугунным поддоном</t>
        </is>
      </c>
      <c r="E203" s="274" t="inlineStr">
        <is>
          <t>компл.</t>
        </is>
      </c>
      <c r="F203" s="182" t="n">
        <v>1</v>
      </c>
      <c r="G203" s="192" t="n">
        <v>6150</v>
      </c>
      <c r="H203" s="186">
        <f>ROUND(F203*G203,2)</f>
        <v/>
      </c>
      <c r="I203" s="198" t="n"/>
    </row>
    <row r="204">
      <c r="A204" s="180" t="n">
        <v>189</v>
      </c>
      <c r="B204" s="248" t="n"/>
      <c r="C204" s="182" t="inlineStr">
        <is>
          <t>101-1958</t>
        </is>
      </c>
      <c r="D204" s="183" t="inlineStr">
        <is>
          <t>Клей гипсовый сухой монтажный</t>
        </is>
      </c>
      <c r="E204" s="274" t="inlineStr">
        <is>
          <t>т</t>
        </is>
      </c>
      <c r="F204" s="182" t="n">
        <v>1.3493</v>
      </c>
      <c r="G204" s="192" t="n">
        <v>4480.85</v>
      </c>
      <c r="H204" s="186">
        <f>ROUND(F204*G204,2)</f>
        <v/>
      </c>
      <c r="I204" s="198" t="n"/>
    </row>
    <row r="205" ht="25.9" customHeight="1">
      <c r="A205" s="180" t="n">
        <v>190</v>
      </c>
      <c r="B205" s="248" t="n"/>
      <c r="C205" s="182" t="inlineStr">
        <is>
          <t>101-0603</t>
        </is>
      </c>
      <c r="D205" s="183" t="inlineStr">
        <is>
          <t>Мастика герметизирующая нетвердеющая «Бутэпрол-2М»</t>
        </is>
      </c>
      <c r="E205" s="274" t="inlineStr">
        <is>
          <t>т</t>
        </is>
      </c>
      <c r="F205" s="182" t="n">
        <v>0.3456</v>
      </c>
      <c r="G205" s="192" t="n">
        <v>17183</v>
      </c>
      <c r="H205" s="186">
        <f>ROUND(F205*G205,2)</f>
        <v/>
      </c>
      <c r="I205" s="198" t="n"/>
    </row>
    <row r="206" ht="25.9" customHeight="1">
      <c r="A206" s="180" t="n">
        <v>191</v>
      </c>
      <c r="B206" s="248" t="n"/>
      <c r="C206" s="258" t="inlineStr">
        <is>
          <t>Прайс из СД ОП</t>
        </is>
      </c>
      <c r="D206" s="183" t="inlineStr">
        <is>
          <t>Клапан огнезадерживающий с электроприводом КПУ-2 Д-Н-630-2*Ф1-BLF 230-CH</t>
        </is>
      </c>
      <c r="E206" s="274" t="inlineStr">
        <is>
          <t>шт.</t>
        </is>
      </c>
      <c r="F206" s="182" t="n">
        <v>3</v>
      </c>
      <c r="G206" s="192" t="n">
        <v>1972.29</v>
      </c>
      <c r="H206" s="186">
        <f>ROUND(F206*G206,2)</f>
        <v/>
      </c>
      <c r="I206" s="198" t="n"/>
    </row>
    <row r="207" ht="25.9" customHeight="1">
      <c r="A207" s="180" t="n">
        <v>192</v>
      </c>
      <c r="B207" s="248" t="n"/>
      <c r="C207" s="182" t="inlineStr">
        <is>
          <t>101-1596</t>
        </is>
      </c>
      <c r="D207" s="183" t="inlineStr">
        <is>
          <t>Шкурка шлифовальная двухслойная с зернистостью 40-25</t>
        </is>
      </c>
      <c r="E207" s="274" t="inlineStr">
        <is>
          <t>м2</t>
        </is>
      </c>
      <c r="F207" s="182" t="n">
        <v>81.7226</v>
      </c>
      <c r="G207" s="192" t="n">
        <v>72.31999999999999</v>
      </c>
      <c r="H207" s="186">
        <f>ROUND(F207*G207,2)</f>
        <v/>
      </c>
      <c r="I207" s="198" t="n"/>
    </row>
    <row r="208" ht="25.9" customHeight="1">
      <c r="A208" s="180" t="n">
        <v>193</v>
      </c>
      <c r="B208" s="248" t="n"/>
      <c r="C208" s="182" t="inlineStr">
        <is>
          <t>301-8427</t>
        </is>
      </c>
      <c r="D208" s="183" t="inlineStr">
        <is>
          <t>Электронагреватель Pahlen с датчиком давления мощностью 15 кВт</t>
        </is>
      </c>
      <c r="E208" s="274" t="inlineStr">
        <is>
          <t>шт.</t>
        </is>
      </c>
      <c r="F208" s="182" t="n">
        <v>1</v>
      </c>
      <c r="G208" s="192" t="n">
        <v>5836.81</v>
      </c>
      <c r="H208" s="186">
        <f>ROUND(F208*G208,2)</f>
        <v/>
      </c>
      <c r="I208" s="198" t="n"/>
    </row>
    <row r="209" ht="25.9" customHeight="1">
      <c r="A209" s="180" t="n">
        <v>194</v>
      </c>
      <c r="B209" s="248" t="n"/>
      <c r="C209" s="182" t="inlineStr">
        <is>
          <t>101-2409</t>
        </is>
      </c>
      <c r="D209" s="183" t="inlineStr">
        <is>
          <t>Аквилон из оцинкованной стали с полимерным покрытием</t>
        </is>
      </c>
      <c r="E209" s="274" t="inlineStr">
        <is>
          <t>п.м</t>
        </is>
      </c>
      <c r="F209" s="182" t="n">
        <v>170.33</v>
      </c>
      <c r="G209" s="192" t="n">
        <v>31.05</v>
      </c>
      <c r="H209" s="186">
        <f>ROUND(F209*G209,2)</f>
        <v/>
      </c>
      <c r="I209" s="198" t="n"/>
    </row>
    <row r="210" ht="25.9" customHeight="1">
      <c r="A210" s="180" t="n">
        <v>195</v>
      </c>
      <c r="B210" s="248" t="n"/>
      <c r="C210" s="182" t="inlineStr">
        <is>
          <t>301-6708</t>
        </is>
      </c>
      <c r="D210" s="183" t="inlineStr">
        <is>
          <t>Шумоглушители для круглых воздуховодов марки CSA-400/900 АРКТОС</t>
        </is>
      </c>
      <c r="E210" s="274" t="inlineStr">
        <is>
          <t>шт.</t>
        </is>
      </c>
      <c r="F210" s="182" t="n">
        <v>3</v>
      </c>
      <c r="G210" s="192" t="n">
        <v>1738.86</v>
      </c>
      <c r="H210" s="186">
        <f>ROUND(F210*G210,2)</f>
        <v/>
      </c>
      <c r="I210" s="198" t="n"/>
    </row>
    <row r="211" ht="25.9" customFormat="1" customHeight="1" s="179">
      <c r="A211" s="180" t="n">
        <v>196</v>
      </c>
      <c r="B211" s="248" t="n"/>
      <c r="C211" s="182" t="inlineStr">
        <is>
          <t>103-2460</t>
        </is>
      </c>
      <c r="D211" s="183" t="inlineStr">
        <is>
          <t>Трубы гибкие гофрированные тяжелые из ПНД, серии BH, диаметром 25 мм</t>
        </is>
      </c>
      <c r="E211" s="274" t="inlineStr">
        <is>
          <t>10 м</t>
        </is>
      </c>
      <c r="F211" s="182" t="n">
        <v>61.71</v>
      </c>
      <c r="G211" s="192" t="n">
        <v>79.23</v>
      </c>
      <c r="H211" s="186">
        <f>ROUND(F211*G211,2)</f>
        <v/>
      </c>
      <c r="I211" s="198" t="n"/>
    </row>
    <row r="212">
      <c r="A212" s="180" t="n">
        <v>197</v>
      </c>
      <c r="B212" s="248" t="n"/>
      <c r="C212" s="182" t="inlineStr">
        <is>
          <t>113-0021</t>
        </is>
      </c>
      <c r="D212" s="183" t="inlineStr">
        <is>
          <t>Грунтовка ГФ-021 красно-коричневая</t>
        </is>
      </c>
      <c r="E212" s="274" t="inlineStr">
        <is>
          <t>т</t>
        </is>
      </c>
      <c r="F212" s="182" t="n">
        <v>0.3099</v>
      </c>
      <c r="G212" s="192" t="n">
        <v>15620</v>
      </c>
      <c r="H212" s="186">
        <f>ROUND(F212*G212,2)</f>
        <v/>
      </c>
      <c r="I212" s="198" t="n"/>
    </row>
    <row r="213">
      <c r="A213" s="180" t="n">
        <v>198</v>
      </c>
      <c r="B213" s="248" t="n"/>
      <c r="C213" s="182" t="inlineStr">
        <is>
          <t>Общ.указания к ФССЦ</t>
        </is>
      </c>
      <c r="D213" s="183" t="inlineStr">
        <is>
          <t>Надбавка на водонепроницаемость W4</t>
        </is>
      </c>
      <c r="E213" s="274" t="inlineStr">
        <is>
          <t>м3</t>
        </is>
      </c>
      <c r="F213" s="182" t="n">
        <v>8.121</v>
      </c>
      <c r="G213" s="192" t="n">
        <v>588.5</v>
      </c>
      <c r="H213" s="186">
        <f>ROUND(F213*G213,2)</f>
        <v/>
      </c>
      <c r="I213" s="198" t="n"/>
      <c r="K213" s="196" t="n"/>
    </row>
    <row r="214" ht="51.6" customHeight="1">
      <c r="A214" s="180" t="n">
        <v>199</v>
      </c>
      <c r="B214" s="248" t="n"/>
      <c r="C214" s="258" t="inlineStr">
        <is>
          <t>Прайс из СД ОП</t>
        </is>
      </c>
      <c r="D214" s="183" t="inlineStr">
        <is>
          <t>Светильник светодиодный встраиваемый 45Вт( Кмат=6,63 - пересчет в цены 2000 г. - ФЕР - Респ.Карелия (г.Петрозаводск). (Письмо МР на 4 кв. 2013 г. № 21331-СД/10 от 12.11.13 г.))</t>
        </is>
      </c>
      <c r="E214" s="274" t="inlineStr">
        <is>
          <t>шт.</t>
        </is>
      </c>
      <c r="F214" s="182" t="n">
        <v>6</v>
      </c>
      <c r="G214" s="192" t="n">
        <v>795.4299999999999</v>
      </c>
      <c r="H214" s="186">
        <f>ROUND(F214*G214,2)</f>
        <v/>
      </c>
      <c r="I214" s="198" t="n"/>
      <c r="K214" s="196" t="n"/>
    </row>
    <row r="215" ht="51.6" customHeight="1">
      <c r="A215" s="180" t="n">
        <v>200</v>
      </c>
      <c r="B215" s="248" t="n"/>
      <c r="C215" s="258" t="inlineStr">
        <is>
          <t>Прайс из СД ОП</t>
        </is>
      </c>
      <c r="D215" s="183" t="inlineStr">
        <is>
          <t>Решетки металлические раздвижные размер 1200х1200(h), пофиль,15х15х1,5 мм, покрытие-термонапыление, цвет белый, петли, проушины под замок, крепеж.</t>
        </is>
      </c>
      <c r="E215" s="274" t="inlineStr">
        <is>
          <t>шт.</t>
        </is>
      </c>
      <c r="F215" s="182" t="n">
        <v>7</v>
      </c>
      <c r="G215" s="192" t="n">
        <v>664.67</v>
      </c>
      <c r="H215" s="186">
        <f>ROUND(F215*G215,2)</f>
        <v/>
      </c>
      <c r="I215" s="198" t="n"/>
      <c r="K215" s="196" t="n"/>
    </row>
    <row r="216">
      <c r="A216" s="180" t="n">
        <v>201</v>
      </c>
      <c r="B216" s="248" t="n"/>
      <c r="C216" s="182" t="inlineStr">
        <is>
          <t>504-0343</t>
        </is>
      </c>
      <c r="D216" s="183" t="inlineStr">
        <is>
          <t>Ящики управления, тип Я 5111 1874-3074 УХЛ4</t>
        </is>
      </c>
      <c r="E216" s="274" t="inlineStr">
        <is>
          <t>шт.</t>
        </is>
      </c>
      <c r="F216" s="182" t="n">
        <v>2</v>
      </c>
      <c r="G216" s="192" t="n">
        <v>2298.03</v>
      </c>
      <c r="H216" s="186">
        <f>ROUND(F216*G216,2)</f>
        <v/>
      </c>
      <c r="I216" s="198" t="n"/>
    </row>
    <row r="217" ht="25.9" customHeight="1">
      <c r="A217" s="180" t="n">
        <v>202</v>
      </c>
      <c r="B217" s="248" t="n"/>
      <c r="C217" s="182" t="inlineStr">
        <is>
          <t>104-0009</t>
        </is>
      </c>
      <c r="D217" s="183" t="inlineStr">
        <is>
          <t>Маты прошивные из минеральной ваты без обкладок М-100, толщина 60 мм</t>
        </is>
      </c>
      <c r="E217" s="274" t="inlineStr">
        <is>
          <t>м3</t>
        </is>
      </c>
      <c r="F217" s="182" t="n">
        <v>8.301</v>
      </c>
      <c r="G217" s="192" t="n">
        <v>542.4</v>
      </c>
      <c r="H217" s="186">
        <f>ROUND(F217*G217,2)</f>
        <v/>
      </c>
      <c r="I217" s="198" t="n"/>
    </row>
    <row r="218" ht="25.9" customHeight="1">
      <c r="A218" s="180" t="n">
        <v>203</v>
      </c>
      <c r="B218" s="248" t="n"/>
      <c r="C218" s="182" t="inlineStr">
        <is>
          <t>301-1790</t>
        </is>
      </c>
      <c r="D218" s="183" t="inlineStr">
        <is>
          <t>Воздуховоды из оцинкованной стали толщиной 0,6 мм, диаметром до 450 мм</t>
        </is>
      </c>
      <c r="E218" s="274" t="inlineStr">
        <is>
          <t>м2</t>
        </is>
      </c>
      <c r="F218" s="182" t="n">
        <v>53.5</v>
      </c>
      <c r="G218" s="192" t="n">
        <v>84.05</v>
      </c>
      <c r="H218" s="186">
        <f>ROUND(F218*G218,2)</f>
        <v/>
      </c>
      <c r="I218" s="198" t="n"/>
    </row>
    <row r="219" ht="25.9" customHeight="1">
      <c r="A219" s="180" t="n">
        <v>204</v>
      </c>
      <c r="B219" s="248" t="n"/>
      <c r="C219" s="182" t="inlineStr">
        <is>
          <t>101-0862</t>
        </is>
      </c>
      <c r="D219" s="183" t="inlineStr">
        <is>
          <t>Стеклорубероид кровельный с крупнозернистой посыпкой С-РК</t>
        </is>
      </c>
      <c r="E219" s="274" t="inlineStr">
        <is>
          <t>м2</t>
        </is>
      </c>
      <c r="F219" s="182" t="n">
        <v>396</v>
      </c>
      <c r="G219" s="192" t="n">
        <v>11.07</v>
      </c>
      <c r="H219" s="186">
        <f>ROUND(F219*G219,2)</f>
        <v/>
      </c>
      <c r="I219" s="198" t="n"/>
    </row>
    <row r="220" ht="25.9" customHeight="1">
      <c r="A220" s="180" t="n">
        <v>205</v>
      </c>
      <c r="B220" s="248" t="n"/>
      <c r="C220" s="182" t="inlineStr">
        <is>
          <t>301-1786</t>
        </is>
      </c>
      <c r="D220" s="183" t="inlineStr">
        <is>
          <t>Воздуховоды из оцинкованной стали толщиной 0,5 мм, диаметром до 200 мм</t>
        </is>
      </c>
      <c r="E220" s="274" t="inlineStr">
        <is>
          <t>м2</t>
        </is>
      </c>
      <c r="F220" s="182" t="n">
        <v>43.5</v>
      </c>
      <c r="G220" s="192" t="n">
        <v>96.29000000000001</v>
      </c>
      <c r="H220" s="186">
        <f>ROUND(F220*G220,2)</f>
        <v/>
      </c>
      <c r="I220" s="198" t="n"/>
    </row>
    <row r="221" ht="25.9" customHeight="1">
      <c r="A221" s="180" t="n">
        <v>206</v>
      </c>
      <c r="B221" s="248" t="n"/>
      <c r="C221" s="182" t="inlineStr">
        <is>
          <t>203-0223</t>
        </is>
      </c>
      <c r="D221" s="183" t="inlineStr">
        <is>
          <t>Блоки дверные с рамочными полотнами однопольные ДН 21-10, площадь 2,05 м2; ДН 24-10, площадь 2,35 м2</t>
        </is>
      </c>
      <c r="E221" s="274" t="inlineStr">
        <is>
          <t>м2</t>
        </is>
      </c>
      <c r="F221" s="182" t="n">
        <v>19.95</v>
      </c>
      <c r="G221" s="192" t="n">
        <v>207</v>
      </c>
      <c r="H221" s="186">
        <f>ROUND(F221*G221,2)</f>
        <v/>
      </c>
      <c r="I221" s="198" t="n"/>
    </row>
    <row r="222" ht="25.9" customHeight="1">
      <c r="A222" s="180" t="n">
        <v>207</v>
      </c>
      <c r="B222" s="248" t="n"/>
      <c r="C222" s="182" t="inlineStr">
        <is>
          <t>204-0036</t>
        </is>
      </c>
      <c r="D222" s="183" t="inlineStr">
        <is>
          <t>Надбавки к ценам заготовок за сборку и сварку каркасов и сеток плоских, диаметром 10 мм</t>
        </is>
      </c>
      <c r="E222" s="274" t="inlineStr">
        <is>
          <t>т</t>
        </is>
      </c>
      <c r="F222" s="182" t="n">
        <v>2.9083</v>
      </c>
      <c r="G222" s="192" t="n">
        <v>1419.1</v>
      </c>
      <c r="H222" s="186">
        <f>ROUND(F222*G222,2)</f>
        <v/>
      </c>
      <c r="I222" s="198" t="n"/>
    </row>
    <row r="223" ht="25.9" customHeight="1">
      <c r="A223" s="180" t="n">
        <v>208</v>
      </c>
      <c r="B223" s="248" t="n"/>
      <c r="C223" s="258" t="inlineStr">
        <is>
          <t>Прайс из СД ОП</t>
        </is>
      </c>
      <c r="D223" s="183" t="inlineStr">
        <is>
          <t>Устройство Дроппер с вентилятором для удаления выхлопных газов DPF-125-3</t>
        </is>
      </c>
      <c r="E223" s="274" t="inlineStr">
        <is>
          <t>шт</t>
        </is>
      </c>
      <c r="F223" s="182" t="n">
        <v>1</v>
      </c>
      <c r="G223" s="192" t="n">
        <v>4058.82</v>
      </c>
      <c r="H223" s="186">
        <f>ROUND(F223*G223,2)</f>
        <v/>
      </c>
      <c r="I223" s="198" t="n"/>
    </row>
    <row r="224">
      <c r="A224" s="180" t="n">
        <v>209</v>
      </c>
      <c r="B224" s="248" t="n"/>
      <c r="C224" s="182" t="inlineStr">
        <is>
          <t>101-1529</t>
        </is>
      </c>
      <c r="D224" s="183" t="inlineStr">
        <is>
          <t>Электроды диаметром 6 мм Э42</t>
        </is>
      </c>
      <c r="E224" s="274" t="inlineStr">
        <is>
          <t>т</t>
        </is>
      </c>
      <c r="F224" s="182" t="n">
        <v>0.4278</v>
      </c>
      <c r="G224" s="192" t="n">
        <v>9424</v>
      </c>
      <c r="H224" s="186">
        <f>ROUND(F224*G224,2)</f>
        <v/>
      </c>
      <c r="I224" s="198" t="n"/>
    </row>
    <row r="225" ht="25.9" customHeight="1">
      <c r="A225" s="180" t="n">
        <v>210</v>
      </c>
      <c r="B225" s="248" t="n"/>
      <c r="C225" s="182" t="inlineStr">
        <is>
          <t>301-1805</t>
        </is>
      </c>
      <c r="D225" s="183" t="inlineStr">
        <is>
          <t>Воздуховоды из листовой стали толщиной 1,5 мм, диаметром до 800 мм</t>
        </is>
      </c>
      <c r="E225" s="274" t="inlineStr">
        <is>
          <t>м2</t>
        </is>
      </c>
      <c r="F225" s="182" t="n">
        <v>36</v>
      </c>
      <c r="G225" s="192" t="n">
        <v>105.48</v>
      </c>
      <c r="H225" s="186">
        <f>ROUND(F225*G225,2)</f>
        <v/>
      </c>
      <c r="I225" s="198" t="n"/>
      <c r="K225" s="196" t="n"/>
    </row>
    <row r="226" ht="25.9" customHeight="1">
      <c r="A226" s="180" t="n">
        <v>211</v>
      </c>
      <c r="B226" s="248" t="n"/>
      <c r="C226" s="182" t="inlineStr">
        <is>
          <t>101-0562</t>
        </is>
      </c>
      <c r="D226" s="183" t="inlineStr">
        <is>
          <t>Линолеум поливинилхлоридный на теплоизолирующей подоснове марок ПР-ВТ, ВК-ВТ, ЭК-ВТ</t>
        </is>
      </c>
      <c r="E226" s="274" t="inlineStr">
        <is>
          <t>м2</t>
        </is>
      </c>
      <c r="F226" s="182" t="n">
        <v>56</v>
      </c>
      <c r="G226" s="192" t="n">
        <v>67.8</v>
      </c>
      <c r="H226" s="186">
        <f>ROUND(F226*G226,2)</f>
        <v/>
      </c>
      <c r="I226" s="198" t="n"/>
    </row>
    <row r="227" ht="25.9" customFormat="1" customHeight="1" s="179">
      <c r="A227" s="180" t="n">
        <v>212</v>
      </c>
      <c r="B227" s="248" t="n"/>
      <c r="C227" s="182" t="inlineStr">
        <is>
          <t>19.2.03.02-0101</t>
        </is>
      </c>
      <c r="D227" s="183" t="inlineStr">
        <is>
          <t>Решетки вентиляционные алюминиевые "АРКТОС" типа: АМН, размером 300х1000 мм</t>
        </is>
      </c>
      <c r="E227" s="274" t="inlineStr">
        <is>
          <t>шт</t>
        </is>
      </c>
      <c r="F227" s="182" t="n">
        <v>13</v>
      </c>
      <c r="G227" s="192" t="n">
        <v>289.92</v>
      </c>
      <c r="H227" s="186">
        <f>ROUND(F227*G227,2)</f>
        <v/>
      </c>
      <c r="I227" s="198" t="n"/>
    </row>
    <row r="228" ht="25.9" customHeight="1">
      <c r="A228" s="180" t="n">
        <v>213</v>
      </c>
      <c r="B228" s="248" t="n"/>
      <c r="C228" s="182" t="inlineStr">
        <is>
          <t>102-0291</t>
        </is>
      </c>
      <c r="D228" s="183" t="inlineStr">
        <is>
          <t>Бруски деревянные пропитанные длиной 1 м и более, шириной 40-75 мм, толщиной 22-32 мм, I сорта</t>
        </is>
      </c>
      <c r="E228" s="274" t="inlineStr">
        <is>
          <t>м3</t>
        </is>
      </c>
      <c r="F228" s="182" t="n">
        <v>2.222</v>
      </c>
      <c r="G228" s="192" t="n">
        <v>1631.22</v>
      </c>
      <c r="H228" s="186">
        <f>ROUND(F228*G228,2)</f>
        <v/>
      </c>
      <c r="I228" s="198" t="n"/>
      <c r="K228" s="196" t="n"/>
    </row>
    <row r="229">
      <c r="A229" s="180" t="n">
        <v>214</v>
      </c>
      <c r="B229" s="248" t="n"/>
      <c r="C229" s="182" t="inlineStr">
        <is>
          <t>101-2548</t>
        </is>
      </c>
      <c r="D229" s="183" t="inlineStr">
        <is>
          <t>Сталь полосовая 40х4 мм</t>
        </is>
      </c>
      <c r="E229" s="274" t="inlineStr">
        <is>
          <t>т</t>
        </is>
      </c>
      <c r="F229" s="182" t="n">
        <v>0.5921999999999999</v>
      </c>
      <c r="G229" s="192" t="n">
        <v>6100</v>
      </c>
      <c r="H229" s="186">
        <f>ROUND(F229*G229,2)</f>
        <v/>
      </c>
      <c r="I229" s="198" t="n"/>
      <c r="K229" s="196" t="n"/>
    </row>
    <row r="230" ht="51.6" customHeight="1">
      <c r="A230" s="180" t="n">
        <v>215</v>
      </c>
      <c r="B230" s="248" t="n"/>
      <c r="C230" s="182" t="inlineStr">
        <is>
          <t>201-0777</t>
        </is>
      </c>
      <c r="D230" s="183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30" s="274" t="inlineStr">
        <is>
          <t>т</t>
        </is>
      </c>
      <c r="F230" s="182" t="n">
        <v>0.357</v>
      </c>
      <c r="G230" s="192" t="n">
        <v>10045</v>
      </c>
      <c r="H230" s="186">
        <f>ROUND(F230*G230,2)</f>
        <v/>
      </c>
      <c r="I230" s="198" t="n"/>
    </row>
    <row r="231" ht="38.85" customHeight="1">
      <c r="A231" s="180" t="n">
        <v>216</v>
      </c>
      <c r="B231" s="248" t="n"/>
      <c r="C231" s="182" t="inlineStr">
        <is>
          <t>302-0895</t>
        </is>
      </c>
      <c r="D231" s="183" t="inlineStr">
        <is>
          <t>Узлы укрупненные монтажные (трубопроводы) из стальных водогазопроводных оцинкованных труб с гильзами диаметром 100 мм</t>
        </is>
      </c>
      <c r="E231" s="274" t="inlineStr">
        <is>
          <t>м</t>
        </is>
      </c>
      <c r="F231" s="182" t="n">
        <v>32</v>
      </c>
      <c r="G231" s="192" t="n">
        <v>109.74</v>
      </c>
      <c r="H231" s="186">
        <f>ROUND(F231*G231,2)</f>
        <v/>
      </c>
      <c r="I231" s="198" t="n"/>
    </row>
    <row r="232">
      <c r="A232" s="180" t="n">
        <v>217</v>
      </c>
      <c r="B232" s="248" t="n"/>
      <c r="C232" s="182" t="inlineStr">
        <is>
          <t>101-1515</t>
        </is>
      </c>
      <c r="D232" s="183" t="inlineStr">
        <is>
          <t>Электроды диаметром 4 мм Э46</t>
        </is>
      </c>
      <c r="E232" s="274" t="inlineStr">
        <is>
          <t>т</t>
        </is>
      </c>
      <c r="F232" s="182" t="n">
        <v>0.3184</v>
      </c>
      <c r="G232" s="192" t="n">
        <v>10749</v>
      </c>
      <c r="H232" s="186">
        <f>ROUND(F232*G232,2)</f>
        <v/>
      </c>
      <c r="I232" s="198" t="n"/>
    </row>
    <row r="233">
      <c r="A233" s="180" t="n">
        <v>218</v>
      </c>
      <c r="B233" s="248" t="n"/>
      <c r="C233" s="182" t="inlineStr">
        <is>
          <t>402-0005</t>
        </is>
      </c>
      <c r="D233" s="183" t="inlineStr">
        <is>
          <t>Раствор готовый кладочный цементный марки 150</t>
        </is>
      </c>
      <c r="E233" s="274" t="inlineStr">
        <is>
          <t>м3</t>
        </is>
      </c>
      <c r="F233" s="182" t="n">
        <v>6.2258</v>
      </c>
      <c r="G233" s="192" t="n">
        <v>548.3</v>
      </c>
      <c r="H233" s="186">
        <f>ROUND(F233*G233,2)</f>
        <v/>
      </c>
      <c r="I233" s="198" t="n"/>
    </row>
    <row r="234">
      <c r="A234" s="180" t="n">
        <v>219</v>
      </c>
      <c r="B234" s="248" t="n"/>
      <c r="C234" s="258" t="inlineStr">
        <is>
          <t>Прайс из СД ОП</t>
        </is>
      </c>
      <c r="D234" s="183" t="inlineStr">
        <is>
          <t>Электропривод ASO-R08.F8Nm</t>
        </is>
      </c>
      <c r="E234" s="274" t="inlineStr">
        <is>
          <t>шт.</t>
        </is>
      </c>
      <c r="F234" s="182" t="n">
        <v>2</v>
      </c>
      <c r="G234" s="192" t="n">
        <v>1702.84</v>
      </c>
      <c r="H234" s="186">
        <f>ROUND(F234*G234,2)</f>
        <v/>
      </c>
      <c r="I234" s="198" t="n"/>
    </row>
    <row r="235">
      <c r="A235" s="180" t="n">
        <v>220</v>
      </c>
      <c r="B235" s="248" t="n"/>
      <c r="C235" s="258" t="inlineStr">
        <is>
          <t>Прайс из СД ОП</t>
        </is>
      </c>
      <c r="D235" s="183" t="inlineStr">
        <is>
          <t>Шумоглушитель ПШГ 500*300/1000-3*100М</t>
        </is>
      </c>
      <c r="E235" s="274" t="inlineStr">
        <is>
          <t>шт.</t>
        </is>
      </c>
      <c r="F235" s="182" t="n">
        <v>2</v>
      </c>
      <c r="G235" s="192" t="n">
        <v>1635.93</v>
      </c>
      <c r="H235" s="186">
        <f>ROUND(F235*G235,2)</f>
        <v/>
      </c>
      <c r="I235" s="198" t="n"/>
    </row>
    <row r="236" ht="25.9" customHeight="1">
      <c r="A236" s="180" t="n">
        <v>221</v>
      </c>
      <c r="B236" s="248" t="n"/>
      <c r="C236" s="182" t="inlineStr">
        <is>
          <t>408-0021</t>
        </is>
      </c>
      <c r="D236" s="183" t="inlineStr">
        <is>
          <t>Щебень из природного камня для строительных работ марка 400, фракция 5(3)-10 мм</t>
        </is>
      </c>
      <c r="E236" s="274" t="inlineStr">
        <is>
          <t>м3</t>
        </is>
      </c>
      <c r="F236" s="182" t="n">
        <v>24.31</v>
      </c>
      <c r="G236" s="192" t="n">
        <v>131.08</v>
      </c>
      <c r="H236" s="186">
        <f>ROUND(F236*G236,2)</f>
        <v/>
      </c>
      <c r="I236" s="198" t="n"/>
    </row>
    <row r="237">
      <c r="A237" s="180" t="n">
        <v>222</v>
      </c>
      <c r="B237" s="248" t="n"/>
      <c r="C237" s="258" t="inlineStr">
        <is>
          <t>Прайс из СД ОП</t>
        </is>
      </c>
      <c r="D237" s="183" t="inlineStr">
        <is>
          <t>Светильник светодиодный встраиваемый 45Вт</t>
        </is>
      </c>
      <c r="E237" s="274" t="inlineStr">
        <is>
          <t>шт.</t>
        </is>
      </c>
      <c r="F237" s="182" t="n">
        <v>4</v>
      </c>
      <c r="G237" s="192" t="n">
        <v>795.4299999999999</v>
      </c>
      <c r="H237" s="186">
        <f>ROUND(F237*G237,2)</f>
        <v/>
      </c>
      <c r="I237" s="198" t="n"/>
    </row>
    <row r="238" ht="38.85" customHeight="1">
      <c r="A238" s="180" t="n">
        <v>223</v>
      </c>
      <c r="B238" s="248" t="n"/>
      <c r="C238" s="182" t="inlineStr">
        <is>
          <t>12.1.01.05-0031</t>
        </is>
      </c>
      <c r="D238" s="183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E238" s="274" t="inlineStr">
        <is>
          <t>шт.</t>
        </is>
      </c>
      <c r="F238" s="182" t="n">
        <v>21.8493</v>
      </c>
      <c r="G238" s="192" t="n">
        <v>144.34</v>
      </c>
      <c r="H238" s="186">
        <f>ROUND(F238*G238,2)</f>
        <v/>
      </c>
      <c r="I238" s="198" t="n"/>
    </row>
    <row r="239">
      <c r="A239" s="180" t="n">
        <v>224</v>
      </c>
      <c r="B239" s="248" t="n"/>
      <c r="C239" s="182" t="inlineStr">
        <is>
          <t>401-0012</t>
        </is>
      </c>
      <c r="D239" s="183" t="inlineStr">
        <is>
          <t>Бетон тяжелый, класс В35 (М450)</t>
        </is>
      </c>
      <c r="E239" s="274" t="inlineStr">
        <is>
          <t>м3</t>
        </is>
      </c>
      <c r="F239" s="182" t="n">
        <v>3.264</v>
      </c>
      <c r="G239" s="192" t="n">
        <v>963.73</v>
      </c>
      <c r="H239" s="186">
        <f>ROUND(F239*G239,2)</f>
        <v/>
      </c>
      <c r="I239" s="198" t="n"/>
    </row>
    <row r="240" customFormat="1" s="179">
      <c r="A240" s="180" t="n">
        <v>225</v>
      </c>
      <c r="B240" s="248" t="n"/>
      <c r="C240" s="182" t="inlineStr">
        <is>
          <t>101-3594</t>
        </is>
      </c>
      <c r="D240" s="183" t="inlineStr">
        <is>
          <t>Лента полиэтиленовая с липким слоем А50</t>
        </is>
      </c>
      <c r="E240" s="274" t="inlineStr">
        <is>
          <t>кг</t>
        </is>
      </c>
      <c r="F240" s="182" t="n">
        <v>28.084</v>
      </c>
      <c r="G240" s="192" t="n">
        <v>112</v>
      </c>
      <c r="H240" s="186">
        <f>ROUND(F240*G240,2)</f>
        <v/>
      </c>
      <c r="I240" s="198" t="n"/>
    </row>
    <row r="241" ht="38.85" customHeight="1">
      <c r="A241" s="180" t="n">
        <v>226</v>
      </c>
      <c r="B241" s="248" t="n"/>
      <c r="C241" s="182" t="inlineStr">
        <is>
          <t>204-0059</t>
        </is>
      </c>
      <c r="D241" s="18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41" s="274" t="inlineStr">
        <is>
          <t>т</t>
        </is>
      </c>
      <c r="F241" s="182" t="n">
        <v>0.3054</v>
      </c>
      <c r="G241" s="192" t="n">
        <v>10100</v>
      </c>
      <c r="H241" s="186">
        <f>ROUND(F241*G241,2)</f>
        <v/>
      </c>
      <c r="I241" s="198" t="n"/>
    </row>
    <row r="242" ht="25.9" customHeight="1">
      <c r="A242" s="180" t="n">
        <v>227</v>
      </c>
      <c r="B242" s="248" t="n"/>
      <c r="C242" s="182" t="inlineStr">
        <is>
          <t>101-2410</t>
        </is>
      </c>
      <c r="D242" s="183" t="inlineStr">
        <is>
          <t>Откосная планка шириной 250 мм из оцинкованной стали с полимерным покрытием</t>
        </is>
      </c>
      <c r="E242" s="274" t="inlineStr">
        <is>
          <t>п.м</t>
        </is>
      </c>
      <c r="F242" s="182" t="n">
        <v>143.03</v>
      </c>
      <c r="G242" s="192" t="n">
        <v>21.05</v>
      </c>
      <c r="H242" s="186">
        <f>ROUND(F242*G242,2)</f>
        <v/>
      </c>
      <c r="I242" s="198" t="n"/>
      <c r="K242" s="196" t="n"/>
    </row>
    <row r="243" ht="25.9" customHeight="1">
      <c r="A243" s="180" t="n">
        <v>228</v>
      </c>
      <c r="B243" s="248" t="n"/>
      <c r="C243" s="182" t="inlineStr">
        <is>
          <t>101-0961</t>
        </is>
      </c>
      <c r="D243" s="183" t="inlineStr">
        <is>
          <t>Закрыватель дверной гидравлический рычажный в алюминиевом корпусе</t>
        </is>
      </c>
      <c r="E243" s="274" t="inlineStr">
        <is>
          <t>шт.</t>
        </is>
      </c>
      <c r="F243" s="182" t="n">
        <v>7</v>
      </c>
      <c r="G243" s="192" t="n">
        <v>428.27</v>
      </c>
      <c r="H243" s="186">
        <f>ROUND(F243*G243,2)</f>
        <v/>
      </c>
      <c r="I243" s="198" t="n"/>
    </row>
    <row r="244" ht="25.5" customHeight="1">
      <c r="A244" s="180" t="n">
        <v>229</v>
      </c>
      <c r="B244" s="248" t="n"/>
      <c r="C244" s="182" t="inlineStr">
        <is>
          <t>410-0054</t>
        </is>
      </c>
      <c r="D244" s="183" t="inlineStr">
        <is>
          <t>Асфальт литой для покрытий тротуаров тип II (жесткий)</t>
        </is>
      </c>
      <c r="E244" s="274" t="inlineStr">
        <is>
          <t>т</t>
        </is>
      </c>
      <c r="F244" s="182" t="n">
        <v>6.543</v>
      </c>
      <c r="G244" s="192" t="n">
        <v>455.39</v>
      </c>
      <c r="H244" s="186">
        <f>ROUND(F244*G244,2)</f>
        <v/>
      </c>
      <c r="I244" s="198" t="n"/>
      <c r="K244" s="196" t="n"/>
    </row>
    <row r="245" ht="38.85" customHeight="1">
      <c r="A245" s="180" t="n">
        <v>230</v>
      </c>
      <c r="B245" s="248" t="n"/>
      <c r="C245" s="182" t="inlineStr">
        <is>
          <t>103-0459</t>
        </is>
      </c>
      <c r="D245" s="183" t="inlineStr">
        <is>
          <t>Трубы стальные бесшовные, горячедеформированные со снятой фаской из стали марок 15, 20, 25, наружным диаметром 159 мм, толщина стенки 8 мм</t>
        </is>
      </c>
      <c r="E245" s="274" t="inlineStr">
        <is>
          <t>м</t>
        </is>
      </c>
      <c r="F245" s="182" t="n">
        <v>11.7</v>
      </c>
      <c r="G245" s="192" t="n">
        <v>253.63</v>
      </c>
      <c r="H245" s="186">
        <f>ROUND(F245*G245,2)</f>
        <v/>
      </c>
      <c r="I245" s="198" t="n"/>
    </row>
    <row r="246" ht="25.9" customHeight="1">
      <c r="A246" s="180" t="n">
        <v>231</v>
      </c>
      <c r="B246" s="248" t="n"/>
      <c r="C246" s="258" t="inlineStr">
        <is>
          <t>Прайс из СД ОП</t>
        </is>
      </c>
      <c r="D246" s="183" t="inlineStr">
        <is>
          <t>Светильник светодиодный 24В с креплением на планке</t>
        </is>
      </c>
      <c r="E246" s="274" t="inlineStr">
        <is>
          <t>шт.</t>
        </is>
      </c>
      <c r="F246" s="182" t="n">
        <v>6</v>
      </c>
      <c r="G246" s="192" t="n">
        <v>487</v>
      </c>
      <c r="H246" s="186">
        <f>ROUND(F246*G246,2)</f>
        <v/>
      </c>
      <c r="I246" s="198" t="n"/>
    </row>
    <row r="247" ht="25.9" customHeight="1">
      <c r="A247" s="180" t="n">
        <v>232</v>
      </c>
      <c r="B247" s="248" t="n"/>
      <c r="C247" s="182" t="inlineStr">
        <is>
          <t>301-1226</t>
        </is>
      </c>
      <c r="D247" s="183" t="inlineStr">
        <is>
          <t>Рукава пожарные льняные сухого прядения нормальные, диаметром 51 мм</t>
        </is>
      </c>
      <c r="E247" s="274" t="inlineStr">
        <is>
          <t>м</t>
        </is>
      </c>
      <c r="F247" s="182" t="n">
        <v>80</v>
      </c>
      <c r="G247" s="192" t="n">
        <v>36.2</v>
      </c>
      <c r="H247" s="186">
        <f>ROUND(F247*G247,2)</f>
        <v/>
      </c>
      <c r="I247" s="198" t="n"/>
    </row>
    <row r="248">
      <c r="A248" s="180" t="n">
        <v>233</v>
      </c>
      <c r="B248" s="248" t="n"/>
      <c r="C248" s="182" t="inlineStr">
        <is>
          <t>18.3.02.02-0012</t>
        </is>
      </c>
      <c r="D248" s="183" t="inlineStr">
        <is>
          <t>Шкаф пожарный, навесной с окном, ШПК-320</t>
        </is>
      </c>
      <c r="E248" s="274" t="inlineStr">
        <is>
          <t>шт</t>
        </is>
      </c>
      <c r="F248" s="182" t="n">
        <v>8</v>
      </c>
      <c r="G248" s="192" t="n">
        <v>360.51</v>
      </c>
      <c r="H248" s="186">
        <f>ROUND(F248*G248,2)</f>
        <v/>
      </c>
      <c r="I248" s="198" t="n"/>
    </row>
    <row r="249">
      <c r="A249" s="180" t="n">
        <v>234</v>
      </c>
      <c r="B249" s="248" t="n"/>
      <c r="C249" s="182" t="inlineStr">
        <is>
          <t>402-0004</t>
        </is>
      </c>
      <c r="D249" s="183" t="inlineStr">
        <is>
          <t>Раствор готовый кладочный цементный марки 100</t>
        </is>
      </c>
      <c r="E249" s="274" t="inlineStr">
        <is>
          <t>м3</t>
        </is>
      </c>
      <c r="F249" s="182" t="n">
        <v>5.5479</v>
      </c>
      <c r="G249" s="192" t="n">
        <v>519.8</v>
      </c>
      <c r="H249" s="186">
        <f>ROUND(F249*G249,2)</f>
        <v/>
      </c>
      <c r="I249" s="198" t="n"/>
    </row>
    <row r="250" ht="25.9" customHeight="1">
      <c r="A250" s="180" t="n">
        <v>235</v>
      </c>
      <c r="B250" s="248" t="n"/>
      <c r="C250" s="182" t="inlineStr">
        <is>
          <t>203-0199</t>
        </is>
      </c>
      <c r="D250" s="183" t="inlineStr">
        <is>
          <t>Блоки дверные однопольные с полотном глухим ДГ 21-9, площадь 1,80 м2; ДГ 21-10, площадь 2,01 м2</t>
        </is>
      </c>
      <c r="E250" s="274" t="inlineStr">
        <is>
          <t>м2</t>
        </is>
      </c>
      <c r="F250" s="182" t="n">
        <v>13.23</v>
      </c>
      <c r="G250" s="192" t="n">
        <v>214.7</v>
      </c>
      <c r="H250" s="186">
        <f>ROUND(F250*G250,2)</f>
        <v/>
      </c>
      <c r="I250" s="198" t="n"/>
    </row>
    <row r="251" ht="25.9" customHeight="1">
      <c r="A251" s="180" t="n">
        <v>236</v>
      </c>
      <c r="B251" s="248" t="n"/>
      <c r="C251" s="182" t="inlineStr">
        <is>
          <t>401-0065</t>
        </is>
      </c>
      <c r="D251" s="183" t="inlineStr">
        <is>
          <t>Бетон тяжелый, крупность заполнителя 20 мм, класс В12,5 (М150)</t>
        </is>
      </c>
      <c r="E251" s="274" t="inlineStr">
        <is>
          <t>м3</t>
        </is>
      </c>
      <c r="F251" s="182" t="n">
        <v>4.692</v>
      </c>
      <c r="G251" s="192" t="n">
        <v>600</v>
      </c>
      <c r="H251" s="186">
        <f>ROUND(F251*G251,2)</f>
        <v/>
      </c>
      <c r="I251" s="198" t="n"/>
    </row>
    <row r="252">
      <c r="A252" s="180" t="n">
        <v>237</v>
      </c>
      <c r="B252" s="248" t="n"/>
      <c r="C252" s="182" t="inlineStr">
        <is>
          <t>101-1292</t>
        </is>
      </c>
      <c r="D252" s="183" t="inlineStr">
        <is>
          <t>Уайт-спирит</t>
        </is>
      </c>
      <c r="E252" s="274" t="inlineStr">
        <is>
          <t>т</t>
        </is>
      </c>
      <c r="F252" s="182" t="n">
        <v>0.42</v>
      </c>
      <c r="G252" s="192" t="n">
        <v>6667</v>
      </c>
      <c r="H252" s="186">
        <f>ROUND(F252*G252,2)</f>
        <v/>
      </c>
      <c r="I252" s="198" t="n"/>
    </row>
    <row r="253" ht="25.9" customHeight="1">
      <c r="A253" s="180" t="n">
        <v>238</v>
      </c>
      <c r="B253" s="248" t="n"/>
      <c r="C253" s="182" t="inlineStr">
        <is>
          <t>Общ.указания к ФССЦ</t>
        </is>
      </c>
      <c r="D253" s="183" t="inlineStr">
        <is>
          <t>Надбавка на водонепроницаемость бетона В35, W6, F150</t>
        </is>
      </c>
      <c r="E253" s="274" t="inlineStr">
        <is>
          <t>м3</t>
        </is>
      </c>
      <c r="F253" s="182" t="n">
        <v>3.264</v>
      </c>
      <c r="G253" s="192" t="n">
        <v>850.6</v>
      </c>
      <c r="H253" s="186">
        <f>ROUND(F253*G253,2)</f>
        <v/>
      </c>
      <c r="I253" s="198" t="n"/>
    </row>
    <row r="254">
      <c r="A254" s="180" t="n">
        <v>239</v>
      </c>
      <c r="B254" s="248" t="n"/>
      <c r="C254" s="258" t="inlineStr">
        <is>
          <t>Прайс из СД ОП</t>
        </is>
      </c>
      <c r="D254" s="183" t="inlineStr">
        <is>
          <t>Короб TA-GN 200x60</t>
        </is>
      </c>
      <c r="E254" s="274" t="inlineStr">
        <is>
          <t>шт.</t>
        </is>
      </c>
      <c r="F254" s="182" t="n">
        <v>28</v>
      </c>
      <c r="G254" s="192" t="n">
        <v>98.19</v>
      </c>
      <c r="H254" s="186">
        <f>ROUND(F254*G254,2)</f>
        <v/>
      </c>
      <c r="I254" s="198" t="n"/>
    </row>
    <row r="255" ht="25.9" customHeight="1">
      <c r="A255" s="180" t="n">
        <v>240</v>
      </c>
      <c r="B255" s="248" t="n"/>
      <c r="C255" s="182" t="inlineStr">
        <is>
          <t>101-0256</t>
        </is>
      </c>
      <c r="D255" s="183" t="inlineStr">
        <is>
          <t>Плитки керамические глазурованные для внутренней облицовки стен гладкие без завала белые</t>
        </is>
      </c>
      <c r="E255" s="274" t="inlineStr">
        <is>
          <t>м2</t>
        </is>
      </c>
      <c r="F255" s="182" t="n">
        <v>37.9</v>
      </c>
      <c r="G255" s="192" t="n">
        <v>71.19</v>
      </c>
      <c r="H255" s="186">
        <f>ROUND(F255*G255,2)</f>
        <v/>
      </c>
      <c r="I255" s="198" t="n"/>
    </row>
    <row r="256">
      <c r="A256" s="180" t="n">
        <v>241</v>
      </c>
      <c r="B256" s="248" t="n"/>
      <c r="C256" s="182" t="inlineStr">
        <is>
          <t>101-4368</t>
        </is>
      </c>
      <c r="D256" s="183" t="inlineStr">
        <is>
          <t>Клей плиточный «Юнис Гранит»</t>
        </is>
      </c>
      <c r="E256" s="274" t="inlineStr">
        <is>
          <t>кг</t>
        </is>
      </c>
      <c r="F256" s="182" t="n">
        <v>729.6</v>
      </c>
      <c r="G256" s="192" t="n">
        <v>3.69</v>
      </c>
      <c r="H256" s="186">
        <f>ROUND(F256*G256,2)</f>
        <v/>
      </c>
      <c r="I256" s="198" t="n"/>
    </row>
    <row r="257" ht="25.9" customHeight="1">
      <c r="A257" s="180" t="n">
        <v>242</v>
      </c>
      <c r="B257" s="248" t="n"/>
      <c r="C257" s="182" t="inlineStr">
        <is>
          <t>301-1790</t>
        </is>
      </c>
      <c r="D257" s="183" t="inlineStr">
        <is>
          <t>Воздуховоды из оцинкованной стали толщиной 0,6 мм, диаметром до 450 мм (д. 315 и д. 355мм)</t>
        </is>
      </c>
      <c r="E257" s="274" t="inlineStr">
        <is>
          <t>м2</t>
        </is>
      </c>
      <c r="F257" s="182" t="n">
        <v>32</v>
      </c>
      <c r="G257" s="192" t="n">
        <v>84.05</v>
      </c>
      <c r="H257" s="186">
        <f>ROUND(F257*G257,2)</f>
        <v/>
      </c>
      <c r="I257" s="198" t="n"/>
    </row>
    <row r="258" ht="25.9" customHeight="1">
      <c r="A258" s="180" t="n">
        <v>243</v>
      </c>
      <c r="B258" s="248" t="n"/>
      <c r="C258" s="182" t="inlineStr">
        <is>
          <t>503-0707</t>
        </is>
      </c>
      <c r="D258" s="183" t="inlineStr">
        <is>
          <t>Коробка ответвительная КОР-94-3У2 IP43 размером 80х80х43 мм</t>
        </is>
      </c>
      <c r="E258" s="274" t="inlineStr">
        <is>
          <t>шт.</t>
        </is>
      </c>
      <c r="F258" s="182" t="n">
        <v>205</v>
      </c>
      <c r="G258" s="192" t="n">
        <v>13.01</v>
      </c>
      <c r="H258" s="186">
        <f>ROUND(F258*G258,2)</f>
        <v/>
      </c>
      <c r="I258" s="198" t="n"/>
    </row>
    <row r="259" ht="38.85" customHeight="1">
      <c r="A259" s="180" t="n">
        <v>244</v>
      </c>
      <c r="B259" s="248" t="n"/>
      <c r="C259" s="182" t="inlineStr">
        <is>
          <t>301-2309</t>
        </is>
      </c>
      <c r="D259" s="183" t="inlineStr">
        <is>
          <t>Узлы прохода вытяжных вентиляционных шахт с клапаном ручного управления УП2, диаметром патрубка 200 мм</t>
        </is>
      </c>
      <c r="E259" s="274" t="inlineStr">
        <is>
          <t>шт.</t>
        </is>
      </c>
      <c r="F259" s="182" t="n">
        <v>2</v>
      </c>
      <c r="G259" s="192" t="n">
        <v>1332.41</v>
      </c>
      <c r="H259" s="186">
        <f>ROUND(F259*G259,2)</f>
        <v/>
      </c>
      <c r="I259" s="198" t="n"/>
    </row>
    <row r="260" ht="25.9" customHeight="1">
      <c r="A260" s="180" t="n">
        <v>245</v>
      </c>
      <c r="B260" s="248" t="n"/>
      <c r="C260" s="182" t="inlineStr">
        <is>
          <t>301-1055</t>
        </is>
      </c>
      <c r="D260" s="183" t="inlineStr">
        <is>
          <t>Диффузоры потолочные пластиковые "АРКТОС" марки ДПУ универсальные ДПУ-М, диаметр 100 мм</t>
        </is>
      </c>
      <c r="E260" s="274" t="inlineStr">
        <is>
          <t>шт.</t>
        </is>
      </c>
      <c r="F260" s="182" t="n">
        <v>30</v>
      </c>
      <c r="G260" s="192" t="n">
        <v>88.41</v>
      </c>
      <c r="H260" s="186">
        <f>ROUND(F260*G260,2)</f>
        <v/>
      </c>
      <c r="I260" s="198" t="n"/>
    </row>
    <row r="261" customFormat="1" s="179">
      <c r="A261" s="180" t="n">
        <v>246</v>
      </c>
      <c r="B261" s="248" t="n"/>
      <c r="C261" s="182" t="inlineStr">
        <is>
          <t>101-2430</t>
        </is>
      </c>
      <c r="D261" s="183" t="inlineStr">
        <is>
          <t>Грунтовка «Тифенгрунд», КНАУФ</t>
        </is>
      </c>
      <c r="E261" s="274" t="inlineStr">
        <is>
          <t>кг</t>
        </is>
      </c>
      <c r="F261" s="182" t="n">
        <v>200.8</v>
      </c>
      <c r="G261" s="192" t="n">
        <v>13.08</v>
      </c>
      <c r="H261" s="186">
        <f>ROUND(F261*G261,2)</f>
        <v/>
      </c>
      <c r="I261" s="198" t="n"/>
    </row>
    <row r="262" ht="25.9" customHeight="1">
      <c r="A262" s="180" t="n">
        <v>247</v>
      </c>
      <c r="B262" s="248" t="n"/>
      <c r="C262" s="182" t="inlineStr">
        <is>
          <t>101-0856</t>
        </is>
      </c>
      <c r="D262" s="183" t="inlineStr">
        <is>
          <t>Рубероид кровельный с пылевидной посыпкой марки РКП-350б</t>
        </is>
      </c>
      <c r="E262" s="274" t="inlineStr">
        <is>
          <t>м2</t>
        </is>
      </c>
      <c r="F262" s="182" t="n">
        <v>411.84</v>
      </c>
      <c r="G262" s="192" t="n">
        <v>6.2</v>
      </c>
      <c r="H262" s="186">
        <f>ROUND(F262*G262,2)</f>
        <v/>
      </c>
      <c r="I262" s="198" t="n"/>
    </row>
    <row r="263" ht="38.85" customHeight="1">
      <c r="A263" s="180" t="n">
        <v>248</v>
      </c>
      <c r="B263" s="248" t="n"/>
      <c r="C263" s="182" t="inlineStr">
        <is>
          <t>301-8147</t>
        </is>
      </c>
      <c r="D263" s="183" t="inlineStr">
        <is>
          <t>Воздуховоды типа SONODUCT (POLAR BEAR) звукопоглощающие теплоизолированные гибкие диаметром 102 мм</t>
        </is>
      </c>
      <c r="E263" s="274" t="inlineStr">
        <is>
          <t>м2</t>
        </is>
      </c>
      <c r="F263" s="182" t="n">
        <v>9.6</v>
      </c>
      <c r="G263" s="192" t="n">
        <v>262.74</v>
      </c>
      <c r="H263" s="186">
        <f>ROUND(F263*G263,2)</f>
        <v/>
      </c>
      <c r="I263" s="198" t="n"/>
      <c r="K263" s="196" t="n"/>
    </row>
    <row r="264">
      <c r="A264" s="180" t="n">
        <v>249</v>
      </c>
      <c r="B264" s="248" t="n"/>
      <c r="C264" s="182" t="inlineStr">
        <is>
          <t>101-4852</t>
        </is>
      </c>
      <c r="D264" s="183" t="inlineStr">
        <is>
          <t>Плинтуса для полов пластиковые, 19х48 мм</t>
        </is>
      </c>
      <c r="E264" s="274" t="inlineStr">
        <is>
          <t>м</t>
        </is>
      </c>
      <c r="F264" s="182" t="n">
        <v>202</v>
      </c>
      <c r="G264" s="192" t="n">
        <v>12.3</v>
      </c>
      <c r="H264" s="186">
        <f>ROUND(F264*G264,2)</f>
        <v/>
      </c>
      <c r="I264" s="198" t="n"/>
      <c r="K264" s="196" t="n"/>
    </row>
    <row r="265">
      <c r="A265" s="180" t="n">
        <v>250</v>
      </c>
      <c r="B265" s="248" t="n"/>
      <c r="C265" s="182" t="inlineStr">
        <is>
          <t>101-1714</t>
        </is>
      </c>
      <c r="D265" s="183" t="inlineStr">
        <is>
          <t>Болты с гайками и шайбами строительные</t>
        </is>
      </c>
      <c r="E265" s="274" t="inlineStr">
        <is>
          <t>т</t>
        </is>
      </c>
      <c r="F265" s="182" t="n">
        <v>0.2745</v>
      </c>
      <c r="G265" s="192" t="n">
        <v>9040</v>
      </c>
      <c r="H265" s="186">
        <f>ROUND(F265*G265,2)</f>
        <v/>
      </c>
      <c r="I265" s="198" t="n"/>
      <c r="K265" s="196" t="n"/>
    </row>
    <row r="266" ht="25.9" customHeight="1">
      <c r="A266" s="180" t="n">
        <v>251</v>
      </c>
      <c r="B266" s="248" t="n"/>
      <c r="C266" s="182" t="inlineStr">
        <is>
          <t>301-2630</t>
        </is>
      </c>
      <c r="D266" s="183" t="inlineStr">
        <is>
          <t>Решетки вентиляционные алюминиевые "АРКТОС" типа АРН размером 200х200 мм (200х150мм)</t>
        </is>
      </c>
      <c r="E266" s="274" t="inlineStr">
        <is>
          <t>шт.</t>
        </is>
      </c>
      <c r="F266" s="182" t="n">
        <v>8</v>
      </c>
      <c r="G266" s="192" t="n">
        <v>300.86</v>
      </c>
      <c r="H266" s="186">
        <f>ROUND(F266*G266,2)</f>
        <v/>
      </c>
    </row>
    <row r="267" ht="38.85" customHeight="1">
      <c r="A267" s="180" t="n">
        <v>252</v>
      </c>
      <c r="B267" s="248" t="n"/>
      <c r="C267" s="182" t="inlineStr">
        <is>
          <t>301-5689</t>
        </is>
      </c>
      <c r="D267" s="183" t="inlineStr">
        <is>
          <t>Клапаны обратные общего назначения из листовой и сортовой стали круглого сечения Ко-02 диаметром 400 мм (RSK 355)</t>
        </is>
      </c>
      <c r="E267" s="274" t="inlineStr">
        <is>
          <t>шт.</t>
        </is>
      </c>
      <c r="F267" s="182" t="n">
        <v>3</v>
      </c>
      <c r="G267" s="192" t="n">
        <v>798.14</v>
      </c>
      <c r="H267" s="186">
        <f>ROUND(F267*G267,2)</f>
        <v/>
      </c>
    </row>
    <row r="268" ht="25.9" customHeight="1">
      <c r="A268" s="180" t="n">
        <v>253</v>
      </c>
      <c r="B268" s="248" t="n"/>
      <c r="C268" s="182" t="inlineStr">
        <is>
          <t>101-1931</t>
        </is>
      </c>
      <c r="D268" s="183" t="inlineStr">
        <is>
          <t>Водоотводящий фартук из оцинкованной стали толщиной 0,55 мм</t>
        </is>
      </c>
      <c r="E268" s="274" t="inlineStr">
        <is>
          <t>кг</t>
        </is>
      </c>
      <c r="F268" s="182" t="n">
        <v>86</v>
      </c>
      <c r="G268" s="192" t="n">
        <v>27.07</v>
      </c>
      <c r="H268" s="186">
        <f>ROUND(F268*G268,2)</f>
        <v/>
      </c>
    </row>
    <row r="269">
      <c r="A269" s="180" t="n">
        <v>254</v>
      </c>
      <c r="B269" s="248" t="n"/>
      <c r="C269" s="258" t="inlineStr">
        <is>
          <t>Прайс из СД ОП</t>
        </is>
      </c>
      <c r="D269" s="183" t="inlineStr">
        <is>
          <t>Светильник светодиодный встраиваемый 35Вт</t>
        </is>
      </c>
      <c r="E269" s="274" t="inlineStr">
        <is>
          <t>шт.</t>
        </is>
      </c>
      <c r="F269" s="182" t="n">
        <v>4</v>
      </c>
      <c r="G269" s="192" t="n">
        <v>568.17</v>
      </c>
      <c r="H269" s="186">
        <f>ROUND(F269*G269,2)</f>
        <v/>
      </c>
    </row>
    <row r="270" ht="51.6" customHeight="1">
      <c r="A270" s="180" t="n">
        <v>255</v>
      </c>
      <c r="B270" s="248" t="n"/>
      <c r="C270" s="182" t="inlineStr">
        <is>
          <t>201-0756</t>
        </is>
      </c>
      <c r="D270" s="18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0" s="274" t="inlineStr">
        <is>
          <t>т</t>
        </is>
      </c>
      <c r="F270" s="182" t="n">
        <v>0.2913</v>
      </c>
      <c r="G270" s="192" t="n">
        <v>7712</v>
      </c>
      <c r="H270" s="186">
        <f>ROUND(F270*G270,2)</f>
        <v/>
      </c>
    </row>
    <row r="271">
      <c r="A271" s="180" t="n">
        <v>256</v>
      </c>
      <c r="B271" s="248" t="n"/>
      <c r="C271" s="258" t="inlineStr">
        <is>
          <t>Прайс из СД ОП</t>
        </is>
      </c>
      <c r="D271" s="183" t="inlineStr">
        <is>
          <t xml:space="preserve">Светильник светодиодный 56,5Вт встраиваемый </t>
        </is>
      </c>
      <c r="E271" s="274" t="inlineStr">
        <is>
          <t>шт.</t>
        </is>
      </c>
      <c r="F271" s="182" t="n">
        <v>2</v>
      </c>
      <c r="G271" s="192" t="n">
        <v>1120.1</v>
      </c>
      <c r="H271" s="186">
        <f>ROUND(F271*G271,2)</f>
        <v/>
      </c>
    </row>
    <row r="272" ht="25.9" customHeight="1">
      <c r="A272" s="180" t="n">
        <v>257</v>
      </c>
      <c r="B272" s="248" t="n"/>
      <c r="C272" s="258" t="inlineStr">
        <is>
          <t>Прайс из СД ОП</t>
        </is>
      </c>
      <c r="D272" s="183" t="inlineStr">
        <is>
          <t>Вытяжной шланг повышенной прочности (+150С) d=125 Carflex Super EH-PV-125</t>
        </is>
      </c>
      <c r="E272" s="274" t="inlineStr">
        <is>
          <t>м</t>
        </is>
      </c>
      <c r="F272" s="182" t="n">
        <v>7.5</v>
      </c>
      <c r="G272" s="192" t="n">
        <v>295.67</v>
      </c>
      <c r="H272" s="186">
        <f>ROUND(F272*G272,2)</f>
        <v/>
      </c>
    </row>
    <row r="273" ht="38.85" customHeight="1">
      <c r="A273" s="180" t="n">
        <v>258</v>
      </c>
      <c r="B273" s="248" t="n"/>
      <c r="C273" s="182" t="inlineStr">
        <is>
          <t>302-0899</t>
        </is>
      </c>
      <c r="D273" s="183" t="inlineStr">
        <is>
          <t>Узлы укрупненные монтажные (трубопроводы) из чугунных канализационных труб и фасонных частей к ним диаметром 100 мм</t>
        </is>
      </c>
      <c r="E273" s="274" t="inlineStr">
        <is>
          <t>м</t>
        </is>
      </c>
      <c r="F273" s="182" t="n">
        <v>18.958</v>
      </c>
      <c r="G273" s="192" t="n">
        <v>115.37</v>
      </c>
      <c r="H273" s="186">
        <f>ROUND(F273*G273,2)</f>
        <v/>
      </c>
    </row>
    <row r="274" ht="25.9" customHeight="1">
      <c r="A274" s="180" t="n">
        <v>259</v>
      </c>
      <c r="B274" s="248" t="n"/>
      <c r="C274" s="182" t="inlineStr">
        <is>
          <t>301-2640</t>
        </is>
      </c>
      <c r="D274" s="183" t="inlineStr">
        <is>
          <t>Решетки вентиляционные алюминиевые "АРКТОС" типа АРН размером 500х1000 мм (700х1200мм)</t>
        </is>
      </c>
      <c r="E274" s="274" t="inlineStr">
        <is>
          <t>шт.</t>
        </is>
      </c>
      <c r="F274" s="182" t="n">
        <v>1</v>
      </c>
      <c r="G274" s="192" t="n">
        <v>2179.8</v>
      </c>
      <c r="H274" s="186">
        <f>ROUND(F274*G274,2)</f>
        <v/>
      </c>
    </row>
    <row r="275">
      <c r="A275" s="180" t="n">
        <v>260</v>
      </c>
      <c r="B275" s="248" t="n"/>
      <c r="C275" s="182" t="inlineStr">
        <is>
          <t>101-1521</t>
        </is>
      </c>
      <c r="D275" s="183" t="inlineStr">
        <is>
          <t>Электроды диаметром 5 мм Э42</t>
        </is>
      </c>
      <c r="E275" s="274" t="inlineStr">
        <is>
          <t>т</t>
        </is>
      </c>
      <c r="F275" s="182" t="n">
        <v>0.2188</v>
      </c>
      <c r="G275" s="192" t="n">
        <v>9765</v>
      </c>
      <c r="H275" s="186">
        <f>ROUND(F275*G275,2)</f>
        <v/>
      </c>
    </row>
    <row r="276">
      <c r="A276" s="180" t="n">
        <v>261</v>
      </c>
      <c r="B276" s="248" t="n"/>
      <c r="C276" s="182" t="inlineStr">
        <is>
          <t>101-1701</t>
        </is>
      </c>
      <c r="D276" s="183" t="inlineStr">
        <is>
          <t>Гермит (шнур диаметром 40 мм)</t>
        </is>
      </c>
      <c r="E276" s="274" t="inlineStr">
        <is>
          <t>кг</t>
        </is>
      </c>
      <c r="F276" s="182" t="n">
        <v>118.8</v>
      </c>
      <c r="G276" s="192" t="n">
        <v>17.82</v>
      </c>
      <c r="H276" s="186">
        <f>ROUND(F276*G276,2)</f>
        <v/>
      </c>
      <c r="I276" s="198" t="n"/>
    </row>
    <row r="277" ht="38.85" customHeight="1">
      <c r="A277" s="180" t="n">
        <v>262</v>
      </c>
      <c r="B277" s="248" t="n"/>
      <c r="C277" s="182" t="inlineStr">
        <is>
          <t>103-0576</t>
        </is>
      </c>
      <c r="D277" s="183" t="inlineStr">
        <is>
          <t>Трубы бесшовные обсадные из стали группы Д и Б с короткой треугольной резьбой, наружным диаметром 377 мм, толщина стенки 12 мм</t>
        </is>
      </c>
      <c r="E277" s="274" t="inlineStr">
        <is>
          <t>м</t>
        </is>
      </c>
      <c r="F277" s="182" t="n">
        <v>2.1</v>
      </c>
      <c r="G277" s="192" t="n">
        <v>1001.3</v>
      </c>
      <c r="H277" s="186">
        <f>ROUND(F277*G277,2)</f>
        <v/>
      </c>
      <c r="I277" s="198" t="n"/>
    </row>
    <row r="278" ht="25.5" customHeight="1">
      <c r="A278" s="180" t="n">
        <v>263</v>
      </c>
      <c r="B278" s="248" t="n"/>
      <c r="C278" s="182" t="inlineStr">
        <is>
          <t>113-1952</t>
        </is>
      </c>
      <c r="D278" s="183" t="inlineStr">
        <is>
          <t>Пленка полиэтиленовая толщиной 0,2-0,5 мм, изоловая</t>
        </is>
      </c>
      <c r="E278" s="274" t="inlineStr">
        <is>
          <t>м2</t>
        </is>
      </c>
      <c r="F278" s="182" t="n">
        <v>435.14</v>
      </c>
      <c r="G278" s="192" t="n">
        <v>4.82</v>
      </c>
      <c r="H278" s="186">
        <f>ROUND(F278*G278,2)</f>
        <v/>
      </c>
      <c r="I278" s="198" t="n"/>
    </row>
    <row r="279" ht="25.9" customHeight="1">
      <c r="A279" s="180" t="n">
        <v>264</v>
      </c>
      <c r="B279" s="248" t="n"/>
      <c r="C279" s="182" t="inlineStr">
        <is>
          <t>402-0012</t>
        </is>
      </c>
      <c r="D279" s="183" t="inlineStr">
        <is>
          <t>Раствор готовый кладочный цементно-известковый марки 25</t>
        </is>
      </c>
      <c r="E279" s="274" t="inlineStr">
        <is>
          <t>м3</t>
        </is>
      </c>
      <c r="F279" s="182" t="n">
        <v>4.207</v>
      </c>
      <c r="G279" s="192" t="n">
        <v>497</v>
      </c>
      <c r="H279" s="186">
        <f>ROUND(F279*G279,2)</f>
        <v/>
      </c>
      <c r="I279" s="198" t="n"/>
    </row>
    <row r="280" ht="25.9" customHeight="1">
      <c r="A280" s="180" t="n">
        <v>265</v>
      </c>
      <c r="B280" s="248" t="n"/>
      <c r="C280" s="182" t="inlineStr">
        <is>
          <t>302-1133</t>
        </is>
      </c>
      <c r="D280" s="183" t="inlineStr">
        <is>
          <t>Вентили пожарные 50-10 для воды давлением 1 МПа (10 кгс/см2), диаметром 50 мм</t>
        </is>
      </c>
      <c r="E280" s="274" t="inlineStr">
        <is>
          <t>шт.</t>
        </is>
      </c>
      <c r="F280" s="182" t="n">
        <v>8</v>
      </c>
      <c r="G280" s="192" t="n">
        <v>240</v>
      </c>
      <c r="H280" s="186">
        <f>ROUND(F280*G280,2)</f>
        <v/>
      </c>
      <c r="I280" s="198" t="n"/>
    </row>
    <row r="281">
      <c r="A281" s="180" t="n">
        <v>266</v>
      </c>
      <c r="B281" s="248" t="n"/>
      <c r="C281" s="182" t="inlineStr">
        <is>
          <t>206-1336</t>
        </is>
      </c>
      <c r="D281" s="183" t="inlineStr">
        <is>
          <t>Рейка алюминиевая потолочная 100 мм</t>
        </is>
      </c>
      <c r="E281" s="274" t="inlineStr">
        <is>
          <t>м</t>
        </is>
      </c>
      <c r="F281" s="182" t="n">
        <v>76.65000000000001</v>
      </c>
      <c r="G281" s="192" t="n">
        <v>24.71</v>
      </c>
      <c r="H281" s="186">
        <f>ROUND(F281*G281,2)</f>
        <v/>
      </c>
      <c r="I281" s="198" t="n"/>
    </row>
    <row r="282" ht="25.9" customHeight="1">
      <c r="A282" s="180" t="n">
        <v>267</v>
      </c>
      <c r="B282" s="248" t="n"/>
      <c r="C282" s="182" t="inlineStr">
        <is>
          <t>301-2639</t>
        </is>
      </c>
      <c r="D282" s="183" t="inlineStr">
        <is>
          <t>Решетки вентиляционные алюминиевые "АРКТОС" типа АРН размером 500х800 мм (АРН 700х700)</t>
        </is>
      </c>
      <c r="E282" s="274" t="inlineStr">
        <is>
          <t>шт.</t>
        </is>
      </c>
      <c r="F282" s="182" t="n">
        <v>1</v>
      </c>
      <c r="G282" s="192" t="n">
        <v>1859.72</v>
      </c>
      <c r="H282" s="186">
        <f>ROUND(F282*G282,2)</f>
        <v/>
      </c>
      <c r="I282" s="198" t="n"/>
    </row>
    <row r="283" ht="25.9" customHeight="1">
      <c r="A283" s="180" t="n">
        <v>268</v>
      </c>
      <c r="B283" s="248" t="n"/>
      <c r="C283" s="182" t="inlineStr">
        <is>
          <t>102-0028</t>
        </is>
      </c>
      <c r="D283" s="183" t="inlineStr">
        <is>
          <t>Бруски обрезные хвойных пород длиной 4-6,5 м, шириной 75-150 мм, толщиной 100, 125 мм, II сорта</t>
        </is>
      </c>
      <c r="E283" s="274" t="inlineStr">
        <is>
          <t>м3</t>
        </is>
      </c>
      <c r="F283" s="182" t="n">
        <v>0.9324</v>
      </c>
      <c r="G283" s="192" t="n">
        <v>1980</v>
      </c>
      <c r="H283" s="186">
        <f>ROUND(F283*G283,2)</f>
        <v/>
      </c>
      <c r="I283" s="198" t="n"/>
    </row>
    <row r="284" ht="25.9" customHeight="1">
      <c r="A284" s="180" t="n">
        <v>269</v>
      </c>
      <c r="B284" s="248" t="n"/>
      <c r="C284" s="182" t="inlineStr">
        <is>
          <t>204-0022</t>
        </is>
      </c>
      <c r="D284" s="183" t="inlineStr">
        <is>
          <t>Горячекатаная арматурная сталь периодического профиля класса А-III, диаметром 12 мм</t>
        </is>
      </c>
      <c r="E284" s="274" t="inlineStr">
        <is>
          <t>т</t>
        </is>
      </c>
      <c r="F284" s="182" t="n">
        <v>0.2306</v>
      </c>
      <c r="G284" s="192" t="n">
        <v>7997.23</v>
      </c>
      <c r="H284" s="186">
        <f>ROUND(F284*G284,2)</f>
        <v/>
      </c>
      <c r="I284" s="198" t="n"/>
    </row>
    <row r="285" customFormat="1" s="179">
      <c r="A285" s="180" t="n">
        <v>270</v>
      </c>
      <c r="B285" s="248" t="n"/>
      <c r="C285" s="182" t="inlineStr">
        <is>
          <t>203-0514</t>
        </is>
      </c>
      <c r="D285" s="183" t="inlineStr">
        <is>
          <t>Щиты настила</t>
        </is>
      </c>
      <c r="E285" s="274" t="inlineStr">
        <is>
          <t>м2</t>
        </is>
      </c>
      <c r="F285" s="182" t="n">
        <v>51.93</v>
      </c>
      <c r="G285" s="192" t="n">
        <v>35.22</v>
      </c>
      <c r="H285" s="186">
        <f>ROUND(F285*G285,2)</f>
        <v/>
      </c>
      <c r="I285" s="198" t="n"/>
    </row>
    <row r="286" ht="25.9" customHeight="1">
      <c r="A286" s="180" t="n">
        <v>271</v>
      </c>
      <c r="B286" s="248" t="n"/>
      <c r="C286" s="182" t="inlineStr">
        <is>
          <t>504-0289</t>
        </is>
      </c>
      <c r="D286" s="183" t="inlineStr">
        <is>
          <t>Ящики с понижающим трансформатором автомат. выключателем, 36в ЯТП-0,25-1</t>
        </is>
      </c>
      <c r="E286" s="274" t="inlineStr">
        <is>
          <t>шт.</t>
        </is>
      </c>
      <c r="F286" s="182" t="n">
        <v>2</v>
      </c>
      <c r="G286" s="192" t="n">
        <v>904.87</v>
      </c>
      <c r="H286" s="186">
        <f>ROUND(F286*G286,2)</f>
        <v/>
      </c>
      <c r="I286" s="198" t="n"/>
    </row>
    <row r="287" ht="25.9" customHeight="1">
      <c r="A287" s="180" t="n">
        <v>272</v>
      </c>
      <c r="B287" s="248" t="n"/>
      <c r="C287" s="258" t="inlineStr">
        <is>
          <t>Прайс из СД ОП</t>
        </is>
      </c>
      <c r="D287" s="183" t="inlineStr">
        <is>
          <t>Клапан огнезадерживающий с электроприводом КПУ-1 М-О-Н-355-2*Ф-BLF 230-CH-МПР</t>
        </is>
      </c>
      <c r="E287" s="274" t="inlineStr">
        <is>
          <t>шт.</t>
        </is>
      </c>
      <c r="F287" s="182" t="n">
        <v>1</v>
      </c>
      <c r="G287" s="192" t="n">
        <v>1698.75</v>
      </c>
      <c r="H287" s="186">
        <f>ROUND(F287*G287,2)</f>
        <v/>
      </c>
      <c r="I287" s="198" t="n"/>
      <c r="K287" s="196" t="n"/>
    </row>
    <row r="288" ht="25.9" customHeight="1">
      <c r="A288" s="180" t="n">
        <v>273</v>
      </c>
      <c r="B288" s="248" t="n"/>
      <c r="C288" s="258" t="inlineStr">
        <is>
          <t>Прайс из СД ОП</t>
        </is>
      </c>
      <c r="D288" s="183" t="inlineStr">
        <is>
          <t>Клапан огнезадерживающий с электроприводом КПУ-1 Н-О-Н-315-2*Ф-BLF 230-CH-МПР</t>
        </is>
      </c>
      <c r="E288" s="274" t="inlineStr">
        <is>
          <t>шт.</t>
        </is>
      </c>
      <c r="F288" s="182" t="n">
        <v>1</v>
      </c>
      <c r="G288" s="192" t="n">
        <v>1698.75</v>
      </c>
      <c r="H288" s="186">
        <f>ROUND(F288*G288,2)</f>
        <v/>
      </c>
      <c r="I288" s="198" t="n"/>
      <c r="K288" s="196" t="n"/>
    </row>
    <row r="289" ht="25.9" customHeight="1">
      <c r="A289" s="180" t="n">
        <v>274</v>
      </c>
      <c r="B289" s="248" t="n"/>
      <c r="C289" s="182" t="inlineStr">
        <is>
          <t>101-2595</t>
        </is>
      </c>
      <c r="D289" s="183" t="inlineStr">
        <is>
          <t>Детали стальных трубчатых лесов, укомплектованные пробками, крючками и хомутами, окрашенные</t>
        </is>
      </c>
      <c r="E289" s="274" t="inlineStr">
        <is>
          <t>т</t>
        </is>
      </c>
      <c r="F289" s="182" t="n">
        <v>0.2738</v>
      </c>
      <c r="G289" s="192" t="n">
        <v>6102</v>
      </c>
      <c r="H289" s="186">
        <f>ROUND(F289*G289,2)</f>
        <v/>
      </c>
      <c r="I289" s="198" t="n"/>
      <c r="K289" s="196" t="n"/>
    </row>
    <row r="290" ht="25.9" customHeight="1">
      <c r="A290" s="180" t="n">
        <v>275</v>
      </c>
      <c r="B290" s="248" t="n"/>
      <c r="C290" s="182" t="inlineStr">
        <is>
          <t>101-0951</t>
        </is>
      </c>
      <c r="D290" s="183" t="inlineStr">
        <is>
          <t>Замок врезной оцинкованный с цилиндровым механизмом из латуни</t>
        </is>
      </c>
      <c r="E290" s="274" t="inlineStr">
        <is>
          <t>компл.</t>
        </is>
      </c>
      <c r="F290" s="182" t="n">
        <v>18</v>
      </c>
      <c r="G290" s="192" t="n">
        <v>92.52</v>
      </c>
      <c r="H290" s="186">
        <f>ROUND(F290*G290,2)</f>
        <v/>
      </c>
    </row>
    <row r="291">
      <c r="A291" s="180" t="n">
        <v>276</v>
      </c>
      <c r="B291" s="248" t="n"/>
      <c r="C291" s="182" t="inlineStr">
        <is>
          <t>101-2472</t>
        </is>
      </c>
      <c r="D291" s="183" t="inlineStr">
        <is>
          <t>Растворитель марки № 646</t>
        </is>
      </c>
      <c r="E291" s="274" t="inlineStr">
        <is>
          <t>т</t>
        </is>
      </c>
      <c r="F291" s="182" t="n">
        <v>0.1557</v>
      </c>
      <c r="G291" s="192" t="n">
        <v>10465</v>
      </c>
      <c r="H291" s="186">
        <f>ROUND(F291*G291,2)</f>
        <v/>
      </c>
    </row>
    <row r="292" ht="25.9" customHeight="1">
      <c r="A292" s="180" t="n">
        <v>277</v>
      </c>
      <c r="B292" s="248" t="n"/>
      <c r="C292" s="258" t="inlineStr">
        <is>
          <t>Прайс из СД ОП</t>
        </is>
      </c>
      <c r="D292" s="183" t="inlineStr">
        <is>
          <t>Клапан огнезадерживающий с электроприводом КПУ-1 Н-О-Н-200-2*Ф-BLF 230-CH-МПР</t>
        </is>
      </c>
      <c r="E292" s="274" t="inlineStr">
        <is>
          <t>шт.</t>
        </is>
      </c>
      <c r="F292" s="182" t="n">
        <v>1</v>
      </c>
      <c r="G292" s="192" t="n">
        <v>1624.61</v>
      </c>
      <c r="H292" s="186">
        <f>ROUND(F292*G292,2)</f>
        <v/>
      </c>
    </row>
    <row r="293" ht="51.6" customHeight="1">
      <c r="A293" s="180" t="n">
        <v>278</v>
      </c>
      <c r="B293" s="248" t="n"/>
      <c r="C293" s="182" t="inlineStr">
        <is>
          <t>103-2008</t>
        </is>
      </c>
      <c r="D293" s="183" t="inlineStr">
        <is>
          <t>Колено-раструб-гладкий конец из высокопрочного чугуна (с внутренним цементно-песчаным покрытием и наружным лаковым покрытием) УРГ диаметром 100 мм (90 град.)</t>
        </is>
      </c>
      <c r="E293" s="274" t="inlineStr">
        <is>
          <t>шт.</t>
        </is>
      </c>
      <c r="F293" s="182" t="n">
        <v>2</v>
      </c>
      <c r="G293" s="192" t="n">
        <v>807.48</v>
      </c>
      <c r="H293" s="186">
        <f>ROUND(F293*G293,2)</f>
        <v/>
      </c>
    </row>
    <row r="294">
      <c r="A294" s="180" t="n">
        <v>279</v>
      </c>
      <c r="B294" s="248" t="n"/>
      <c r="C294" s="182" t="inlineStr">
        <is>
          <t>301-0478</t>
        </is>
      </c>
      <c r="D294" s="183" t="inlineStr">
        <is>
          <t>Крепления для воздуховодов хомуты СТД 205</t>
        </is>
      </c>
      <c r="E294" s="274" t="inlineStr">
        <is>
          <t>т</t>
        </is>
      </c>
      <c r="F294" s="182" t="n">
        <v>0.18</v>
      </c>
      <c r="G294" s="192" t="n">
        <v>8814</v>
      </c>
      <c r="H294" s="186">
        <f>ROUND(F294*G294,2)</f>
        <v/>
      </c>
    </row>
    <row r="295">
      <c r="A295" s="180" t="n">
        <v>280</v>
      </c>
      <c r="B295" s="248" t="n"/>
      <c r="C295" s="182" t="inlineStr">
        <is>
          <t>101-1876</t>
        </is>
      </c>
      <c r="D295" s="183" t="inlineStr">
        <is>
          <t>Сталь листовая оцинкованная толщиной листа 0,8 мм</t>
        </is>
      </c>
      <c r="E295" s="274" t="inlineStr">
        <is>
          <t>т</t>
        </is>
      </c>
      <c r="F295" s="182" t="n">
        <v>0.1428</v>
      </c>
      <c r="G295" s="192" t="n">
        <v>11000</v>
      </c>
      <c r="H295" s="186">
        <f>ROUND(F295*G295,2)</f>
        <v/>
      </c>
    </row>
    <row r="296">
      <c r="A296" s="180" t="n">
        <v>281</v>
      </c>
      <c r="B296" s="248" t="n"/>
      <c r="C296" s="258" t="inlineStr">
        <is>
          <t>Прайс из СД ОП</t>
        </is>
      </c>
      <c r="D296" s="183" t="inlineStr">
        <is>
          <t>Планка коньковая  полукруглая 2,1 м LHP</t>
        </is>
      </c>
      <c r="E296" s="274" t="inlineStr">
        <is>
          <t>шт.</t>
        </is>
      </c>
      <c r="F296" s="182" t="n">
        <v>15.1905</v>
      </c>
      <c r="G296" s="192" t="n">
        <v>100.98</v>
      </c>
      <c r="H296" s="186">
        <f>ROUND(F296*G296,2)</f>
        <v/>
      </c>
    </row>
    <row r="297">
      <c r="A297" s="180" t="n">
        <v>282</v>
      </c>
      <c r="B297" s="248" t="n"/>
      <c r="C297" s="258" t="inlineStr">
        <is>
          <t>Прайс из СД ОП</t>
        </is>
      </c>
      <c r="D297" s="183" t="inlineStr">
        <is>
          <t>Короб TA-GN 25x30</t>
        </is>
      </c>
      <c r="E297" s="274" t="inlineStr">
        <is>
          <t>шт.</t>
        </is>
      </c>
      <c r="F297" s="182" t="n">
        <v>200</v>
      </c>
      <c r="G297" s="192" t="n">
        <v>7.53</v>
      </c>
      <c r="H297" s="186">
        <f>ROUND(F297*G297,2)</f>
        <v/>
      </c>
    </row>
    <row r="298" ht="25.9" customHeight="1">
      <c r="A298" s="180" t="n">
        <v>283</v>
      </c>
      <c r="B298" s="248" t="n"/>
      <c r="C298" s="182" t="inlineStr">
        <is>
          <t>103-2458</t>
        </is>
      </c>
      <c r="D298" s="183" t="inlineStr">
        <is>
          <t>Трубы гибкие гофрированные тяжелые из ПНД, серии BH, диаметром 16 мм</t>
        </is>
      </c>
      <c r="E298" s="274" t="inlineStr">
        <is>
          <t>10 м</t>
        </is>
      </c>
      <c r="F298" s="182" t="n">
        <v>43.35</v>
      </c>
      <c r="G298" s="192" t="n">
        <v>34.62</v>
      </c>
      <c r="H298" s="186">
        <f>ROUND(F298*G298,2)</f>
        <v/>
      </c>
    </row>
    <row r="299" ht="25.9" customHeight="1">
      <c r="A299" s="180" t="n">
        <v>284</v>
      </c>
      <c r="B299" s="248" t="n"/>
      <c r="C299" s="182" t="inlineStr">
        <is>
          <t>103-2461</t>
        </is>
      </c>
      <c r="D299" s="183" t="inlineStr">
        <is>
          <t>Трубы гибкие гофрированные тяжелые из ПНД, серии BH, диаметром 32 мм</t>
        </is>
      </c>
      <c r="E299" s="274" t="inlineStr">
        <is>
          <t>10 м</t>
        </is>
      </c>
      <c r="F299" s="182" t="n">
        <v>12.24</v>
      </c>
      <c r="G299" s="192" t="n">
        <v>122.26</v>
      </c>
      <c r="H299" s="186">
        <f>ROUND(F299*G299,2)</f>
        <v/>
      </c>
    </row>
    <row r="300">
      <c r="A300" s="180" t="n">
        <v>285</v>
      </c>
      <c r="B300" s="248" t="n"/>
      <c r="C300" s="182" t="inlineStr">
        <is>
          <t>509-6919</t>
        </is>
      </c>
      <c r="D300" s="183" t="inlineStr">
        <is>
          <t>Анкер-шпилька Hilti HST M12х115/20</t>
        </is>
      </c>
      <c r="E300" s="274" t="inlineStr">
        <is>
          <t>шт.</t>
        </is>
      </c>
      <c r="F300" s="182" t="n">
        <v>35</v>
      </c>
      <c r="G300" s="192" t="n">
        <v>42.49</v>
      </c>
      <c r="H300" s="186">
        <f>ROUND(F300*G300,2)</f>
        <v/>
      </c>
      <c r="I300" s="198" t="n"/>
    </row>
    <row r="301" ht="25.9" customFormat="1" customHeight="1" s="179">
      <c r="A301" s="180" t="n">
        <v>286</v>
      </c>
      <c r="B301" s="248" t="n"/>
      <c r="C301" s="182" t="inlineStr">
        <is>
          <t>301-4995</t>
        </is>
      </c>
      <c r="D301" s="183" t="inlineStr">
        <is>
          <t>Клапаны воздушные под ручной или электропривод ВК 500х300</t>
        </is>
      </c>
      <c r="E301" s="274" t="inlineStr">
        <is>
          <t>шт.</t>
        </is>
      </c>
      <c r="F301" s="182" t="n">
        <v>2</v>
      </c>
      <c r="G301" s="192" t="n">
        <v>739.4299999999999</v>
      </c>
      <c r="H301" s="186">
        <f>ROUND(F301*G301,2)</f>
        <v/>
      </c>
    </row>
    <row r="302" ht="25.9" customHeight="1">
      <c r="A302" s="180" t="n">
        <v>287</v>
      </c>
      <c r="B302" s="248" t="n"/>
      <c r="C302" s="182" t="inlineStr">
        <is>
          <t>203-0198</t>
        </is>
      </c>
      <c r="D302" s="183" t="inlineStr">
        <is>
          <t>Блоки дверные однопольные с полотном глухим ДГ 21-7, площадь 1,39 м2; ДГ 21-8, площадь 1,59 м2</t>
        </is>
      </c>
      <c r="E302" s="274" t="inlineStr">
        <is>
          <t>м2</t>
        </is>
      </c>
      <c r="F302" s="182" t="n">
        <v>6.72</v>
      </c>
      <c r="G302" s="192" t="n">
        <v>218.09</v>
      </c>
      <c r="H302" s="186">
        <f>ROUND(F302*G302,2)</f>
        <v/>
      </c>
      <c r="I302" s="198" t="n"/>
      <c r="K302" s="196" t="n"/>
    </row>
    <row r="303" ht="38.85" customHeight="1">
      <c r="A303" s="180" t="n">
        <v>288</v>
      </c>
      <c r="B303" s="248" t="n"/>
      <c r="C303" s="182" t="inlineStr">
        <is>
          <t>302-0892</t>
        </is>
      </c>
      <c r="D303" s="18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50 мм</t>
        </is>
      </c>
      <c r="E303" s="274" t="inlineStr">
        <is>
          <t>м</t>
        </is>
      </c>
      <c r="F303" s="182" t="n">
        <v>24</v>
      </c>
      <c r="G303" s="192" t="n">
        <v>60.37</v>
      </c>
      <c r="H303" s="186">
        <f>ROUND(F303*G303,2)</f>
        <v/>
      </c>
      <c r="I303" s="198" t="n"/>
      <c r="K303" s="196" t="n"/>
    </row>
    <row r="304" ht="25.9" customHeight="1">
      <c r="A304" s="180" t="n">
        <v>289</v>
      </c>
      <c r="B304" s="248" t="n"/>
      <c r="C304" s="182" t="inlineStr">
        <is>
          <t>401-0092</t>
        </is>
      </c>
      <c r="D304" s="183" t="inlineStr">
        <is>
          <t>Бетон тяжелый, крупность заполнителя 10 мм, класс В35 (М450)</t>
        </is>
      </c>
      <c r="E304" s="274" t="inlineStr">
        <is>
          <t>м3</t>
        </is>
      </c>
      <c r="F304" s="182" t="n">
        <v>1.428</v>
      </c>
      <c r="G304" s="192" t="n">
        <v>998.41</v>
      </c>
      <c r="H304" s="186">
        <f>ROUND(F304*G304,2)</f>
        <v/>
      </c>
      <c r="I304" s="198" t="n"/>
    </row>
    <row r="305">
      <c r="A305" s="180" t="n">
        <v>290</v>
      </c>
      <c r="B305" s="248" t="n"/>
      <c r="C305" s="182" t="inlineStr">
        <is>
          <t>402-0008</t>
        </is>
      </c>
      <c r="D305" s="183" t="inlineStr">
        <is>
          <t>Раствор готовый кладочный цементный марки 300</t>
        </is>
      </c>
      <c r="E305" s="274" t="inlineStr">
        <is>
          <t>м3</t>
        </is>
      </c>
      <c r="F305" s="182" t="n">
        <v>2.0037</v>
      </c>
      <c r="G305" s="192" t="n">
        <v>711.5</v>
      </c>
      <c r="H305" s="186">
        <f>ROUND(F305*G305,2)</f>
        <v/>
      </c>
      <c r="I305" s="198" t="n"/>
    </row>
    <row r="306">
      <c r="A306" s="180" t="n">
        <v>291</v>
      </c>
      <c r="B306" s="248" t="n"/>
      <c r="C306" s="182" t="inlineStr">
        <is>
          <t>101-1513</t>
        </is>
      </c>
      <c r="D306" s="183" t="inlineStr">
        <is>
          <t>Электроды диаметром 4 мм Э42</t>
        </is>
      </c>
      <c r="E306" s="274" t="inlineStr">
        <is>
          <t>т</t>
        </is>
      </c>
      <c r="F306" s="182" t="n">
        <v>0.1379</v>
      </c>
      <c r="G306" s="192" t="n">
        <v>10315</v>
      </c>
      <c r="H306" s="186">
        <f>ROUND(F306*G306,2)</f>
        <v/>
      </c>
      <c r="I306" s="198" t="n"/>
    </row>
    <row r="307" ht="25.9" customHeight="1">
      <c r="A307" s="180" t="n">
        <v>292</v>
      </c>
      <c r="B307" s="248" t="n"/>
      <c r="C307" s="182" t="inlineStr">
        <is>
          <t>103-0632</t>
        </is>
      </c>
      <c r="D307" s="183" t="inlineStr">
        <is>
          <t>Трубы чугунные напорные раструбные класса А наружный диаметр 65 мм, толщина стенки 7,4 мм</t>
        </is>
      </c>
      <c r="E307" s="274" t="inlineStr">
        <is>
          <t>м</t>
        </is>
      </c>
      <c r="F307" s="182" t="n">
        <v>15.3</v>
      </c>
      <c r="G307" s="192" t="n">
        <v>92.16</v>
      </c>
      <c r="H307" s="186">
        <f>ROUND(F307*G307,2)</f>
        <v/>
      </c>
      <c r="I307" s="198" t="n"/>
    </row>
    <row r="308">
      <c r="A308" s="180" t="n">
        <v>293</v>
      </c>
      <c r="B308" s="248" t="n"/>
      <c r="C308" s="182" t="inlineStr">
        <is>
          <t>101-1667</t>
        </is>
      </c>
      <c r="D308" s="183" t="inlineStr">
        <is>
          <t>Шпатлевка масляно-клеевая</t>
        </is>
      </c>
      <c r="E308" s="274" t="inlineStr">
        <is>
          <t>т</t>
        </is>
      </c>
      <c r="F308" s="182" t="n">
        <v>0.4721</v>
      </c>
      <c r="G308" s="192" t="n">
        <v>2898.5</v>
      </c>
      <c r="H308" s="186">
        <f>ROUND(F308*G308,2)</f>
        <v/>
      </c>
      <c r="I308" s="198" t="n"/>
    </row>
    <row r="309" ht="25.9" customHeight="1">
      <c r="A309" s="180" t="n">
        <v>294</v>
      </c>
      <c r="B309" s="248" t="n"/>
      <c r="C309" s="182" t="inlineStr">
        <is>
          <t>101-0874</t>
        </is>
      </c>
      <c r="D309" s="183" t="inlineStr">
        <is>
          <t>Сетка тканая с квадратными ячейками № 05 без покрытия</t>
        </is>
      </c>
      <c r="E309" s="274" t="inlineStr">
        <is>
          <t>м2</t>
        </is>
      </c>
      <c r="F309" s="182" t="n">
        <v>47.3</v>
      </c>
      <c r="G309" s="192" t="n">
        <v>28.25</v>
      </c>
      <c r="H309" s="186">
        <f>ROUND(F309*G309,2)</f>
        <v/>
      </c>
      <c r="I309" s="198" t="n"/>
    </row>
    <row r="310" ht="25.9" customHeight="1">
      <c r="A310" s="180" t="n">
        <v>295</v>
      </c>
      <c r="B310" s="248" t="n"/>
      <c r="C310" s="182" t="inlineStr">
        <is>
          <t>301-6707</t>
        </is>
      </c>
      <c r="D310" s="183" t="inlineStr">
        <is>
          <t>Шумоглушители для круглых воздуховодов марки CSA-400/600 АРКТОС</t>
        </is>
      </c>
      <c r="E310" s="274" t="inlineStr">
        <is>
          <t>шт.</t>
        </is>
      </c>
      <c r="F310" s="182" t="n">
        <v>1</v>
      </c>
      <c r="G310" s="192" t="n">
        <v>1329.72</v>
      </c>
      <c r="H310" s="186">
        <f>ROUND(F310*G310,2)</f>
        <v/>
      </c>
      <c r="I310" s="198" t="n"/>
    </row>
    <row r="311" ht="25.9" customHeight="1">
      <c r="A311" s="180" t="n">
        <v>296</v>
      </c>
      <c r="B311" s="248" t="n"/>
      <c r="C311" s="182" t="inlineStr">
        <is>
          <t>301-2634</t>
        </is>
      </c>
      <c r="D311" s="183" t="inlineStr">
        <is>
          <t>Решетки вентиляционные алюминиевые "АРКТОС" типа АРН размером 300х500 мм</t>
        </is>
      </c>
      <c r="E311" s="274" t="inlineStr">
        <is>
          <t>шт.</t>
        </is>
      </c>
      <c r="F311" s="182" t="n">
        <v>2</v>
      </c>
      <c r="G311" s="192" t="n">
        <v>659.4</v>
      </c>
      <c r="H311" s="186">
        <f>ROUND(F311*G311,2)</f>
        <v/>
      </c>
      <c r="I311" s="198" t="n"/>
    </row>
    <row r="312" ht="25.9" customHeight="1">
      <c r="A312" s="180" t="n">
        <v>297</v>
      </c>
      <c r="B312" s="248" t="n"/>
      <c r="C312" s="182" t="inlineStr">
        <is>
          <t>102-0023</t>
        </is>
      </c>
      <c r="D312" s="183" t="inlineStr">
        <is>
          <t>Бруски обрезные хвойных пород длиной 4-6,5 м, шириной 75-150 мм, толщиной 40-75 мм, I сорта</t>
        </is>
      </c>
      <c r="E312" s="274" t="inlineStr">
        <is>
          <t>м3</t>
        </is>
      </c>
      <c r="F312" s="182" t="n">
        <v>0.7752</v>
      </c>
      <c r="G312" s="192" t="n">
        <v>1700</v>
      </c>
      <c r="H312" s="186">
        <f>ROUND(F312*G312,2)</f>
        <v/>
      </c>
      <c r="I312" s="198" t="n"/>
    </row>
    <row r="313">
      <c r="A313" s="180" t="n">
        <v>298</v>
      </c>
      <c r="B313" s="248" t="n"/>
      <c r="C313" s="258" t="inlineStr">
        <is>
          <t>Прайс из СД ОП</t>
        </is>
      </c>
      <c r="D313" s="183" t="inlineStr">
        <is>
          <t>Электропривод ASO-R03.F8Nm</t>
        </is>
      </c>
      <c r="E313" s="274" t="inlineStr">
        <is>
          <t>шт.</t>
        </is>
      </c>
      <c r="F313" s="182" t="n">
        <v>1</v>
      </c>
      <c r="G313" s="192" t="n">
        <v>1277.13</v>
      </c>
      <c r="H313" s="186">
        <f>ROUND(F313*G313,2)</f>
        <v/>
      </c>
      <c r="I313" s="198" t="n"/>
    </row>
    <row r="314" customFormat="1" s="179">
      <c r="A314" s="180" t="n">
        <v>299</v>
      </c>
      <c r="B314" s="248" t="n"/>
      <c r="C314" s="258" t="inlineStr">
        <is>
          <t>Прайс из СД ОП</t>
        </is>
      </c>
      <c r="D314" s="183" t="inlineStr">
        <is>
          <t xml:space="preserve">Лестница 4,2м </t>
        </is>
      </c>
      <c r="E314" s="274" t="inlineStr">
        <is>
          <t>шт.</t>
        </is>
      </c>
      <c r="F314" s="182" t="n">
        <v>1.6905</v>
      </c>
      <c r="G314" s="192" t="n">
        <v>751.84</v>
      </c>
      <c r="H314" s="186">
        <f>ROUND(F314*G314,2)</f>
        <v/>
      </c>
      <c r="I314" s="198" t="n"/>
    </row>
    <row r="315">
      <c r="A315" s="180" t="n">
        <v>300</v>
      </c>
      <c r="B315" s="248" t="n"/>
      <c r="C315" s="258" t="inlineStr">
        <is>
          <t>Прайс из СД ОП</t>
        </is>
      </c>
      <c r="D315" s="183" t="inlineStr">
        <is>
          <t>Клапан инфильтрации воздуха КИВ-125</t>
        </is>
      </c>
      <c r="E315" s="274" t="inlineStr">
        <is>
          <t>шт</t>
        </is>
      </c>
      <c r="F315" s="182" t="n">
        <v>3</v>
      </c>
      <c r="G315" s="192" t="n">
        <v>422.54</v>
      </c>
      <c r="H315" s="186">
        <f>ROUND(F315*G315,2)</f>
        <v/>
      </c>
      <c r="I315" s="198" t="n"/>
    </row>
    <row r="316" ht="25.9" customHeight="1">
      <c r="A316" s="180" t="n">
        <v>301</v>
      </c>
      <c r="B316" s="248" t="n"/>
      <c r="C316" s="182" t="inlineStr">
        <is>
          <t>301-1790</t>
        </is>
      </c>
      <c r="D316" s="183" t="inlineStr">
        <is>
          <t>Воздуховоды из оцинкованной стали толщиной 0,6 мм, диаметром до 450 мм (д. 315 мм)</t>
        </is>
      </c>
      <c r="E316" s="274" t="inlineStr">
        <is>
          <t>м2</t>
        </is>
      </c>
      <c r="F316" s="182" t="n">
        <v>15</v>
      </c>
      <c r="G316" s="192" t="n">
        <v>84.05</v>
      </c>
      <c r="H316" s="186">
        <f>ROUND(F316*G316,2)</f>
        <v/>
      </c>
      <c r="I316" s="198" t="n"/>
      <c r="K316" s="196" t="n"/>
    </row>
    <row r="317" ht="25.9" customHeight="1">
      <c r="A317" s="180" t="n">
        <v>302</v>
      </c>
      <c r="B317" s="248" t="n"/>
      <c r="C317" s="182" t="inlineStr">
        <is>
          <t>Общ.указания к ФССЦ</t>
        </is>
      </c>
      <c r="D317" s="183" t="inlineStr">
        <is>
          <t>Надбавка на водонепроницаемость бетона В35, W6, F150</t>
        </is>
      </c>
      <c r="E317" s="274" t="inlineStr">
        <is>
          <t>м3</t>
        </is>
      </c>
      <c r="F317" s="182" t="n">
        <v>1.428</v>
      </c>
      <c r="G317" s="192" t="n">
        <v>881.21</v>
      </c>
      <c r="H317" s="186">
        <f>ROUND(F317*G317,2)</f>
        <v/>
      </c>
      <c r="I317" s="198" t="n"/>
      <c r="K317" s="196" t="n"/>
    </row>
    <row r="318" ht="51.6" customHeight="1">
      <c r="A318" s="180" t="n">
        <v>303</v>
      </c>
      <c r="B318" s="248" t="n"/>
      <c r="C318" s="258" t="inlineStr">
        <is>
          <t>Прайс из СД ОП</t>
        </is>
      </c>
      <c r="D318" s="183" t="inlineStr">
        <is>
          <t>Светильник светодиодный для промышленного освещения 16Вт  (Кмат=6,63 - пересчет в цены 2000 г. - ФЕР - Респ.Карелия (г.Петрозаводск). (Письмо МР на 4 кв. 2013 г. № 21331-СД/10 от 12.11.13 г.))</t>
        </is>
      </c>
      <c r="E318" s="274" t="inlineStr">
        <is>
          <t>шт.</t>
        </is>
      </c>
      <c r="F318" s="182" t="n">
        <v>3</v>
      </c>
      <c r="G318" s="192" t="n">
        <v>405.83</v>
      </c>
      <c r="H318" s="186">
        <f>ROUND(F318*G318,2)</f>
        <v/>
      </c>
      <c r="I318" s="198" t="n"/>
      <c r="K318" s="196" t="n"/>
    </row>
    <row r="319">
      <c r="A319" s="180" t="n">
        <v>304</v>
      </c>
      <c r="B319" s="248" t="n"/>
      <c r="C319" s="182" t="inlineStr">
        <is>
          <t>509-1310</t>
        </is>
      </c>
      <c r="D319" s="183" t="inlineStr">
        <is>
          <t>Щитки осветительные ОЩВ-12А УХЛ4</t>
        </is>
      </c>
      <c r="E319" s="274" t="inlineStr">
        <is>
          <t>шт.</t>
        </is>
      </c>
      <c r="F319" s="182" t="n">
        <v>1</v>
      </c>
      <c r="G319" s="192" t="n">
        <v>1213.77</v>
      </c>
      <c r="H319" s="186">
        <f>ROUND(F319*G319,2)</f>
        <v/>
      </c>
      <c r="I319" s="198" t="n"/>
      <c r="K319" s="196" t="n"/>
    </row>
    <row r="320">
      <c r="A320" s="180" t="n">
        <v>305</v>
      </c>
      <c r="B320" s="248" t="n"/>
      <c r="C320" s="182" t="inlineStr">
        <is>
          <t>509-5146</t>
        </is>
      </c>
      <c r="D320" s="183" t="inlineStr">
        <is>
          <t>Переключатели малогабаритные ПМВ</t>
        </is>
      </c>
      <c r="E320" s="274" t="inlineStr">
        <is>
          <t>шт.</t>
        </is>
      </c>
      <c r="F320" s="182" t="n">
        <v>8</v>
      </c>
      <c r="G320" s="192" t="n">
        <v>150.86</v>
      </c>
      <c r="H320" s="186">
        <f>ROUND(F320*G320,2)</f>
        <v/>
      </c>
    </row>
    <row r="321" ht="25.9" customHeight="1">
      <c r="A321" s="180" t="n">
        <v>306</v>
      </c>
      <c r="B321" s="248" t="n"/>
      <c r="C321" s="182" t="inlineStr">
        <is>
          <t>301-0008</t>
        </is>
      </c>
      <c r="D321" s="183" t="inlineStr">
        <is>
          <t>Аппараты водонагревательные газовые бытовые проточные</t>
        </is>
      </c>
      <c r="E321" s="274" t="inlineStr">
        <is>
          <t>шт.</t>
        </is>
      </c>
      <c r="F321" s="182" t="n">
        <v>1</v>
      </c>
      <c r="G321" s="192" t="n">
        <v>1200</v>
      </c>
      <c r="H321" s="186">
        <f>ROUND(F321*G321,2)</f>
        <v/>
      </c>
    </row>
    <row r="322" ht="38.85" customHeight="1">
      <c r="A322" s="180" t="n">
        <v>307</v>
      </c>
      <c r="B322" s="248" t="n"/>
      <c r="C322" s="182" t="inlineStr">
        <is>
          <t>103-0560</t>
        </is>
      </c>
      <c r="D322" s="183" t="inlineStr">
        <is>
          <t>Трубы бесшовные обсадные из стали группы Д и Б с короткой треугольной резьбой, наружным диаметром 324 мм, толщина стенки 11 мм</t>
        </is>
      </c>
      <c r="E322" s="274" t="inlineStr">
        <is>
          <t>м</t>
        </is>
      </c>
      <c r="F322" s="182" t="n">
        <v>1.4</v>
      </c>
      <c r="G322" s="192" t="n">
        <v>851.29</v>
      </c>
      <c r="H322" s="186">
        <f>ROUND(F322*G322,2)</f>
        <v/>
      </c>
    </row>
    <row r="323" ht="38.85" customHeight="1">
      <c r="A323" s="180" t="n">
        <v>308</v>
      </c>
      <c r="B323" s="248" t="n"/>
      <c r="C323" s="182" t="inlineStr">
        <is>
          <t>302-1712</t>
        </is>
      </c>
      <c r="D323" s="183" t="inlineStr">
        <is>
          <t>Задвижки клиновые с выдвижным шпинделем фланцевые для воды и пара давлением 1 МПа (10 кгс/см2) 30с41нж диаметром 100 мм</t>
        </is>
      </c>
      <c r="E323" s="274" t="inlineStr">
        <is>
          <t>шт.</t>
        </is>
      </c>
      <c r="F323" s="182" t="n">
        <v>1</v>
      </c>
      <c r="G323" s="192" t="n">
        <v>1135.2</v>
      </c>
      <c r="H323" s="186">
        <f>ROUND(F323*G323,2)</f>
        <v/>
      </c>
    </row>
    <row r="324">
      <c r="A324" s="180" t="n">
        <v>309</v>
      </c>
      <c r="B324" s="248" t="n"/>
      <c r="C324" s="182" t="inlineStr">
        <is>
          <t>101-0322</t>
        </is>
      </c>
      <c r="D324" s="183" t="inlineStr">
        <is>
          <t>Керосин для технических целей марок КТ-1, КТ-2</t>
        </is>
      </c>
      <c r="E324" s="274" t="inlineStr">
        <is>
          <t>т</t>
        </is>
      </c>
      <c r="F324" s="182" t="n">
        <v>0.432</v>
      </c>
      <c r="G324" s="192" t="n">
        <v>2606.9</v>
      </c>
      <c r="H324" s="186">
        <f>ROUND(F324*G324,2)</f>
        <v/>
      </c>
    </row>
    <row r="325" ht="25.9" customHeight="1">
      <c r="A325" s="180" t="n">
        <v>310</v>
      </c>
      <c r="B325" s="248" t="n"/>
      <c r="C325" s="182" t="inlineStr">
        <is>
          <t>101-0889</t>
        </is>
      </c>
      <c r="D325" s="183" t="inlineStr">
        <is>
          <t>Скобяные изделия для блоков входных дверей в помещение однопольных</t>
        </is>
      </c>
      <c r="E325" s="274" t="inlineStr">
        <is>
          <t>компл.</t>
        </is>
      </c>
      <c r="F325" s="182" t="n">
        <v>11</v>
      </c>
      <c r="G325" s="192" t="n">
        <v>94.68000000000001</v>
      </c>
      <c r="H325" s="186">
        <f>ROUND(F325*G325,2)</f>
        <v/>
      </c>
    </row>
    <row r="326" ht="25.9" customHeight="1">
      <c r="A326" s="180" t="n">
        <v>311</v>
      </c>
      <c r="B326" s="248" t="n"/>
      <c r="C326" s="182" t="inlineStr">
        <is>
          <t>301-1222</t>
        </is>
      </c>
      <c r="D326" s="183" t="inlineStr">
        <is>
          <t>Шиберы в обечайке из тонколистовой оцинкованной и сортовой стали круглые, диаметром до 160 мм</t>
        </is>
      </c>
      <c r="E326" s="274" t="inlineStr">
        <is>
          <t>шт.</t>
        </is>
      </c>
      <c r="F326" s="182" t="n">
        <v>13</v>
      </c>
      <c r="G326" s="192" t="n">
        <v>80</v>
      </c>
      <c r="H326" s="186">
        <f>ROUND(F326*G326,2)</f>
        <v/>
      </c>
    </row>
    <row r="327" ht="25.9" customHeight="1">
      <c r="A327" s="180" t="n">
        <v>312</v>
      </c>
      <c r="B327" s="248" t="n"/>
      <c r="C327" s="182" t="inlineStr">
        <is>
          <t>301-6710</t>
        </is>
      </c>
      <c r="D327" s="183" t="inlineStr">
        <is>
          <t>Шумоглушители для прямоугольных воздуховодов марки RSA 400х200/1000 АРКТОС</t>
        </is>
      </c>
      <c r="E327" s="274" t="inlineStr">
        <is>
          <t>шт.</t>
        </is>
      </c>
      <c r="F327" s="182" t="n">
        <v>1</v>
      </c>
      <c r="G327" s="192" t="n">
        <v>1022.87</v>
      </c>
      <c r="H327" s="186">
        <f>ROUND(F327*G327,2)</f>
        <v/>
      </c>
    </row>
    <row r="328">
      <c r="A328" s="180" t="n">
        <v>313</v>
      </c>
      <c r="B328" s="248" t="n"/>
      <c r="C328" s="182" t="inlineStr">
        <is>
          <t>101-1716</t>
        </is>
      </c>
      <c r="D328" s="183" t="inlineStr">
        <is>
          <t>Детали крепления массой до 0,001т</t>
        </is>
      </c>
      <c r="E328" s="274" t="inlineStr">
        <is>
          <t>т</t>
        </is>
      </c>
      <c r="F328" s="182" t="n">
        <v>0.1</v>
      </c>
      <c r="G328" s="192" t="n">
        <v>10100</v>
      </c>
      <c r="H328" s="186">
        <f>ROUND(F328*G328,2)</f>
        <v/>
      </c>
    </row>
    <row r="329" ht="64.5" customHeight="1">
      <c r="A329" s="180" t="n">
        <v>314</v>
      </c>
      <c r="B329" s="248" t="n"/>
      <c r="C329" s="182" t="inlineStr">
        <is>
          <t>204-0064</t>
        </is>
      </c>
      <c r="D329" s="183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29" s="274" t="inlineStr">
        <is>
          <t>т</t>
        </is>
      </c>
      <c r="F329" s="182" t="n">
        <v>0.1456</v>
      </c>
      <c r="G329" s="192" t="n">
        <v>6800</v>
      </c>
      <c r="H329" s="186">
        <f>ROUND(F329*G329,2)</f>
        <v/>
      </c>
    </row>
    <row r="330" ht="25.9" customHeight="1">
      <c r="A330" s="180" t="n">
        <v>315</v>
      </c>
      <c r="B330" s="248" t="n"/>
      <c r="C330" s="182" t="inlineStr">
        <is>
          <t>101-2412</t>
        </is>
      </c>
      <c r="D330" s="183" t="inlineStr">
        <is>
          <t>Наличники из оцинкованной стали с полимерным покрытием</t>
        </is>
      </c>
      <c r="E330" s="274" t="inlineStr">
        <is>
          <t>п.м</t>
        </is>
      </c>
      <c r="F330" s="182" t="n">
        <v>25.12</v>
      </c>
      <c r="G330" s="192" t="n">
        <v>38.82</v>
      </c>
      <c r="H330" s="186">
        <f>ROUND(F330*G330,2)</f>
        <v/>
      </c>
      <c r="I330" s="198" t="n"/>
    </row>
    <row r="331">
      <c r="A331" s="180" t="n">
        <v>316</v>
      </c>
      <c r="B331" s="248" t="n"/>
      <c r="C331" s="182" t="inlineStr">
        <is>
          <t>203-0511</t>
        </is>
      </c>
      <c r="D331" s="183" t="inlineStr">
        <is>
          <t>Щиты из досок толщиной 25 мм</t>
        </is>
      </c>
      <c r="E331" s="274" t="inlineStr">
        <is>
          <t>м2</t>
        </is>
      </c>
      <c r="F331" s="182" t="n">
        <v>26.713</v>
      </c>
      <c r="G331" s="192" t="n">
        <v>35.53</v>
      </c>
      <c r="H331" s="186">
        <f>ROUND(F331*G331,2)</f>
        <v/>
      </c>
      <c r="I331" s="198" t="n"/>
    </row>
    <row r="332" ht="25.9" customHeight="1">
      <c r="A332" s="180" t="n">
        <v>317</v>
      </c>
      <c r="B332" s="248" t="n"/>
      <c r="C332" s="182" t="inlineStr">
        <is>
          <t>101-1703</t>
        </is>
      </c>
      <c r="D332" s="183" t="inlineStr">
        <is>
          <t>Прокладки резиновые (пластина техническая прессованная)</t>
        </is>
      </c>
      <c r="E332" s="274" t="inlineStr">
        <is>
          <t>кг</t>
        </is>
      </c>
      <c r="F332" s="182" t="n">
        <v>40.7684</v>
      </c>
      <c r="G332" s="192" t="n">
        <v>23.09</v>
      </c>
      <c r="H332" s="186">
        <f>ROUND(F332*G332,2)</f>
        <v/>
      </c>
      <c r="I332" s="198" t="n"/>
    </row>
    <row r="333">
      <c r="A333" s="180" t="n">
        <v>318</v>
      </c>
      <c r="B333" s="248" t="n"/>
      <c r="C333" s="182" t="inlineStr">
        <is>
          <t>101-1705</t>
        </is>
      </c>
      <c r="D333" s="183" t="inlineStr">
        <is>
          <t>Пакля пропитанная</t>
        </is>
      </c>
      <c r="E333" s="274" t="inlineStr">
        <is>
          <t>кг</t>
        </is>
      </c>
      <c r="F333" s="182" t="n">
        <v>101.9182</v>
      </c>
      <c r="G333" s="192" t="n">
        <v>9.039999999999999</v>
      </c>
      <c r="H333" s="186">
        <f>ROUND(F333*G333,2)</f>
        <v/>
      </c>
      <c r="I333" s="198" t="n"/>
    </row>
    <row r="334">
      <c r="A334" s="180" t="n">
        <v>319</v>
      </c>
      <c r="B334" s="248" t="n"/>
      <c r="C334" s="182" t="inlineStr">
        <is>
          <t>104-0002</t>
        </is>
      </c>
      <c r="D334" s="183" t="inlineStr">
        <is>
          <t>Вата минеральная</t>
        </is>
      </c>
      <c r="E334" s="274" t="inlineStr">
        <is>
          <t>м3</t>
        </is>
      </c>
      <c r="F334" s="182" t="n">
        <v>4.579</v>
      </c>
      <c r="G334" s="192" t="n">
        <v>200</v>
      </c>
      <c r="H334" s="186">
        <f>ROUND(F334*G334,2)</f>
        <v/>
      </c>
      <c r="I334" s="198" t="n"/>
    </row>
    <row r="335" ht="38.85" customHeight="1">
      <c r="A335" s="180" t="n">
        <v>320</v>
      </c>
      <c r="B335" s="248" t="n"/>
      <c r="C335" s="182" t="inlineStr">
        <is>
          <t>204-0059</t>
        </is>
      </c>
      <c r="D335" s="18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335" s="274" t="inlineStr">
        <is>
          <t>т</t>
        </is>
      </c>
      <c r="F335" s="182" t="n">
        <v>0.09030000000000001</v>
      </c>
      <c r="G335" s="192" t="n">
        <v>10100</v>
      </c>
      <c r="H335" s="186">
        <f>ROUND(F335*G335,2)</f>
        <v/>
      </c>
      <c r="I335" s="198" t="n"/>
    </row>
    <row r="336" ht="25.9" customHeight="1">
      <c r="A336" s="180" t="n">
        <v>321</v>
      </c>
      <c r="B336" s="248" t="n"/>
      <c r="C336" s="182" t="inlineStr">
        <is>
          <t>201-0843</t>
        </is>
      </c>
      <c r="D336" s="183" t="inlineStr">
        <is>
          <t>Конструкции стальные индивидуальные решетчатые сварные массой до 0,1 т</t>
        </is>
      </c>
      <c r="E336" s="274" t="inlineStr">
        <is>
          <t>т</t>
        </is>
      </c>
      <c r="F336" s="182" t="n">
        <v>0.079</v>
      </c>
      <c r="G336" s="192" t="n">
        <v>11500</v>
      </c>
      <c r="H336" s="186">
        <f>ROUND(F336*G336,2)</f>
        <v/>
      </c>
      <c r="I336" s="198" t="n"/>
    </row>
    <row r="337" ht="25.9" customHeight="1">
      <c r="A337" s="180" t="n">
        <v>322</v>
      </c>
      <c r="B337" s="248" t="n"/>
      <c r="C337" s="182" t="inlineStr">
        <is>
          <t>301-2637</t>
        </is>
      </c>
      <c r="D337" s="183" t="inlineStr">
        <is>
          <t>Решетки вентиляционные алюминиевые "АРКТОС" типа АРН размером 400х400 мм</t>
        </is>
      </c>
      <c r="E337" s="274" t="inlineStr">
        <is>
          <t>шт.</t>
        </is>
      </c>
      <c r="F337" s="182" t="n">
        <v>1</v>
      </c>
      <c r="G337" s="192" t="n">
        <v>908.3</v>
      </c>
      <c r="H337" s="186">
        <f>ROUND(F337*G337,2)</f>
        <v/>
      </c>
      <c r="I337" s="198" t="n"/>
    </row>
    <row r="338">
      <c r="A338" s="180" t="n">
        <v>323</v>
      </c>
      <c r="B338" s="248" t="n"/>
      <c r="C338" s="182" t="inlineStr">
        <is>
          <t>401-0007</t>
        </is>
      </c>
      <c r="D338" s="183" t="inlineStr">
        <is>
          <t>Бетон тяжелый, класс В20 (М250)</t>
        </is>
      </c>
      <c r="E338" s="274" t="inlineStr">
        <is>
          <t>м3</t>
        </is>
      </c>
      <c r="F338" s="182" t="n">
        <v>1.36</v>
      </c>
      <c r="G338" s="192" t="n">
        <v>665</v>
      </c>
      <c r="H338" s="186">
        <f>ROUND(F338*G338,2)</f>
        <v/>
      </c>
      <c r="I338" s="198" t="n"/>
    </row>
    <row r="339" customFormat="1" s="179">
      <c r="A339" s="180" t="n">
        <v>324</v>
      </c>
      <c r="B339" s="248" t="n"/>
      <c r="C339" s="182" t="inlineStr">
        <is>
          <t>101-1929</t>
        </is>
      </c>
      <c r="D339" s="183" t="inlineStr">
        <is>
          <t>Болты анкерные</t>
        </is>
      </c>
      <c r="E339" s="274" t="inlineStr">
        <is>
          <t>т</t>
        </is>
      </c>
      <c r="F339" s="182" t="n">
        <v>0.0897</v>
      </c>
      <c r="G339" s="192" t="n">
        <v>10068</v>
      </c>
      <c r="H339" s="186">
        <f>ROUND(F339*G339,2)</f>
        <v/>
      </c>
      <c r="I339" s="198" t="n"/>
    </row>
    <row r="340">
      <c r="A340" s="180" t="n">
        <v>325</v>
      </c>
      <c r="B340" s="248" t="n"/>
      <c r="C340" s="182" t="inlineStr">
        <is>
          <t>101-2512</t>
        </is>
      </c>
      <c r="D340" s="183" t="inlineStr">
        <is>
          <t>Листы гипсокартонные ГКЛВ 12,5 мм</t>
        </is>
      </c>
      <c r="E340" s="274" t="inlineStr">
        <is>
          <t>м2</t>
        </is>
      </c>
      <c r="F340" s="182" t="n">
        <v>43.26</v>
      </c>
      <c r="G340" s="192" t="n">
        <v>20.47</v>
      </c>
      <c r="H340" s="186">
        <f>ROUND(F340*G340,2)</f>
        <v/>
      </c>
      <c r="I340" s="198" t="n"/>
    </row>
    <row r="341" ht="25.9" customHeight="1">
      <c r="A341" s="180" t="n">
        <v>326</v>
      </c>
      <c r="B341" s="248" t="n"/>
      <c r="C341" s="182" t="inlineStr">
        <is>
          <t>509-5220</t>
        </is>
      </c>
      <c r="D341" s="183" t="inlineStr">
        <is>
          <t>Перемычки гибкие ПГС-25-280 У2,5 (прим.: ПГС 35-280, ПГС 35-900)</t>
        </is>
      </c>
      <c r="E341" s="274" t="inlineStr">
        <is>
          <t>шт.</t>
        </is>
      </c>
      <c r="F341" s="182" t="n">
        <v>50</v>
      </c>
      <c r="G341" s="192" t="n">
        <v>17.62</v>
      </c>
      <c r="H341" s="186">
        <f>ROUND(F341*G341,2)</f>
        <v/>
      </c>
      <c r="I341" s="198" t="n"/>
      <c r="K341" s="196" t="n"/>
    </row>
    <row r="342" ht="25.9" customHeight="1">
      <c r="A342" s="180" t="n">
        <v>327</v>
      </c>
      <c r="B342" s="248" t="n"/>
      <c r="C342" s="182" t="inlineStr">
        <is>
          <t>509-2857</t>
        </is>
      </c>
      <c r="D342" s="183" t="inlineStr">
        <is>
          <t>Лоток металлический перфорированный размером 50х50 мм, с крышкой</t>
        </is>
      </c>
      <c r="E342" s="274" t="inlineStr">
        <is>
          <t>м</t>
        </is>
      </c>
      <c r="F342" s="182" t="n">
        <v>33</v>
      </c>
      <c r="G342" s="192" t="n">
        <v>26.11</v>
      </c>
      <c r="H342" s="186">
        <f>ROUND(F342*G342,2)</f>
        <v/>
      </c>
      <c r="I342" s="198" t="n"/>
      <c r="K342" s="196" t="n"/>
    </row>
    <row r="343">
      <c r="A343" s="180" t="n">
        <v>328</v>
      </c>
      <c r="B343" s="248" t="n"/>
      <c r="C343" s="182" t="inlineStr">
        <is>
          <t>104-1703</t>
        </is>
      </c>
      <c r="D343" s="183" t="inlineStr">
        <is>
          <t>Плиты минераловатные «Лайт-Баттс» ROCKWOOL</t>
        </is>
      </c>
      <c r="E343" s="274" t="inlineStr">
        <is>
          <t>м3</t>
        </is>
      </c>
      <c r="F343" s="182" t="n">
        <v>1.545</v>
      </c>
      <c r="G343" s="192" t="n">
        <v>556</v>
      </c>
      <c r="H343" s="186">
        <f>ROUND(F343*G343,2)</f>
        <v/>
      </c>
      <c r="I343" s="198" t="n"/>
      <c r="K343" s="196" t="n"/>
    </row>
    <row r="344" ht="25.9" customHeight="1">
      <c r="A344" s="180" t="n">
        <v>329</v>
      </c>
      <c r="B344" s="248" t="n"/>
      <c r="C344" s="182" t="inlineStr">
        <is>
          <t>402-0083</t>
        </is>
      </c>
      <c r="D344" s="183" t="inlineStr">
        <is>
          <t>Раствор готовый отделочный тяжелый, цементно-известковый 1:1:6</t>
        </is>
      </c>
      <c r="E344" s="274" t="inlineStr">
        <is>
          <t>м3</t>
        </is>
      </c>
      <c r="F344" s="182" t="n">
        <v>1.649</v>
      </c>
      <c r="G344" s="192" t="n">
        <v>517.9</v>
      </c>
      <c r="H344" s="186">
        <f>ROUND(F344*G344,2)</f>
        <v/>
      </c>
    </row>
    <row r="345" ht="25.9" customHeight="1">
      <c r="A345" s="180" t="n">
        <v>330</v>
      </c>
      <c r="B345" s="248" t="n"/>
      <c r="C345" s="182" t="inlineStr">
        <is>
          <t>102-0060</t>
        </is>
      </c>
      <c r="D345" s="183" t="inlineStr">
        <is>
          <t>Доски обрезные хвойных пород длиной 4-6,5 м, шириной 75-150 мм, толщиной 44 мм и более, II сорта</t>
        </is>
      </c>
      <c r="E345" s="274" t="inlineStr">
        <is>
          <t>м3</t>
        </is>
      </c>
      <c r="F345" s="182" t="n">
        <v>0.644</v>
      </c>
      <c r="G345" s="192" t="n">
        <v>1320</v>
      </c>
      <c r="H345" s="186">
        <f>ROUND(F345*G345,2)</f>
        <v/>
      </c>
    </row>
    <row r="346" ht="25.9" customHeight="1">
      <c r="A346" s="180" t="n">
        <v>331</v>
      </c>
      <c r="B346" s="248" t="n"/>
      <c r="C346" s="182" t="inlineStr">
        <is>
          <t>101-1616</t>
        </is>
      </c>
      <c r="D346" s="183" t="inlineStr">
        <is>
          <t>Сталь круглая углеродистая обыкновенного качества марки ВСт3пс5-1 диаметром 10 мм</t>
        </is>
      </c>
      <c r="E346" s="274" t="inlineStr">
        <is>
          <t>т</t>
        </is>
      </c>
      <c r="F346" s="182" t="n">
        <v>0.1624</v>
      </c>
      <c r="G346" s="192" t="n">
        <v>5230.01</v>
      </c>
      <c r="H346" s="186">
        <f>ROUND(F346*G346,2)</f>
        <v/>
      </c>
    </row>
    <row r="347" ht="38.85" customHeight="1">
      <c r="A347" s="180" t="n">
        <v>332</v>
      </c>
      <c r="B347" s="248" t="n"/>
      <c r="C347" s="182" t="inlineStr">
        <is>
          <t>301-4492</t>
        </is>
      </c>
      <c r="D347" s="183" t="inlineStr">
        <is>
          <t>Решетки вентиляционные переточные из алюминиевого профиля с порошковым покрытием марки РП, размером 150х300 мм</t>
        </is>
      </c>
      <c r="E347" s="274" t="inlineStr">
        <is>
          <t>шт.</t>
        </is>
      </c>
      <c r="F347" s="182" t="n">
        <v>4</v>
      </c>
      <c r="G347" s="192" t="n">
        <v>207.73</v>
      </c>
      <c r="H347" s="186">
        <f>ROUND(F347*G347,2)</f>
        <v/>
      </c>
      <c r="I347" s="198" t="n"/>
      <c r="K347" s="196" t="n"/>
    </row>
    <row r="348" ht="25.9" customHeight="1">
      <c r="A348" s="180" t="n">
        <v>333</v>
      </c>
      <c r="B348" s="248" t="n"/>
      <c r="C348" s="182" t="inlineStr">
        <is>
          <t>101-0171</t>
        </is>
      </c>
      <c r="D348" s="183" t="inlineStr">
        <is>
          <t>Гвозди проволочные оцинкованные для асбестоцементной кровли 4,0х100 мм</t>
        </is>
      </c>
      <c r="E348" s="274" t="inlineStr">
        <is>
          <t>т</t>
        </is>
      </c>
      <c r="F348" s="182" t="n">
        <v>0.0541</v>
      </c>
      <c r="G348" s="192" t="n">
        <v>15275.94</v>
      </c>
      <c r="H348" s="186">
        <f>ROUND(F348*G348,2)</f>
        <v/>
      </c>
    </row>
    <row r="349" ht="25.9" customHeight="1">
      <c r="A349" s="180" t="n">
        <v>334</v>
      </c>
      <c r="B349" s="248" t="n"/>
      <c r="C349" s="182" t="inlineStr">
        <is>
          <t>103-0634</t>
        </is>
      </c>
      <c r="D349" s="183" t="inlineStr">
        <is>
          <t>Трубы чугунные напорные раструбные класса А наружный диаметр 100 мм, толщина стенки 8,3 мм</t>
        </is>
      </c>
      <c r="E349" s="274" t="inlineStr">
        <is>
          <t>м</t>
        </is>
      </c>
      <c r="F349" s="182" t="n">
        <v>6.06</v>
      </c>
      <c r="G349" s="192" t="n">
        <v>136</v>
      </c>
      <c r="H349" s="186">
        <f>ROUND(F349*G349,2)</f>
        <v/>
      </c>
    </row>
    <row r="350" ht="38.85" customHeight="1">
      <c r="A350" s="180" t="n">
        <v>335</v>
      </c>
      <c r="B350" s="248" t="n"/>
      <c r="C350" s="182" t="inlineStr">
        <is>
          <t>301-5682</t>
        </is>
      </c>
      <c r="D350" s="183" t="inlineStr">
        <is>
          <t>Клапаны обратные общего назначения из листовой и сортовой стали круглого сечения Ког-1 диаметром 400 мм (RSK 400)</t>
        </is>
      </c>
      <c r="E350" s="274" t="inlineStr">
        <is>
          <t>шт.</t>
        </is>
      </c>
      <c r="F350" s="182" t="n">
        <v>1</v>
      </c>
      <c r="G350" s="192" t="n">
        <v>808.58</v>
      </c>
      <c r="H350" s="186">
        <f>ROUND(F350*G350,2)</f>
        <v/>
      </c>
    </row>
    <row r="351">
      <c r="A351" s="180" t="n">
        <v>336</v>
      </c>
      <c r="B351" s="248" t="n"/>
      <c r="C351" s="182" t="inlineStr">
        <is>
          <t>509-0801</t>
        </is>
      </c>
      <c r="D351" s="183" t="inlineStr">
        <is>
          <t>Трос стальной</t>
        </is>
      </c>
      <c r="E351" s="274" t="inlineStr">
        <is>
          <t>м</t>
        </is>
      </c>
      <c r="F351" s="182" t="n">
        <v>65.09999999999999</v>
      </c>
      <c r="G351" s="192" t="n">
        <v>12.03</v>
      </c>
      <c r="H351" s="186">
        <f>ROUND(F351*G351,2)</f>
        <v/>
      </c>
    </row>
    <row r="352">
      <c r="A352" s="180" t="n">
        <v>337</v>
      </c>
      <c r="B352" s="248" t="n"/>
      <c r="C352" s="182" t="inlineStr">
        <is>
          <t>503-0482</t>
        </is>
      </c>
      <c r="D352" s="183" t="inlineStr">
        <is>
          <t>Розетка штепсельная с заземляющим контактом</t>
        </is>
      </c>
      <c r="E352" s="274" t="inlineStr">
        <is>
          <t>шт.</t>
        </is>
      </c>
      <c r="F352" s="182" t="n">
        <v>39</v>
      </c>
      <c r="G352" s="192" t="n">
        <v>19.83</v>
      </c>
      <c r="H352" s="186">
        <f>ROUND(F352*G352,2)</f>
        <v/>
      </c>
    </row>
    <row r="353" ht="38.85" customHeight="1">
      <c r="A353" s="180" t="n">
        <v>338</v>
      </c>
      <c r="B353" s="248" t="n"/>
      <c r="C353" s="182" t="inlineStr">
        <is>
          <t>101-0936</t>
        </is>
      </c>
      <c r="D353" s="183" t="inlineStr">
        <is>
          <t>Скобяные изделия для оконных блоков со спаренными и одинарными переплетами для жилых зданий двустворных (независимо от высоты)</t>
        </is>
      </c>
      <c r="E353" s="274" t="inlineStr">
        <is>
          <t>компл.</t>
        </is>
      </c>
      <c r="F353" s="182" t="n">
        <v>8</v>
      </c>
      <c r="G353" s="192" t="n">
        <v>94.68000000000001</v>
      </c>
      <c r="H353" s="186">
        <f>ROUND(F353*G353,2)</f>
        <v/>
      </c>
    </row>
    <row r="354">
      <c r="A354" s="180" t="n">
        <v>339</v>
      </c>
      <c r="B354" s="248" t="n"/>
      <c r="C354" s="182" t="inlineStr">
        <is>
          <t>101-0324</t>
        </is>
      </c>
      <c r="D354" s="183" t="inlineStr">
        <is>
          <t>Кислород технический газообразный</t>
        </is>
      </c>
      <c r="E354" s="274" t="inlineStr">
        <is>
          <t>м3</t>
        </is>
      </c>
      <c r="F354" s="182" t="n">
        <v>117.7375</v>
      </c>
      <c r="G354" s="192" t="n">
        <v>6.22</v>
      </c>
      <c r="H354" s="186">
        <f>ROUND(F354*G354,2)</f>
        <v/>
      </c>
    </row>
    <row r="355" ht="38.85" customHeight="1">
      <c r="A355" s="180" t="n">
        <v>340</v>
      </c>
      <c r="B355" s="248" t="n"/>
      <c r="C355" s="182" t="inlineStr">
        <is>
          <t>507-4432</t>
        </is>
      </c>
      <c r="D355" s="183" t="inlineStr">
        <is>
          <t>Тройники стальные переходные бесшовные приварные (ГОСТ 17376-01), наружным диаметром и толщиной стенки 108х4,0-89х3,5 мм</t>
        </is>
      </c>
      <c r="E355" s="274" t="inlineStr">
        <is>
          <t>шт.</t>
        </is>
      </c>
      <c r="F355" s="182" t="n">
        <v>5</v>
      </c>
      <c r="G355" s="192" t="n">
        <v>145.8</v>
      </c>
      <c r="H355" s="186">
        <f>ROUND(F355*G355,2)</f>
        <v/>
      </c>
      <c r="I355" s="198" t="n"/>
    </row>
    <row r="356" ht="38.85" customHeight="1">
      <c r="A356" s="180" t="n">
        <v>341</v>
      </c>
      <c r="B356" s="248" t="n"/>
      <c r="C356" s="182" t="inlineStr">
        <is>
          <t>301-5687</t>
        </is>
      </c>
      <c r="D356" s="183" t="inlineStr">
        <is>
          <t>Клапаны обратные общего назначения из листовой и сортовой стали круглого сечения Ко диаметром 250 мм ( RSK 160)</t>
        </is>
      </c>
      <c r="E356" s="274" t="inlineStr">
        <is>
          <t>шт.</t>
        </is>
      </c>
      <c r="F356" s="182" t="n">
        <v>1</v>
      </c>
      <c r="G356" s="192" t="n">
        <v>704.39</v>
      </c>
      <c r="H356" s="186">
        <f>ROUND(F356*G356,2)</f>
        <v/>
      </c>
      <c r="I356" s="198" t="n"/>
    </row>
    <row r="357">
      <c r="A357" s="180" t="n">
        <v>342</v>
      </c>
      <c r="B357" s="248" t="n"/>
      <c r="C357" s="182" t="inlineStr">
        <is>
          <t>101-2003</t>
        </is>
      </c>
      <c r="D357" s="183" t="inlineStr">
        <is>
          <t>Замки накладные с засовом и защелкой</t>
        </is>
      </c>
      <c r="E357" s="274" t="inlineStr">
        <is>
          <t>компл.</t>
        </is>
      </c>
      <c r="F357" s="182" t="n">
        <v>7</v>
      </c>
      <c r="G357" s="192" t="n">
        <v>99.09999999999999</v>
      </c>
      <c r="H357" s="186">
        <f>ROUND(F357*G357,2)</f>
        <v/>
      </c>
      <c r="I357" s="198" t="n"/>
    </row>
    <row r="358" ht="25.9" customHeight="1">
      <c r="A358" s="180" t="n">
        <v>343</v>
      </c>
      <c r="B358" s="248" t="n"/>
      <c r="C358" s="182" t="inlineStr">
        <is>
          <t>402-0086</t>
        </is>
      </c>
      <c r="D358" s="183" t="inlineStr">
        <is>
          <t>Раствор готовый отделочный тяжелый, известковый 1:2,5</t>
        </is>
      </c>
      <c r="E358" s="274" t="inlineStr">
        <is>
          <t>м3</t>
        </is>
      </c>
      <c r="F358" s="182" t="n">
        <v>1.358</v>
      </c>
      <c r="G358" s="192" t="n">
        <v>510.4</v>
      </c>
      <c r="H358" s="186">
        <f>ROUND(F358*G358,2)</f>
        <v/>
      </c>
      <c r="I358" s="198" t="n"/>
    </row>
    <row r="359" ht="25.9" customHeight="1">
      <c r="A359" s="180" t="n">
        <v>344</v>
      </c>
      <c r="B359" s="248" t="n"/>
      <c r="C359" s="182" t="inlineStr">
        <is>
          <t>301-7285</t>
        </is>
      </c>
      <c r="D359" s="183" t="inlineStr">
        <is>
          <t>Затворы дисковые поворотные с ручным управлением на давление 1,6 МПа (16 кгс/см2), диаметром 100 мм</t>
        </is>
      </c>
      <c r="E359" s="274" t="inlineStr">
        <is>
          <t>шт.</t>
        </is>
      </c>
      <c r="F359" s="182" t="n">
        <v>1</v>
      </c>
      <c r="G359" s="192" t="n">
        <v>680.04</v>
      </c>
      <c r="H359" s="186">
        <f>ROUND(F359*G359,2)</f>
        <v/>
      </c>
      <c r="I359" s="198" t="n"/>
    </row>
    <row r="360" ht="25.9" customHeight="1">
      <c r="A360" s="180" t="n">
        <v>345</v>
      </c>
      <c r="B360" s="248" t="n"/>
      <c r="C360" s="182" t="inlineStr">
        <is>
          <t>101-2388</t>
        </is>
      </c>
      <c r="D360" s="183" t="inlineStr">
        <is>
          <t>Герметик пенополиуретановый (пена монтажная) типа Makrofleks, Soudal в баллонах по 750 мл</t>
        </is>
      </c>
      <c r="E360" s="274" t="inlineStr">
        <is>
          <t>шт.</t>
        </is>
      </c>
      <c r="F360" s="182" t="n">
        <v>10.0468</v>
      </c>
      <c r="G360" s="192" t="n">
        <v>67</v>
      </c>
      <c r="H360" s="186">
        <f>ROUND(F360*G360,2)</f>
        <v/>
      </c>
      <c r="I360" s="198" t="n"/>
    </row>
    <row r="361" ht="25.9" customHeight="1">
      <c r="A361" s="180" t="n">
        <v>346</v>
      </c>
      <c r="B361" s="248" t="n"/>
      <c r="C361" s="182" t="inlineStr">
        <is>
          <t>101-0889</t>
        </is>
      </c>
      <c r="D361" s="183" t="inlineStr">
        <is>
          <t>Скобяные изделия для блоков входных дверей в помещение однопольных  (петли)</t>
        </is>
      </c>
      <c r="E361" s="274" t="inlineStr">
        <is>
          <t>компл.</t>
        </is>
      </c>
      <c r="F361" s="182" t="n">
        <v>7</v>
      </c>
      <c r="G361" s="192" t="n">
        <v>94.68000000000001</v>
      </c>
      <c r="H361" s="186">
        <f>ROUND(F361*G361,2)</f>
        <v/>
      </c>
      <c r="I361" s="198" t="n"/>
    </row>
    <row r="362">
      <c r="A362" s="180" t="n">
        <v>347</v>
      </c>
      <c r="B362" s="248" t="n"/>
      <c r="C362" s="182" t="inlineStr">
        <is>
          <t>301-1201</t>
        </is>
      </c>
      <c r="D362" s="183" t="inlineStr">
        <is>
          <t>Стволы пожарные ручные марки РС, диаметр 50 мм</t>
        </is>
      </c>
      <c r="E362" s="274" t="inlineStr">
        <is>
          <t>шт.</t>
        </is>
      </c>
      <c r="F362" s="182" t="n">
        <v>8</v>
      </c>
      <c r="G362" s="192" t="n">
        <v>82.56999999999999</v>
      </c>
      <c r="H362" s="186">
        <f>ROUND(F362*G362,2)</f>
        <v/>
      </c>
      <c r="I362" s="198" t="n"/>
    </row>
    <row r="363">
      <c r="A363" s="180" t="n">
        <v>348</v>
      </c>
      <c r="B363" s="248" t="n"/>
      <c r="C363" s="182" t="inlineStr">
        <is>
          <t>101-1019</t>
        </is>
      </c>
      <c r="D363" s="183" t="inlineStr">
        <is>
          <t>Швеллеры № 40 из стали марки Ст0</t>
        </is>
      </c>
      <c r="E363" s="274" t="inlineStr">
        <is>
          <t>т</t>
        </is>
      </c>
      <c r="F363" s="182" t="n">
        <v>0.134</v>
      </c>
      <c r="G363" s="192" t="n">
        <v>4920</v>
      </c>
      <c r="H363" s="186">
        <f>ROUND(F363*G363,2)</f>
        <v/>
      </c>
      <c r="I363" s="198" t="n"/>
    </row>
    <row r="364" customFormat="1" s="179">
      <c r="A364" s="180" t="n">
        <v>349</v>
      </c>
      <c r="B364" s="248" t="n"/>
      <c r="C364" s="182" t="inlineStr">
        <is>
          <t>101-2509</t>
        </is>
      </c>
      <c r="D364" s="183" t="inlineStr">
        <is>
          <t>Листы гипсокартонные ГКЛ 12,5 мм</t>
        </is>
      </c>
      <c r="E364" s="274" t="inlineStr">
        <is>
          <t>м2</t>
        </is>
      </c>
      <c r="F364" s="182" t="n">
        <v>43.26</v>
      </c>
      <c r="G364" s="192" t="n">
        <v>15</v>
      </c>
      <c r="H364" s="186">
        <f>ROUND(F364*G364,2)</f>
        <v/>
      </c>
      <c r="I364" s="198" t="n"/>
    </row>
    <row r="365" ht="25.9" customHeight="1">
      <c r="A365" s="180" t="n">
        <v>350</v>
      </c>
      <c r="B365" s="248" t="n"/>
      <c r="C365" s="182" t="inlineStr">
        <is>
          <t>204-0039</t>
        </is>
      </c>
      <c r="D365" s="183" t="inlineStr">
        <is>
          <t>Надбавки к ценам заготовок за сборку и сварку каркасов и сеток плоских, диаметром 16-18 мм</t>
        </is>
      </c>
      <c r="E365" s="274" t="inlineStr">
        <is>
          <t>т</t>
        </is>
      </c>
      <c r="F365" s="182" t="n">
        <v>0.5662</v>
      </c>
      <c r="G365" s="192" t="n">
        <v>1117.47</v>
      </c>
      <c r="H365" s="186">
        <f>ROUND(F365*G365,2)</f>
        <v/>
      </c>
      <c r="I365" s="198" t="n"/>
    </row>
    <row r="366">
      <c r="A366" s="180" t="n">
        <v>351</v>
      </c>
      <c r="B366" s="248" t="n"/>
      <c r="C366" s="258" t="inlineStr">
        <is>
          <t>Прайс из СД ОП</t>
        </is>
      </c>
      <c r="D366" s="183" t="inlineStr">
        <is>
          <t>Короб TA-GN 100x40</t>
        </is>
      </c>
      <c r="E366" s="274" t="inlineStr">
        <is>
          <t>шт.</t>
        </is>
      </c>
      <c r="F366" s="182" t="n">
        <v>22</v>
      </c>
      <c r="G366" s="192" t="n">
        <v>28.64</v>
      </c>
      <c r="H366" s="186">
        <f>ROUND(F366*G366,2)</f>
        <v/>
      </c>
      <c r="I366" s="198" t="n"/>
      <c r="K366" s="196" t="n"/>
    </row>
    <row r="367" ht="25.9" customHeight="1">
      <c r="A367" s="180" t="n">
        <v>352</v>
      </c>
      <c r="B367" s="248" t="n"/>
      <c r="C367" s="182" t="inlineStr">
        <is>
          <t>101-1776</t>
        </is>
      </c>
      <c r="D367" s="183" t="inlineStr">
        <is>
          <t>Клей для облицовочных работ водостойкий «Плюс» (сухая смесь)</t>
        </is>
      </c>
      <c r="E367" s="274" t="inlineStr">
        <is>
          <t>т</t>
        </is>
      </c>
      <c r="F367" s="182" t="n">
        <v>0.1422</v>
      </c>
      <c r="G367" s="192" t="n">
        <v>4316</v>
      </c>
      <c r="H367" s="186">
        <f>ROUND(F367*G367,2)</f>
        <v/>
      </c>
      <c r="I367" s="198" t="n"/>
      <c r="K367" s="196" t="n"/>
    </row>
    <row r="368" ht="38.85" customHeight="1">
      <c r="A368" s="180" t="n">
        <v>353</v>
      </c>
      <c r="B368" s="248" t="n"/>
      <c r="C368" s="182" t="inlineStr">
        <is>
          <t>204-0051</t>
        </is>
      </c>
      <c r="D368" s="183" t="inlineStr">
        <is>
          <t>Надбавки к ценам заготовок за сборку и сварку каркасов и сеток пространственных, диаметром 16-18 мм</t>
        </is>
      </c>
      <c r="E368" s="274" t="inlineStr">
        <is>
          <t>т</t>
        </is>
      </c>
      <c r="F368" s="182" t="n">
        <v>0.3506</v>
      </c>
      <c r="G368" s="192" t="n">
        <v>1728.06</v>
      </c>
      <c r="H368" s="186">
        <f>ROUND(F368*G368,2)</f>
        <v/>
      </c>
      <c r="I368" s="198" t="n"/>
      <c r="K368" s="196" t="n"/>
    </row>
    <row r="369" ht="25.9" customHeight="1">
      <c r="A369" s="180" t="n">
        <v>354</v>
      </c>
      <c r="B369" s="248" t="n"/>
      <c r="C369" s="182" t="inlineStr">
        <is>
          <t>301-2630</t>
        </is>
      </c>
      <c r="D369" s="183" t="inlineStr">
        <is>
          <t>Решетки вентиляционные алюминиевые "АРКТОС" типа АРН размером 200х200 мм</t>
        </is>
      </c>
      <c r="E369" s="274" t="inlineStr">
        <is>
          <t>шт.</t>
        </is>
      </c>
      <c r="F369" s="182" t="n">
        <v>2</v>
      </c>
      <c r="G369" s="192" t="n">
        <v>300.86</v>
      </c>
      <c r="H369" s="186">
        <f>ROUND(F369*G369,2)</f>
        <v/>
      </c>
    </row>
    <row r="370">
      <c r="A370" s="180" t="n">
        <v>355</v>
      </c>
      <c r="B370" s="248" t="n"/>
      <c r="C370" s="182" t="inlineStr">
        <is>
          <t>101-1668</t>
        </is>
      </c>
      <c r="D370" s="183" t="inlineStr">
        <is>
          <t>Рогожа</t>
        </is>
      </c>
      <c r="E370" s="274" t="inlineStr">
        <is>
          <t>м2</t>
        </is>
      </c>
      <c r="F370" s="182" t="n">
        <v>58.6635</v>
      </c>
      <c r="G370" s="192" t="n">
        <v>10.2</v>
      </c>
      <c r="H370" s="186">
        <f>ROUND(F370*G370,2)</f>
        <v/>
      </c>
    </row>
    <row r="371">
      <c r="A371" s="180" t="n">
        <v>356</v>
      </c>
      <c r="B371" s="248" t="n"/>
      <c r="C371" s="258" t="inlineStr">
        <is>
          <t>Прайс из СД ОП</t>
        </is>
      </c>
      <c r="D371" s="183" t="inlineStr">
        <is>
          <t>Газоприемная насадка MEN 125 -125 / SP</t>
        </is>
      </c>
      <c r="E371" s="274" t="inlineStr">
        <is>
          <t>шт</t>
        </is>
      </c>
      <c r="F371" s="182" t="n">
        <v>1</v>
      </c>
      <c r="G371" s="192" t="n">
        <v>589.74</v>
      </c>
      <c r="H371" s="186">
        <f>ROUND(F371*G371,2)</f>
        <v/>
      </c>
    </row>
    <row r="372" ht="38.85" customHeight="1">
      <c r="A372" s="180" t="n">
        <v>357</v>
      </c>
      <c r="B372" s="248" t="n"/>
      <c r="C372" s="182" t="inlineStr">
        <is>
          <t>206-1367</t>
        </is>
      </c>
      <c r="D372" s="183" t="inlineStr">
        <is>
          <t>Профили стыкоперекрывающие из алюминиевых сплавов (порожки) с покрытием, шириной 60 мм, длиной 1,8 м</t>
        </is>
      </c>
      <c r="E372" s="274" t="inlineStr">
        <is>
          <t>шт.</t>
        </is>
      </c>
      <c r="F372" s="182" t="n">
        <v>4</v>
      </c>
      <c r="G372" s="192" t="n">
        <v>146.86</v>
      </c>
      <c r="H372" s="186">
        <f>ROUND(F372*G372,2)</f>
        <v/>
      </c>
    </row>
    <row r="373" ht="25.9" customHeight="1">
      <c r="A373" s="180" t="n">
        <v>358</v>
      </c>
      <c r="B373" s="248" t="n"/>
      <c r="C373" s="258" t="inlineStr">
        <is>
          <t>Прайс из СД ОП</t>
        </is>
      </c>
      <c r="D373" s="183" t="inlineStr">
        <is>
          <t>Крепления для лестниц на скат кровли, для лестницы 4,2м (7,1/4,2 = 1,69 шт.)</t>
        </is>
      </c>
      <c r="E373" s="274" t="inlineStr">
        <is>
          <t>шт.</t>
        </is>
      </c>
      <c r="F373" s="182" t="n">
        <v>1.6905</v>
      </c>
      <c r="G373" s="192" t="n">
        <v>338.85</v>
      </c>
      <c r="H373" s="186">
        <f>ROUND(F373*G373,2)</f>
        <v/>
      </c>
    </row>
    <row r="374">
      <c r="A374" s="180" t="n">
        <v>359</v>
      </c>
      <c r="B374" s="248" t="n"/>
      <c r="C374" s="182" t="inlineStr">
        <is>
          <t>201-0807</t>
        </is>
      </c>
      <c r="D374" s="183" t="inlineStr">
        <is>
          <t>Профиль стоечный ПС-4 75/50/0,6</t>
        </is>
      </c>
      <c r="E374" s="274" t="inlineStr">
        <is>
          <t>м</t>
        </is>
      </c>
      <c r="F374" s="182" t="n">
        <v>69.53</v>
      </c>
      <c r="G374" s="192" t="n">
        <v>8.06</v>
      </c>
      <c r="H374" s="186">
        <f>ROUND(F374*G374,2)</f>
        <v/>
      </c>
    </row>
    <row r="375" ht="25.9" customHeight="1">
      <c r="A375" s="180" t="n">
        <v>360</v>
      </c>
      <c r="B375" s="248" t="n"/>
      <c r="C375" s="182" t="inlineStr">
        <is>
          <t>301-4970</t>
        </is>
      </c>
      <c r="D375" s="183" t="inlineStr">
        <is>
          <t>Клапаны воздушные под ручной или электропривод ВК 400х200</t>
        </is>
      </c>
      <c r="E375" s="274" t="inlineStr">
        <is>
          <t>шт.</t>
        </is>
      </c>
      <c r="F375" s="182" t="n">
        <v>1</v>
      </c>
      <c r="G375" s="192" t="n">
        <v>555.4</v>
      </c>
      <c r="H375" s="186">
        <f>ROUND(F375*G375,2)</f>
        <v/>
      </c>
    </row>
    <row r="376" ht="25.9" customHeight="1">
      <c r="A376" s="180" t="n">
        <v>361</v>
      </c>
      <c r="B376" s="248" t="n"/>
      <c r="C376" s="182" t="inlineStr">
        <is>
          <t>301-2615</t>
        </is>
      </c>
      <c r="D376" s="183" t="inlineStr">
        <is>
          <t>Решетки вентиляционные алюминиевые "АРКТОС" типа АДН, размером 200х200 мм (АМР 200х200)</t>
        </is>
      </c>
      <c r="E376" s="274" t="inlineStr">
        <is>
          <t>шт.</t>
        </is>
      </c>
      <c r="F376" s="182" t="n">
        <v>2</v>
      </c>
      <c r="G376" s="192" t="n">
        <v>262.93</v>
      </c>
      <c r="H376" s="186">
        <f>ROUND(F376*G376,2)</f>
        <v/>
      </c>
    </row>
    <row r="377" ht="38.85" customHeight="1">
      <c r="A377" s="180" t="n">
        <v>362</v>
      </c>
      <c r="B377" s="248" t="n"/>
      <c r="C377" s="182" t="inlineStr">
        <is>
          <t>507-4422</t>
        </is>
      </c>
      <c r="D377" s="183" t="inlineStr">
        <is>
          <t>Переходы концентрические бесшовные из стали марок 20 и 09Г2С (ОСТ 34-10.700-97), наружным диаметром и толщиной стенки 89х3,5-57х3,0 мм</t>
        </is>
      </c>
      <c r="E377" s="274" t="inlineStr">
        <is>
          <t>шт.</t>
        </is>
      </c>
      <c r="F377" s="182" t="n">
        <v>5</v>
      </c>
      <c r="G377" s="192" t="n">
        <v>100.94</v>
      </c>
      <c r="H377" s="186">
        <f>ROUND(F377*G377,2)</f>
        <v/>
      </c>
    </row>
    <row r="378" ht="25.9" customHeight="1">
      <c r="A378" s="180" t="n">
        <v>363</v>
      </c>
      <c r="B378" s="248" t="n"/>
      <c r="C378" s="182" t="inlineStr">
        <is>
          <t>204-0003</t>
        </is>
      </c>
      <c r="D378" s="183" t="inlineStr">
        <is>
          <t>Горячекатаная арматурная сталь гладкая класса А-I, диаметром 10 мм</t>
        </is>
      </c>
      <c r="E378" s="274" t="inlineStr">
        <is>
          <t>т</t>
        </is>
      </c>
      <c r="F378" s="182" t="n">
        <v>0.0716</v>
      </c>
      <c r="G378" s="192" t="n">
        <v>6726.18</v>
      </c>
      <c r="H378" s="186">
        <f>ROUND(F378*G378,2)</f>
        <v/>
      </c>
    </row>
    <row r="379" customFormat="1" s="179">
      <c r="A379" s="180" t="n">
        <v>364</v>
      </c>
      <c r="B379" s="248" t="n"/>
      <c r="C379" s="182" t="inlineStr">
        <is>
          <t>101-1805</t>
        </is>
      </c>
      <c r="D379" s="183" t="inlineStr">
        <is>
          <t>Гвозди строительные</t>
        </is>
      </c>
      <c r="E379" s="274" t="inlineStr">
        <is>
          <t>т</t>
        </is>
      </c>
      <c r="F379" s="182" t="n">
        <v>0.0401</v>
      </c>
      <c r="G379" s="192" t="n">
        <v>11978</v>
      </c>
      <c r="H379" s="186">
        <f>ROUND(F379*G379,2)</f>
        <v/>
      </c>
    </row>
    <row r="380" ht="38.85" customHeight="1">
      <c r="A380" s="180" t="n">
        <v>365</v>
      </c>
      <c r="B380" s="248" t="n"/>
      <c r="C380" s="182" t="inlineStr">
        <is>
          <t>101-1810</t>
        </is>
      </c>
      <c r="D380" s="183" t="inlineStr">
        <is>
          <t>Винты самонарезающие для крепления профилированного настила и панелей к несущим конструкциям</t>
        </is>
      </c>
      <c r="E380" s="274" t="inlineStr">
        <is>
          <t>т</t>
        </is>
      </c>
      <c r="F380" s="182" t="n">
        <v>0.0137</v>
      </c>
      <c r="G380" s="192" t="n">
        <v>35011</v>
      </c>
      <c r="H380" s="186">
        <f>ROUND(F380*G380,2)</f>
        <v/>
      </c>
      <c r="I380" s="198" t="n"/>
      <c r="K380" s="196" t="n"/>
    </row>
    <row r="381" ht="25.9" customHeight="1">
      <c r="A381" s="180" t="n">
        <v>366</v>
      </c>
      <c r="B381" s="248" t="n"/>
      <c r="C381" s="182" t="inlineStr">
        <is>
          <t>301-6282</t>
        </is>
      </c>
      <c r="D381" s="183" t="inlineStr">
        <is>
          <t>Врезка воротниковая из оцинкованной стали, диаметром 160/100 мм</t>
        </is>
      </c>
      <c r="E381" s="274" t="inlineStr">
        <is>
          <t>шт.</t>
        </is>
      </c>
      <c r="F381" s="182" t="n">
        <v>14</v>
      </c>
      <c r="G381" s="192" t="n">
        <v>33.51</v>
      </c>
      <c r="H381" s="186">
        <f>ROUND(F381*G381,2)</f>
        <v/>
      </c>
      <c r="I381" s="198" t="n"/>
      <c r="K381" s="196" t="n"/>
    </row>
    <row r="382" ht="25.9" customHeight="1">
      <c r="A382" s="180" t="n">
        <v>367</v>
      </c>
      <c r="B382" s="248" t="n"/>
      <c r="C382" s="182" t="inlineStr">
        <is>
          <t>301-6282</t>
        </is>
      </c>
      <c r="D382" s="183" t="inlineStr">
        <is>
          <t>Врезка воротниковая из оцинкованной стали, диаметром 160/100 мм (0,069м2)</t>
        </is>
      </c>
      <c r="E382" s="274" t="inlineStr">
        <is>
          <t>шт.</t>
        </is>
      </c>
      <c r="F382" s="182" t="n">
        <v>14</v>
      </c>
      <c r="G382" s="192" t="n">
        <v>33.51</v>
      </c>
      <c r="H382" s="186">
        <f>ROUND(F382*G382,2)</f>
        <v/>
      </c>
      <c r="I382" s="198" t="n"/>
    </row>
    <row r="383" ht="25.9" customHeight="1">
      <c r="A383" s="180" t="n">
        <v>368</v>
      </c>
      <c r="B383" s="248" t="n"/>
      <c r="C383" s="182" t="inlineStr">
        <is>
          <t>301-6341</t>
        </is>
      </c>
      <c r="D383" s="183" t="inlineStr">
        <is>
          <t>Врезка воротниковая из оцинкованной стали, диаметром 630/630 мм (1 м2)</t>
        </is>
      </c>
      <c r="E383" s="274" t="inlineStr">
        <is>
          <t>шт.</t>
        </is>
      </c>
      <c r="F383" s="182" t="n">
        <v>2</v>
      </c>
      <c r="G383" s="192" t="n">
        <v>229.89</v>
      </c>
      <c r="H383" s="186">
        <f>ROUND(F383*G383,2)</f>
        <v/>
      </c>
      <c r="I383" s="198" t="n"/>
    </row>
    <row r="384" ht="25.9" customHeight="1">
      <c r="A384" s="180" t="n">
        <v>369</v>
      </c>
      <c r="B384" s="248" t="n"/>
      <c r="C384" s="182" t="inlineStr">
        <is>
          <t>408-0143</t>
        </is>
      </c>
      <c r="D384" s="183" t="inlineStr">
        <is>
          <t>Песок природный для строительных растворов средний, обогащенный</t>
        </is>
      </c>
      <c r="E384" s="274" t="inlineStr">
        <is>
          <t>м3</t>
        </is>
      </c>
      <c r="F384" s="182" t="n">
        <v>8.321999999999999</v>
      </c>
      <c r="G384" s="192" t="n">
        <v>54.95</v>
      </c>
      <c r="H384" s="186">
        <f>ROUND(F384*G384,2)</f>
        <v/>
      </c>
      <c r="I384" s="198" t="n"/>
    </row>
    <row r="385">
      <c r="A385" s="180" t="n">
        <v>370</v>
      </c>
      <c r="B385" s="248" t="n"/>
      <c r="C385" s="182" t="inlineStr">
        <is>
          <t>101-2779</t>
        </is>
      </c>
      <c r="D385" s="183" t="inlineStr">
        <is>
          <t>Лента термоуплотнительная самоклеющаяся ЛТСМ-1</t>
        </is>
      </c>
      <c r="E385" s="274" t="inlineStr">
        <is>
          <t>м</t>
        </is>
      </c>
      <c r="F385" s="182" t="n">
        <v>44.58</v>
      </c>
      <c r="G385" s="192" t="n">
        <v>10.11</v>
      </c>
      <c r="H385" s="186">
        <f>ROUND(F385*G385,2)</f>
        <v/>
      </c>
      <c r="I385" s="198" t="n"/>
    </row>
    <row r="386" ht="25.9" customHeight="1">
      <c r="A386" s="180" t="n">
        <v>371</v>
      </c>
      <c r="B386" s="248" t="n"/>
      <c r="C386" s="182" t="inlineStr">
        <is>
          <t>203-0359</t>
        </is>
      </c>
      <c r="D386" s="183" t="inlineStr">
        <is>
          <t>Наличники из древесины типа Н-1, Н-2 размером 13х54 мм</t>
        </is>
      </c>
      <c r="E386" s="274" t="inlineStr">
        <is>
          <t>м</t>
        </is>
      </c>
      <c r="F386" s="182" t="n">
        <v>112.672</v>
      </c>
      <c r="G386" s="192" t="n">
        <v>3.93</v>
      </c>
      <c r="H386" s="186">
        <f>ROUND(F386*G386,2)</f>
        <v/>
      </c>
      <c r="I386" s="198" t="n"/>
    </row>
    <row r="387" ht="25.9" customHeight="1">
      <c r="A387" s="180" t="n">
        <v>372</v>
      </c>
      <c r="B387" s="248" t="n"/>
      <c r="C387" s="182" t="inlineStr">
        <is>
          <t>301-1790</t>
        </is>
      </c>
      <c r="D387" s="183" t="inlineStr">
        <is>
          <t>Воздуховоды из оцинкованной стали толщиной 0,6 мм, диаметром до 450 мм (д. 400 мм)</t>
        </is>
      </c>
      <c r="E387" s="274" t="inlineStr">
        <is>
          <t>м2</t>
        </is>
      </c>
      <c r="F387" s="182" t="n">
        <v>5.2</v>
      </c>
      <c r="G387" s="192" t="n">
        <v>84.05</v>
      </c>
      <c r="H387" s="186">
        <f>ROUND(F387*G387,2)</f>
        <v/>
      </c>
      <c r="I387" s="198" t="n"/>
    </row>
    <row r="388" ht="25.9" customHeight="1">
      <c r="A388" s="180" t="n">
        <v>373</v>
      </c>
      <c r="B388" s="248" t="n"/>
      <c r="C388" s="182" t="inlineStr">
        <is>
          <t>101-3661</t>
        </is>
      </c>
      <c r="D388" s="183" t="inlineStr">
        <is>
          <t>Пена монтажная противопожарная полиуретановая NULLIFIRE (0,88 л)</t>
        </is>
      </c>
      <c r="E388" s="274" t="inlineStr">
        <is>
          <t>шт.</t>
        </is>
      </c>
      <c r="F388" s="182" t="n">
        <v>3.969</v>
      </c>
      <c r="G388" s="192" t="n">
        <v>110.11</v>
      </c>
      <c r="H388" s="186">
        <f>ROUND(F388*G388,2)</f>
        <v/>
      </c>
      <c r="I388" s="198" t="n"/>
    </row>
    <row r="389" ht="38.85" customHeight="1">
      <c r="A389" s="180" t="n">
        <v>374</v>
      </c>
      <c r="B389" s="248" t="n"/>
      <c r="C389" s="182" t="inlineStr">
        <is>
          <t>507-4428</t>
        </is>
      </c>
      <c r="D389" s="183" t="inlineStr">
        <is>
          <t>Тройники стальные равнопроходные бесшовные приварные (ГОСТ 17376-01), наружным диаметром 133 мм, толщиной стенки 4,0 мм</t>
        </is>
      </c>
      <c r="E389" s="274" t="inlineStr">
        <is>
          <t>шт.</t>
        </is>
      </c>
      <c r="F389" s="182" t="n">
        <v>2</v>
      </c>
      <c r="G389" s="192" t="n">
        <v>217.53</v>
      </c>
      <c r="H389" s="186">
        <f>ROUND(F389*G389,2)</f>
        <v/>
      </c>
      <c r="I389" s="198" t="n"/>
    </row>
    <row r="390" ht="25.9" customHeight="1">
      <c r="A390" s="180" t="n">
        <v>375</v>
      </c>
      <c r="B390" s="248" t="n"/>
      <c r="C390" s="182" t="inlineStr">
        <is>
          <t>101-0540</t>
        </is>
      </c>
      <c r="D390" s="183" t="inlineStr">
        <is>
          <t>Лента стальная упаковочная, мягкая, нормальной точности 0,7х20-50 мм</t>
        </is>
      </c>
      <c r="E390" s="274" t="inlineStr">
        <is>
          <t>т</t>
        </is>
      </c>
      <c r="F390" s="182" t="n">
        <v>0.0572</v>
      </c>
      <c r="G390" s="192" t="n">
        <v>7590</v>
      </c>
      <c r="H390" s="186">
        <f>ROUND(F390*G390,2)</f>
        <v/>
      </c>
      <c r="I390" s="198" t="n"/>
    </row>
    <row r="391" ht="25.9" customHeight="1">
      <c r="A391" s="180" t="n">
        <v>376</v>
      </c>
      <c r="B391" s="248" t="n"/>
      <c r="C391" s="182" t="inlineStr">
        <is>
          <t>301-1527</t>
        </is>
      </c>
      <c r="D391" s="183" t="inlineStr">
        <is>
          <t>Смеситель латунный с гальванопокрытием для мойки настольный, с верхней камерой смешения</t>
        </is>
      </c>
      <c r="E391" s="274" t="inlineStr">
        <is>
          <t>шт.</t>
        </is>
      </c>
      <c r="F391" s="182" t="n">
        <v>3</v>
      </c>
      <c r="G391" s="192" t="n">
        <v>143</v>
      </c>
      <c r="H391" s="186">
        <f>ROUND(F391*G391,2)</f>
        <v/>
      </c>
      <c r="I391" s="198" t="n"/>
    </row>
    <row r="392" ht="25.9" customFormat="1" customHeight="1" s="179">
      <c r="A392" s="180" t="n">
        <v>377</v>
      </c>
      <c r="B392" s="248" t="n"/>
      <c r="C392" s="182" t="inlineStr">
        <is>
          <t>301-2631</t>
        </is>
      </c>
      <c r="D392" s="183" t="inlineStr">
        <is>
          <t>Решетки вентиляционные алюминиевые "АРКТОС" типа АРН размером 200х400 мм</t>
        </is>
      </c>
      <c r="E392" s="274" t="inlineStr">
        <is>
          <t>шт.</t>
        </is>
      </c>
      <c r="F392" s="182" t="n">
        <v>1</v>
      </c>
      <c r="G392" s="192" t="n">
        <v>427.64</v>
      </c>
      <c r="H392" s="186">
        <f>ROUND(F392*G392,2)</f>
        <v/>
      </c>
      <c r="I392" s="198" t="n"/>
    </row>
    <row r="393" ht="25.9" customHeight="1">
      <c r="A393" s="180" t="n">
        <v>378</v>
      </c>
      <c r="B393" s="248" t="n"/>
      <c r="C393" s="182" t="inlineStr">
        <is>
          <t>Общ.указания к ФССЦ</t>
        </is>
      </c>
      <c r="D393" s="183" t="inlineStr">
        <is>
          <t>Надбавка на водонепроницаемость бетона В15, W4, F150</t>
        </is>
      </c>
      <c r="E393" s="274" t="inlineStr">
        <is>
          <t>м3</t>
        </is>
      </c>
      <c r="F393" s="182" t="n">
        <v>0.7105</v>
      </c>
      <c r="G393" s="192" t="n">
        <v>586.9400000000001</v>
      </c>
      <c r="H393" s="186">
        <f>ROUND(F393*G393,2)</f>
        <v/>
      </c>
      <c r="I393" s="198" t="n"/>
    </row>
    <row r="394">
      <c r="A394" s="180" t="n">
        <v>379</v>
      </c>
      <c r="B394" s="248" t="n"/>
      <c r="C394" s="182" t="inlineStr">
        <is>
          <t>101-4501</t>
        </is>
      </c>
      <c r="D394" s="183" t="inlineStr">
        <is>
          <t>Поликарбонат сотовый толщиной 6 мм прозрачный</t>
        </is>
      </c>
      <c r="E394" s="274" t="inlineStr">
        <is>
          <t>м2</t>
        </is>
      </c>
      <c r="F394" s="182" t="n">
        <v>4.5</v>
      </c>
      <c r="G394" s="192" t="n">
        <v>90.36</v>
      </c>
      <c r="H394" s="186">
        <f>ROUND(F394*G394,2)</f>
        <v/>
      </c>
      <c r="I394" s="198" t="n"/>
      <c r="K394" s="196" t="n"/>
    </row>
    <row r="395">
      <c r="A395" s="180" t="n">
        <v>380</v>
      </c>
      <c r="B395" s="248" t="n"/>
      <c r="C395" s="182" t="inlineStr">
        <is>
          <t>402-0001</t>
        </is>
      </c>
      <c r="D395" s="183" t="inlineStr">
        <is>
          <t>Раствор готовый кладочный цементный марки 25</t>
        </is>
      </c>
      <c r="E395" s="274" t="inlineStr">
        <is>
          <t>м3</t>
        </is>
      </c>
      <c r="F395" s="182" t="n">
        <v>0.8767</v>
      </c>
      <c r="G395" s="192" t="n">
        <v>463.3</v>
      </c>
      <c r="H395" s="186">
        <f>ROUND(F395*G395,2)</f>
        <v/>
      </c>
      <c r="I395" s="198" t="n"/>
      <c r="K395" s="196" t="n"/>
    </row>
    <row r="396" ht="25.9" customHeight="1">
      <c r="A396" s="180" t="n">
        <v>381</v>
      </c>
      <c r="B396" s="248" t="n"/>
      <c r="C396" s="182" t="inlineStr">
        <is>
          <t>999-9950</t>
        </is>
      </c>
      <c r="D396" s="183" t="inlineStr">
        <is>
          <t>Вспомогательные ненормируемые материальные ресурсы (2% от оплаты труда рабочих)</t>
        </is>
      </c>
      <c r="E396" s="274" t="inlineStr">
        <is>
          <t>руб.</t>
        </is>
      </c>
      <c r="F396" s="182" t="n">
        <v>405.4265</v>
      </c>
      <c r="G396" s="192" t="n">
        <v>1</v>
      </c>
      <c r="H396" s="186">
        <f>ROUND(F396*G396,2)</f>
        <v/>
      </c>
      <c r="I396" s="198" t="n"/>
      <c r="K396" s="196" t="n"/>
    </row>
    <row r="397" ht="51.6" customHeight="1">
      <c r="A397" s="180" t="n">
        <v>382</v>
      </c>
      <c r="B397" s="248" t="n"/>
      <c r="C397" s="182" t="inlineStr">
        <is>
          <t>507-1974</t>
        </is>
      </c>
      <c r="D397" s="183" t="inlineStr">
        <is>
          <t>Отводы 90 град. с радиусом кривизны R=1,5 Ду на Ру до 16 МПа (160 кгс/см2), диаметром условного прохода 50 мм, наружным диаметром 57 мм, толщиной стенки 4 мм</t>
        </is>
      </c>
      <c r="E397" s="274" t="inlineStr">
        <is>
          <t>шт.</t>
        </is>
      </c>
      <c r="F397" s="182" t="n">
        <v>15</v>
      </c>
      <c r="G397" s="192" t="n">
        <v>27.02</v>
      </c>
      <c r="H397" s="186">
        <f>ROUND(F397*G397,2)</f>
        <v/>
      </c>
      <c r="I397" s="198" t="n"/>
      <c r="K397" s="196" t="n"/>
    </row>
    <row r="398" ht="64.5" customHeight="1">
      <c r="A398" s="180" t="n">
        <v>383</v>
      </c>
      <c r="B398" s="248" t="n"/>
      <c r="C398" s="182" t="inlineStr">
        <is>
          <t>204-0060</t>
        </is>
      </c>
      <c r="D398" s="183" t="inlineStr">
        <is>
          <t>Анкерные детали из прямых или гнутых круглых стержней с резьбой (в комплекте с шайбами и гайками или без них), из конусных, клиновых, шпоночных, волновых обжимных пробок, колодок и зажимов или из гильзостержневых устройств</t>
        </is>
      </c>
      <c r="E398" s="274" t="inlineStr">
        <is>
          <t>т</t>
        </is>
      </c>
      <c r="F398" s="182" t="n">
        <v>0.023</v>
      </c>
      <c r="G398" s="192" t="n">
        <v>17524.21</v>
      </c>
      <c r="H398" s="186">
        <f>ROUND(F398*G398,2)</f>
        <v/>
      </c>
    </row>
    <row r="399">
      <c r="A399" s="180" t="n">
        <v>384</v>
      </c>
      <c r="B399" s="248" t="n"/>
      <c r="C399" s="182" t="inlineStr">
        <is>
          <t>509-0067</t>
        </is>
      </c>
      <c r="D399" s="183" t="inlineStr">
        <is>
          <t>Профиль монтажный</t>
        </is>
      </c>
      <c r="E399" s="274" t="inlineStr">
        <is>
          <t>шт.</t>
        </is>
      </c>
      <c r="F399" s="182" t="n">
        <v>5.75</v>
      </c>
      <c r="G399" s="192" t="n">
        <v>66.81999999999999</v>
      </c>
      <c r="H399" s="186">
        <f>ROUND(F399*G399,2)</f>
        <v/>
      </c>
    </row>
    <row r="400">
      <c r="A400" s="180" t="n">
        <v>385</v>
      </c>
      <c r="B400" s="248" t="n"/>
      <c r="C400" s="258" t="inlineStr">
        <is>
          <t>Прайс из СД ОП</t>
        </is>
      </c>
      <c r="D400" s="183" t="inlineStr">
        <is>
          <t>Отвод 90 гр. д. 315 (0,740м2)</t>
        </is>
      </c>
      <c r="E400" s="274" t="inlineStr">
        <is>
          <t>шт.</t>
        </is>
      </c>
      <c r="F400" s="182" t="n">
        <v>6</v>
      </c>
      <c r="G400" s="192" t="n">
        <v>63.86</v>
      </c>
      <c r="H400" s="186">
        <f>ROUND(F400*G400,2)</f>
        <v/>
      </c>
    </row>
    <row r="401" ht="25.9" customHeight="1">
      <c r="A401" s="180" t="n">
        <v>386</v>
      </c>
      <c r="B401" s="248" t="n"/>
      <c r="C401" s="182" t="inlineStr">
        <is>
          <t>301-1789</t>
        </is>
      </c>
      <c r="D401" s="183" t="inlineStr">
        <is>
          <t>Воздуховоды из оцинкованной стали толщиной 0,6 мм, диаметром до 250 мм</t>
        </is>
      </c>
      <c r="E401" s="274" t="inlineStr">
        <is>
          <t>м2</t>
        </is>
      </c>
      <c r="F401" s="182" t="n">
        <v>4</v>
      </c>
      <c r="G401" s="192" t="n">
        <v>93.52</v>
      </c>
      <c r="H401" s="186">
        <f>ROUND(F401*G401,2)</f>
        <v/>
      </c>
    </row>
    <row r="402">
      <c r="A402" s="180" t="n">
        <v>387</v>
      </c>
      <c r="B402" s="248" t="n"/>
      <c r="C402" s="182" t="inlineStr">
        <is>
          <t>113-0077</t>
        </is>
      </c>
      <c r="D402" s="183" t="inlineStr">
        <is>
          <t>Ксилол нефтяной марки А</t>
        </is>
      </c>
      <c r="E402" s="274" t="inlineStr">
        <is>
          <t>т</t>
        </is>
      </c>
      <c r="F402" s="182" t="n">
        <v>0.0481</v>
      </c>
      <c r="G402" s="192" t="n">
        <v>7640</v>
      </c>
      <c r="H402" s="186">
        <f>ROUND(F402*G402,2)</f>
        <v/>
      </c>
    </row>
    <row r="403">
      <c r="A403" s="180" t="n">
        <v>388</v>
      </c>
      <c r="B403" s="248" t="n"/>
      <c r="C403" s="182" t="inlineStr">
        <is>
          <t>101-2143</t>
        </is>
      </c>
      <c r="D403" s="183" t="inlineStr">
        <is>
          <t>Краска</t>
        </is>
      </c>
      <c r="E403" s="274" t="inlineStr">
        <is>
          <t>кг</t>
        </is>
      </c>
      <c r="F403" s="182" t="n">
        <v>12.814</v>
      </c>
      <c r="G403" s="192" t="n">
        <v>28.6</v>
      </c>
      <c r="H403" s="186">
        <f>ROUND(F403*G403,2)</f>
        <v/>
      </c>
    </row>
    <row r="404">
      <c r="A404" s="180" t="n">
        <v>389</v>
      </c>
      <c r="B404" s="248" t="n"/>
      <c r="C404" s="258" t="inlineStr">
        <is>
          <t>Прайс из СД ОП</t>
        </is>
      </c>
      <c r="D404" s="183" t="inlineStr">
        <is>
          <t>Напорный переходник для вентиляторов OL2-160/SP</t>
        </is>
      </c>
      <c r="E404" s="274" t="inlineStr">
        <is>
          <t>шт</t>
        </is>
      </c>
      <c r="F404" s="182" t="n">
        <v>1</v>
      </c>
      <c r="G404" s="192" t="n">
        <v>364.25</v>
      </c>
      <c r="H404" s="186">
        <f>ROUND(F404*G404,2)</f>
        <v/>
      </c>
    </row>
    <row r="405" ht="25.9" customHeight="1">
      <c r="A405" s="180" t="n">
        <v>390</v>
      </c>
      <c r="B405" s="248" t="n"/>
      <c r="C405" s="182" t="inlineStr">
        <is>
          <t>301-1224</t>
        </is>
      </c>
      <c r="D405" s="183" t="inlineStr">
        <is>
          <t>Крепления для трубопроводов: кронштейны, планки, хомуты</t>
        </is>
      </c>
      <c r="E405" s="274" t="inlineStr">
        <is>
          <t>кг</t>
        </is>
      </c>
      <c r="F405" s="182" t="n">
        <v>30</v>
      </c>
      <c r="G405" s="192" t="n">
        <v>11.98</v>
      </c>
      <c r="H405" s="186">
        <f>ROUND(F405*G405,2)</f>
        <v/>
      </c>
    </row>
    <row r="406" ht="38.85" customHeight="1">
      <c r="A406" s="180" t="n">
        <v>391</v>
      </c>
      <c r="B406" s="248" t="n"/>
      <c r="C406" s="182" t="inlineStr">
        <is>
          <t>301-1098</t>
        </is>
      </c>
      <c r="D406" s="183" t="inlineStr">
        <is>
          <t>Хомуты для крепления канализационных и водосточных пластмассовых трубопроводов, диаметром 100 мм</t>
        </is>
      </c>
      <c r="E406" s="274" t="inlineStr">
        <is>
          <t>т</t>
        </is>
      </c>
      <c r="F406" s="182" t="n">
        <v>0.0095</v>
      </c>
      <c r="G406" s="192" t="n">
        <v>37529.15</v>
      </c>
      <c r="H406" s="186">
        <f>ROUND(F406*G406,2)</f>
        <v/>
      </c>
    </row>
    <row r="407">
      <c r="A407" s="180" t="n">
        <v>392</v>
      </c>
      <c r="B407" s="248" t="n"/>
      <c r="C407" s="182" t="inlineStr">
        <is>
          <t>101-1757</t>
        </is>
      </c>
      <c r="D407" s="183" t="inlineStr">
        <is>
          <t>Ветошь</t>
        </is>
      </c>
      <c r="E407" s="274" t="inlineStr">
        <is>
          <t>кг</t>
        </is>
      </c>
      <c r="F407" s="182" t="n">
        <v>190.0342</v>
      </c>
      <c r="G407" s="192" t="n">
        <v>1.82</v>
      </c>
      <c r="H407" s="186">
        <f>ROUND(F407*G407,2)</f>
        <v/>
      </c>
    </row>
    <row r="408" ht="25.9" customHeight="1">
      <c r="A408" s="180" t="n">
        <v>393</v>
      </c>
      <c r="B408" s="248" t="n"/>
      <c r="C408" s="182" t="inlineStr">
        <is>
          <t>102-0025</t>
        </is>
      </c>
      <c r="D408" s="183" t="inlineStr">
        <is>
          <t>Бруски обрезные хвойных пород длиной 4-6,5 м, шириной 75-150 мм, толщиной 40-75 мм, III сорта</t>
        </is>
      </c>
      <c r="E408" s="274" t="inlineStr">
        <is>
          <t>м3</t>
        </is>
      </c>
      <c r="F408" s="182" t="n">
        <v>0.2685</v>
      </c>
      <c r="G408" s="192" t="n">
        <v>1287</v>
      </c>
      <c r="H408" s="186">
        <f>ROUND(F408*G408,2)</f>
        <v/>
      </c>
      <c r="I408" s="198" t="n"/>
    </row>
    <row r="409">
      <c r="A409" s="180" t="n">
        <v>394</v>
      </c>
      <c r="B409" s="248" t="n"/>
      <c r="C409" s="258" t="inlineStr">
        <is>
          <t>Прайс из СД ОП</t>
        </is>
      </c>
      <c r="D409" s="183" t="inlineStr">
        <is>
          <t>Соединение на стык GAN</t>
        </is>
      </c>
      <c r="E409" s="274" t="inlineStr">
        <is>
          <t>шт.</t>
        </is>
      </c>
      <c r="F409" s="182" t="n">
        <v>14</v>
      </c>
      <c r="G409" s="192" t="n">
        <v>24.42</v>
      </c>
      <c r="H409" s="186">
        <f>ROUND(F409*G409,2)</f>
        <v/>
      </c>
      <c r="I409" s="198" t="n"/>
    </row>
    <row r="410" ht="38.85" customHeight="1">
      <c r="A410" s="180" t="n">
        <v>395</v>
      </c>
      <c r="B410" s="248" t="n"/>
      <c r="C410" s="182" t="inlineStr">
        <is>
          <t>301-1173</t>
        </is>
      </c>
      <c r="D410" s="183" t="inlineStr">
        <is>
          <t>Головки для пожарных рукавов соединительные напорные, давлением 1,2 МПа (12 кгс/см2) рукавные, диаметром 50 мм</t>
        </is>
      </c>
      <c r="E410" s="274" t="inlineStr">
        <is>
          <t>шт.</t>
        </is>
      </c>
      <c r="F410" s="182" t="n">
        <v>24</v>
      </c>
      <c r="G410" s="192" t="n">
        <v>14.2</v>
      </c>
      <c r="H410" s="186">
        <f>ROUND(F410*G410,2)</f>
        <v/>
      </c>
      <c r="I410" s="198" t="n"/>
    </row>
    <row r="411">
      <c r="A411" s="180" t="n">
        <v>396</v>
      </c>
      <c r="B411" s="248" t="n"/>
      <c r="C411" s="182" t="inlineStr">
        <is>
          <t>101-1712</t>
        </is>
      </c>
      <c r="D411" s="183" t="inlineStr">
        <is>
          <t>Шпатлевка клеевая</t>
        </is>
      </c>
      <c r="E411" s="274" t="inlineStr">
        <is>
          <t>т</t>
        </is>
      </c>
      <c r="F411" s="182" t="n">
        <v>0.0771</v>
      </c>
      <c r="G411" s="192" t="n">
        <v>4294</v>
      </c>
      <c r="H411" s="186">
        <f>ROUND(F411*G411,2)</f>
        <v/>
      </c>
      <c r="I411" s="198" t="n"/>
    </row>
    <row r="412">
      <c r="A412" s="180" t="n">
        <v>397</v>
      </c>
      <c r="B412" s="248" t="n"/>
      <c r="C412" s="182" t="inlineStr">
        <is>
          <t>301-2025</t>
        </is>
      </c>
      <c r="D412" s="183" t="inlineStr">
        <is>
          <t>Блочки</t>
        </is>
      </c>
      <c r="E412" s="274" t="inlineStr">
        <is>
          <t>шт.</t>
        </is>
      </c>
      <c r="F412" s="182" t="n">
        <v>14</v>
      </c>
      <c r="G412" s="192" t="n">
        <v>22.8</v>
      </c>
      <c r="H412" s="186">
        <f>ROUND(F412*G412,2)</f>
        <v/>
      </c>
      <c r="I412" s="198" t="n"/>
    </row>
    <row r="413">
      <c r="A413" s="180" t="n">
        <v>398</v>
      </c>
      <c r="B413" s="248" t="n"/>
      <c r="C413" s="182" t="inlineStr">
        <is>
          <t>301-1521</t>
        </is>
      </c>
      <c r="D413" s="183" t="inlineStr">
        <is>
          <t>Унитаз-компакт «Комфорт»</t>
        </is>
      </c>
      <c r="E413" s="274" t="inlineStr">
        <is>
          <t>компл.</t>
        </is>
      </c>
      <c r="F413" s="182" t="n">
        <v>1</v>
      </c>
      <c r="G413" s="192" t="n">
        <v>318</v>
      </c>
      <c r="H413" s="186">
        <f>ROUND(F413*G413,2)</f>
        <v/>
      </c>
      <c r="I413" s="198" t="n"/>
    </row>
    <row r="414" ht="38.85" customHeight="1">
      <c r="A414" s="180" t="n">
        <v>399</v>
      </c>
      <c r="B414" s="248" t="n"/>
      <c r="C414" s="182" t="inlineStr">
        <is>
          <t>301-4915</t>
        </is>
      </c>
      <c r="D414" s="183" t="inlineStr">
        <is>
          <t>Изделия фасонные для воздуховодов из оцинкованной стали с шиной и уголками толщиной 0,7 мм, периметром 1800 мм (переход 600х300/315)</t>
        </is>
      </c>
      <c r="E414" s="274" t="inlineStr">
        <is>
          <t>м2</t>
        </is>
      </c>
      <c r="F414" s="182" t="n">
        <v>1.65</v>
      </c>
      <c r="G414" s="192" t="n">
        <v>192.62</v>
      </c>
      <c r="H414" s="186">
        <f>ROUND(F414*G414,2)</f>
        <v/>
      </c>
      <c r="I414" s="198" t="n"/>
    </row>
    <row r="415">
      <c r="A415" s="180" t="n">
        <v>400</v>
      </c>
      <c r="B415" s="248" t="n"/>
      <c r="C415" s="182" t="inlineStr">
        <is>
          <t>101-1977</t>
        </is>
      </c>
      <c r="D415" s="183" t="inlineStr">
        <is>
          <t>Болты с гайками и шайбами строительные</t>
        </is>
      </c>
      <c r="E415" s="274" t="inlineStr">
        <is>
          <t>кг</t>
        </is>
      </c>
      <c r="F415" s="182" t="n">
        <v>35</v>
      </c>
      <c r="G415" s="192" t="n">
        <v>9.039999999999999</v>
      </c>
      <c r="H415" s="186">
        <f>ROUND(F415*G415,2)</f>
        <v/>
      </c>
      <c r="I415" s="198" t="n"/>
    </row>
    <row r="416">
      <c r="A416" s="180" t="n">
        <v>401</v>
      </c>
      <c r="B416" s="248" t="n"/>
      <c r="C416" s="182" t="inlineStr">
        <is>
          <t>101-1743</t>
        </is>
      </c>
      <c r="D416" s="183" t="inlineStr">
        <is>
          <t>Клей «Бустилат»</t>
        </is>
      </c>
      <c r="E416" s="274" t="inlineStr">
        <is>
          <t>т</t>
        </is>
      </c>
      <c r="F416" s="182" t="n">
        <v>0.0275</v>
      </c>
      <c r="G416" s="192" t="n">
        <v>11300</v>
      </c>
      <c r="H416" s="186">
        <f>ROUND(F416*G416,2)</f>
        <v/>
      </c>
      <c r="I416" s="198" t="n"/>
    </row>
    <row r="417" ht="25.9" customFormat="1" customHeight="1" s="179">
      <c r="A417" s="180" t="n">
        <v>402</v>
      </c>
      <c r="B417" s="248" t="n"/>
      <c r="C417" s="182" t="inlineStr">
        <is>
          <t>204-0037</t>
        </is>
      </c>
      <c r="D417" s="183" t="inlineStr">
        <is>
          <t>Надбавки к ценам заготовок за сборку и сварку каркасов и сеток плоских, диаметром 12 мм</t>
        </is>
      </c>
      <c r="E417" s="274" t="inlineStr">
        <is>
          <t>т</t>
        </is>
      </c>
      <c r="F417" s="182" t="n">
        <v>0.2306</v>
      </c>
      <c r="G417" s="192" t="n">
        <v>1336.85</v>
      </c>
      <c r="H417" s="186">
        <f>ROUND(F417*G417,2)</f>
        <v/>
      </c>
      <c r="I417" s="198" t="n"/>
    </row>
    <row r="418">
      <c r="A418" s="180" t="n">
        <v>403</v>
      </c>
      <c r="B418" s="248" t="n"/>
      <c r="C418" s="182" t="inlineStr">
        <is>
          <t>101-2591</t>
        </is>
      </c>
      <c r="D418" s="183" t="inlineStr">
        <is>
          <t>Шпильки</t>
        </is>
      </c>
      <c r="E418" s="274" t="inlineStr">
        <is>
          <t>шт.</t>
        </is>
      </c>
      <c r="F418" s="182" t="n">
        <v>35</v>
      </c>
      <c r="G418" s="192" t="n">
        <v>8.699999999999999</v>
      </c>
      <c r="H418" s="186">
        <f>ROUND(F418*G418,2)</f>
        <v/>
      </c>
      <c r="I418" s="198" t="n"/>
    </row>
    <row r="419">
      <c r="A419" s="180" t="n">
        <v>404</v>
      </c>
      <c r="B419" s="248" t="n"/>
      <c r="C419" s="182" t="inlineStr">
        <is>
          <t>101-8052</t>
        </is>
      </c>
      <c r="D419" s="183" t="inlineStr">
        <is>
          <t>Пена монтажная</t>
        </is>
      </c>
      <c r="E419" s="274" t="inlineStr">
        <is>
          <t>л</t>
        </is>
      </c>
      <c r="F419" s="182" t="n">
        <v>6.464</v>
      </c>
      <c r="G419" s="192" t="n">
        <v>46.86</v>
      </c>
      <c r="H419" s="186">
        <f>ROUND(F419*G419,2)</f>
        <v/>
      </c>
      <c r="I419" s="198" t="n"/>
      <c r="K419" s="196" t="n"/>
    </row>
    <row r="420">
      <c r="A420" s="180" t="n">
        <v>405</v>
      </c>
      <c r="B420" s="248" t="n"/>
      <c r="C420" s="182" t="inlineStr">
        <is>
          <t>201-0835</t>
        </is>
      </c>
      <c r="D420" s="183" t="inlineStr">
        <is>
          <t>Подкладки металлические</t>
        </is>
      </c>
      <c r="E420" s="274" t="inlineStr">
        <is>
          <t>кг</t>
        </is>
      </c>
      <c r="F420" s="182" t="n">
        <v>24</v>
      </c>
      <c r="G420" s="192" t="n">
        <v>12.6</v>
      </c>
      <c r="H420" s="186">
        <f>ROUND(F420*G420,2)</f>
        <v/>
      </c>
      <c r="I420" s="198" t="n"/>
      <c r="K420" s="196" t="n"/>
    </row>
    <row r="421">
      <c r="A421" s="180" t="n">
        <v>406</v>
      </c>
      <c r="B421" s="248" t="n"/>
      <c r="C421" s="182" t="inlineStr">
        <is>
          <t>101-3914</t>
        </is>
      </c>
      <c r="D421" s="183" t="inlineStr">
        <is>
          <t>Дюбели распорные полипропиленовые</t>
        </is>
      </c>
      <c r="E421" s="274" t="inlineStr">
        <is>
          <t>100 шт.</t>
        </is>
      </c>
      <c r="F421" s="182" t="n">
        <v>3.3758</v>
      </c>
      <c r="G421" s="192" t="n">
        <v>86</v>
      </c>
      <c r="H421" s="186">
        <f>ROUND(F421*G421,2)</f>
        <v/>
      </c>
      <c r="I421" s="198" t="n"/>
      <c r="K421" s="196" t="n"/>
    </row>
    <row r="422">
      <c r="A422" s="180" t="n">
        <v>407</v>
      </c>
      <c r="B422" s="248" t="n"/>
      <c r="C422" s="258" t="inlineStr">
        <is>
          <t>Прайс из СД ОП</t>
        </is>
      </c>
      <c r="D422" s="183" t="inlineStr">
        <is>
          <t>Вентилятор осевой PUNTO FILO MF120/5LL</t>
        </is>
      </c>
      <c r="E422" s="274" t="inlineStr">
        <is>
          <t>компл.</t>
        </is>
      </c>
      <c r="F422" s="182" t="n">
        <v>1</v>
      </c>
      <c r="G422" s="192" t="n">
        <v>290.24</v>
      </c>
      <c r="H422" s="186">
        <f>ROUND(F422*G422,2)</f>
        <v/>
      </c>
    </row>
    <row r="423" ht="38.85" customHeight="1">
      <c r="A423" s="180" t="n">
        <v>408</v>
      </c>
      <c r="B423" s="248" t="n"/>
      <c r="C423" s="182" t="inlineStr">
        <is>
          <t>507-4423</t>
        </is>
      </c>
      <c r="D423" s="183" t="inlineStr">
        <is>
          <t>Переходы концентрические бесшовные из стали марок 20 и 09Г2С (ОСТ 34-10.700-97), наружным диаметром и толщиной стенки 108х4,0-89х3,5 мм</t>
        </is>
      </c>
      <c r="E423" s="274" t="inlineStr">
        <is>
          <t>шт.</t>
        </is>
      </c>
      <c r="F423" s="182" t="n">
        <v>3</v>
      </c>
      <c r="G423" s="192" t="n">
        <v>96.48</v>
      </c>
      <c r="H423" s="186">
        <f>ROUND(F423*G423,2)</f>
        <v/>
      </c>
    </row>
    <row r="424" ht="25.9" customHeight="1">
      <c r="A424" s="180" t="n">
        <v>409</v>
      </c>
      <c r="B424" s="248" t="n"/>
      <c r="C424" s="182" t="inlineStr">
        <is>
          <t>401-0086</t>
        </is>
      </c>
      <c r="D424" s="183" t="inlineStr">
        <is>
          <t>Бетон тяжелый, крупность заполнителя 10 мм, класс В15 (М200)</t>
        </is>
      </c>
      <c r="E424" s="274" t="inlineStr">
        <is>
          <t>м3</t>
        </is>
      </c>
      <c r="F424" s="182" t="n">
        <v>0.427</v>
      </c>
      <c r="G424" s="192" t="n">
        <v>665</v>
      </c>
      <c r="H424" s="186">
        <f>ROUND(F424*G424,2)</f>
        <v/>
      </c>
    </row>
    <row r="425">
      <c r="A425" s="180" t="n">
        <v>410</v>
      </c>
      <c r="B425" s="248" t="n"/>
      <c r="C425" s="258" t="inlineStr">
        <is>
          <t>Прайс из СД ОП</t>
        </is>
      </c>
      <c r="D425" s="183" t="inlineStr">
        <is>
          <t>Соединение на стык GAN</t>
        </is>
      </c>
      <c r="E425" s="274" t="inlineStr">
        <is>
          <t>шт.</t>
        </is>
      </c>
      <c r="F425" s="182" t="n">
        <v>100</v>
      </c>
      <c r="G425" s="192" t="n">
        <v>2.8</v>
      </c>
      <c r="H425" s="186">
        <f>ROUND(F425*G425,2)</f>
        <v/>
      </c>
    </row>
    <row r="426">
      <c r="A426" s="180" t="n">
        <v>411</v>
      </c>
      <c r="B426" s="248" t="n"/>
      <c r="C426" s="182" t="inlineStr">
        <is>
          <t>101-1759</t>
        </is>
      </c>
      <c r="D426" s="183" t="inlineStr">
        <is>
          <t>Герметик силиконовый для наружных швов</t>
        </is>
      </c>
      <c r="E426" s="274" t="inlineStr">
        <is>
          <t>л</t>
        </is>
      </c>
      <c r="F426" s="182" t="n">
        <v>3.623</v>
      </c>
      <c r="G426" s="192" t="n">
        <v>76.8</v>
      </c>
      <c r="H426" s="186">
        <f>ROUND(F426*G426,2)</f>
        <v/>
      </c>
    </row>
    <row r="427">
      <c r="A427" s="180" t="n">
        <v>412</v>
      </c>
      <c r="B427" s="248" t="n"/>
      <c r="C427" s="182" t="inlineStr">
        <is>
          <t>203-0512</t>
        </is>
      </c>
      <c r="D427" s="183" t="inlineStr">
        <is>
          <t>Щиты из досок толщиной 40 мм</t>
        </is>
      </c>
      <c r="E427" s="274" t="inlineStr">
        <is>
          <t>м2</t>
        </is>
      </c>
      <c r="F427" s="182" t="n">
        <v>4.812</v>
      </c>
      <c r="G427" s="192" t="n">
        <v>57.63</v>
      </c>
      <c r="H427" s="186">
        <f>ROUND(F427*G427,2)</f>
        <v/>
      </c>
    </row>
    <row r="428">
      <c r="A428" s="180" t="n">
        <v>413</v>
      </c>
      <c r="B428" s="248" t="n"/>
      <c r="C428" s="182" t="inlineStr">
        <is>
          <t>101-3585</t>
        </is>
      </c>
      <c r="D428" s="183" t="inlineStr">
        <is>
          <t>Шпатлевка водно-дисперсионная</t>
        </is>
      </c>
      <c r="E428" s="274" t="inlineStr">
        <is>
          <t>т</t>
        </is>
      </c>
      <c r="F428" s="182" t="n">
        <v>0.0243</v>
      </c>
      <c r="G428" s="192" t="n">
        <v>11397.1</v>
      </c>
      <c r="H428" s="186">
        <f>ROUND(F428*G428,2)</f>
        <v/>
      </c>
    </row>
    <row r="429" ht="25.9" customHeight="1">
      <c r="A429" s="180" t="n">
        <v>414</v>
      </c>
      <c r="B429" s="248" t="n"/>
      <c r="C429" s="182" t="inlineStr">
        <is>
          <t>101-0078</t>
        </is>
      </c>
      <c r="D429" s="183" t="inlineStr">
        <is>
          <t>Битумы нефтяные строительные кровельные марки БНК-45/190, БНК-45/180</t>
        </is>
      </c>
      <c r="E429" s="274" t="inlineStr">
        <is>
          <t>т</t>
        </is>
      </c>
      <c r="F429" s="182" t="n">
        <v>0.18</v>
      </c>
      <c r="G429" s="192" t="n">
        <v>1530</v>
      </c>
      <c r="H429" s="186">
        <f>ROUND(F429*G429,2)</f>
        <v/>
      </c>
    </row>
    <row r="430">
      <c r="A430" s="180" t="n">
        <v>415</v>
      </c>
      <c r="B430" s="248" t="n"/>
      <c r="C430" s="258" t="inlineStr">
        <is>
          <t>Прайс из СД ОП</t>
        </is>
      </c>
      <c r="D430" s="183" t="inlineStr">
        <is>
          <t>Вентилятор осевой PUNTO FILO MF100/4LL</t>
        </is>
      </c>
      <c r="E430" s="274" t="inlineStr">
        <is>
          <t>компл.</t>
        </is>
      </c>
      <c r="F430" s="182" t="n">
        <v>1</v>
      </c>
      <c r="G430" s="192" t="n">
        <v>272.83</v>
      </c>
      <c r="H430" s="186">
        <f>ROUND(F430*G430,2)</f>
        <v/>
      </c>
    </row>
    <row r="431">
      <c r="A431" s="180" t="n">
        <v>416</v>
      </c>
      <c r="B431" s="248" t="n"/>
      <c r="C431" s="182" t="inlineStr">
        <is>
          <t>101-2278</t>
        </is>
      </c>
      <c r="D431" s="183" t="inlineStr">
        <is>
          <t>Пропан-бутан, смесь техническая</t>
        </is>
      </c>
      <c r="E431" s="274" t="inlineStr">
        <is>
          <t>кг</t>
        </is>
      </c>
      <c r="F431" s="182" t="n">
        <v>44.7915</v>
      </c>
      <c r="G431" s="192" t="n">
        <v>6.09</v>
      </c>
      <c r="H431" s="186">
        <f>ROUND(F431*G431,2)</f>
        <v/>
      </c>
    </row>
    <row r="432">
      <c r="A432" s="180" t="n">
        <v>417</v>
      </c>
      <c r="B432" s="248" t="n"/>
      <c r="C432" s="258" t="inlineStr">
        <is>
          <t>Прайс из СД ОП</t>
        </is>
      </c>
      <c r="D432" s="183" t="inlineStr">
        <is>
          <t>Заглушка  полукруглого конька LHPK</t>
        </is>
      </c>
      <c r="E432" s="274" t="inlineStr">
        <is>
          <t>шт.</t>
        </is>
      </c>
      <c r="F432" s="182" t="n">
        <v>2</v>
      </c>
      <c r="G432" s="192" t="n">
        <v>134.13</v>
      </c>
      <c r="H432" s="186">
        <f>ROUND(F432*G432,2)</f>
        <v/>
      </c>
      <c r="I432" s="198" t="n"/>
    </row>
    <row r="433" ht="25.9" customHeight="1">
      <c r="A433" s="180" t="n">
        <v>418</v>
      </c>
      <c r="B433" s="248" t="n"/>
      <c r="C433" s="182" t="inlineStr">
        <is>
          <t>101-1808</t>
        </is>
      </c>
      <c r="D433" s="183" t="inlineStr">
        <is>
          <t>Сталь угловая равнополочная, марка стали 18кп, шириной полок 35-56 мм</t>
        </is>
      </c>
      <c r="E433" s="274" t="inlineStr">
        <is>
          <t>т</t>
        </is>
      </c>
      <c r="F433" s="182" t="n">
        <v>0.0521</v>
      </c>
      <c r="G433" s="192" t="n">
        <v>5136</v>
      </c>
      <c r="H433" s="186">
        <f>ROUND(F433*G433,2)</f>
        <v/>
      </c>
      <c r="I433" s="198" t="n"/>
    </row>
    <row r="434">
      <c r="A434" s="180" t="n">
        <v>419</v>
      </c>
      <c r="B434" s="248" t="n"/>
      <c r="C434" s="182" t="inlineStr">
        <is>
          <t>101-1522</t>
        </is>
      </c>
      <c r="D434" s="183" t="inlineStr">
        <is>
          <t>Электроды диаметром 5 мм Э42А</t>
        </is>
      </c>
      <c r="E434" s="274" t="inlineStr">
        <is>
          <t>т</t>
        </is>
      </c>
      <c r="F434" s="182" t="n">
        <v>0.0253</v>
      </c>
      <c r="G434" s="192" t="n">
        <v>10362</v>
      </c>
      <c r="H434" s="186">
        <f>ROUND(F434*G434,2)</f>
        <v/>
      </c>
      <c r="I434" s="198" t="n"/>
    </row>
    <row r="435">
      <c r="A435" s="180" t="n">
        <v>420</v>
      </c>
      <c r="B435" s="248" t="n"/>
      <c r="C435" s="182" t="inlineStr">
        <is>
          <t>104-0077</t>
        </is>
      </c>
      <c r="D435" s="183" t="inlineStr">
        <is>
          <t>Стеклопластик рулонный марки РСТ-А-Л-В</t>
        </is>
      </c>
      <c r="E435" s="274" t="inlineStr">
        <is>
          <t>1000 м2</t>
        </is>
      </c>
      <c r="F435" s="182" t="n">
        <v>0.0119</v>
      </c>
      <c r="G435" s="192" t="n">
        <v>22020</v>
      </c>
      <c r="H435" s="186">
        <f>ROUND(F435*G435,2)</f>
        <v/>
      </c>
      <c r="I435" s="198" t="n"/>
    </row>
    <row r="436">
      <c r="A436" s="180" t="n">
        <v>421</v>
      </c>
      <c r="B436" s="248" t="n"/>
      <c r="C436" s="258" t="inlineStr">
        <is>
          <t>Прайс из СД ОП</t>
        </is>
      </c>
      <c r="D436" s="183" t="inlineStr">
        <is>
          <t>Отвод 90 гр. д. 630 (2,380 м2)</t>
        </is>
      </c>
      <c r="E436" s="274" t="inlineStr">
        <is>
          <t>шт.</t>
        </is>
      </c>
      <c r="F436" s="182" t="n">
        <v>1</v>
      </c>
      <c r="G436" s="192" t="n">
        <v>259.56</v>
      </c>
      <c r="H436" s="186">
        <f>ROUND(F436*G436,2)</f>
        <v/>
      </c>
      <c r="I436" s="198" t="n"/>
    </row>
    <row r="437">
      <c r="A437" s="180" t="n">
        <v>422</v>
      </c>
      <c r="B437" s="248" t="n"/>
      <c r="C437" s="182" t="inlineStr">
        <is>
          <t>201-0793</t>
        </is>
      </c>
      <c r="D437" s="183" t="inlineStr">
        <is>
          <t>Профиль направляющий ПН-4 75/40/0,6</t>
        </is>
      </c>
      <c r="E437" s="274" t="inlineStr">
        <is>
          <t>м</t>
        </is>
      </c>
      <c r="F437" s="182" t="n">
        <v>37.39</v>
      </c>
      <c r="G437" s="192" t="n">
        <v>6.91</v>
      </c>
      <c r="H437" s="186">
        <f>ROUND(F437*G437,2)</f>
        <v/>
      </c>
      <c r="I437" s="198" t="n"/>
    </row>
    <row r="438">
      <c r="A438" s="180" t="n">
        <v>423</v>
      </c>
      <c r="B438" s="248" t="n"/>
      <c r="C438" s="182" t="inlineStr">
        <is>
          <t>101-4163</t>
        </is>
      </c>
      <c r="D438" s="183" t="inlineStr">
        <is>
          <t>Грунтовка акриловая НОРТЕКС-ГРУНТ</t>
        </is>
      </c>
      <c r="E438" s="274" t="inlineStr">
        <is>
          <t>кг</t>
        </is>
      </c>
      <c r="F438" s="182" t="n">
        <v>16.92</v>
      </c>
      <c r="G438" s="192" t="n">
        <v>15.25</v>
      </c>
      <c r="H438" s="186">
        <f>ROUND(F438*G438,2)</f>
        <v/>
      </c>
      <c r="I438" s="198" t="n"/>
    </row>
    <row r="439">
      <c r="A439" s="180" t="n">
        <v>424</v>
      </c>
      <c r="B439" s="248" t="n"/>
      <c r="C439" s="182" t="inlineStr">
        <is>
          <t>101-0309</t>
        </is>
      </c>
      <c r="D439" s="183" t="inlineStr">
        <is>
          <t>Канаты пеньковые пропитанные</t>
        </is>
      </c>
      <c r="E439" s="274" t="inlineStr">
        <is>
          <t>т</t>
        </is>
      </c>
      <c r="F439" s="182" t="n">
        <v>0.0068</v>
      </c>
      <c r="G439" s="192" t="n">
        <v>37900</v>
      </c>
      <c r="H439" s="186">
        <f>ROUND(F439*G439,2)</f>
        <v/>
      </c>
      <c r="I439" s="198" t="n"/>
    </row>
    <row r="440" ht="38.85" customHeight="1">
      <c r="A440" s="180" t="n">
        <v>425</v>
      </c>
      <c r="B440" s="248" t="n"/>
      <c r="C440" s="182" t="inlineStr">
        <is>
          <t>302-0890</t>
        </is>
      </c>
      <c r="D440" s="18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32 мм</t>
        </is>
      </c>
      <c r="E440" s="274" t="inlineStr">
        <is>
          <t>м</t>
        </is>
      </c>
      <c r="F440" s="182" t="n">
        <v>6</v>
      </c>
      <c r="G440" s="192" t="n">
        <v>42.85</v>
      </c>
      <c r="H440" s="186">
        <f>ROUND(F440*G440,2)</f>
        <v/>
      </c>
      <c r="I440" s="198" t="n"/>
    </row>
    <row r="441" customFormat="1" s="179">
      <c r="A441" s="180" t="n">
        <v>426</v>
      </c>
      <c r="B441" s="248" t="n"/>
      <c r="C441" s="258" t="inlineStr">
        <is>
          <t>Прайс из СД ОП</t>
        </is>
      </c>
      <c r="D441" s="183" t="inlineStr">
        <is>
          <t>Отвод 90 град. д. 315 (0,74м2)</t>
        </is>
      </c>
      <c r="E441" s="274" t="inlineStr">
        <is>
          <t>шт.</t>
        </is>
      </c>
      <c r="F441" s="182" t="n">
        <v>4</v>
      </c>
      <c r="G441" s="192" t="n">
        <v>63.86</v>
      </c>
      <c r="H441" s="186">
        <f>ROUND(F441*G441,2)</f>
        <v/>
      </c>
      <c r="I441" s="198" t="n"/>
    </row>
    <row r="442" ht="25.9" customHeight="1">
      <c r="A442" s="180" t="n">
        <v>427</v>
      </c>
      <c r="B442" s="248" t="n"/>
      <c r="C442" s="182" t="inlineStr">
        <is>
          <t>102-0061</t>
        </is>
      </c>
      <c r="D442" s="183" t="inlineStr">
        <is>
          <t>Доски обрезные хвойных пород длиной 4-6,5 м, шириной 75-150 мм, толщиной 44 мм и более, III сорта</t>
        </is>
      </c>
      <c r="E442" s="274" t="inlineStr">
        <is>
          <t>м3</t>
        </is>
      </c>
      <c r="F442" s="182" t="n">
        <v>0.2376</v>
      </c>
      <c r="G442" s="192" t="n">
        <v>1056</v>
      </c>
      <c r="H442" s="186">
        <f>ROUND(F442*G442,2)</f>
        <v/>
      </c>
      <c r="I442" s="198" t="n"/>
    </row>
    <row r="443" ht="51.6" customHeight="1">
      <c r="A443" s="180" t="n">
        <v>428</v>
      </c>
      <c r="B443" s="248" t="n"/>
      <c r="C443" s="182" t="inlineStr">
        <is>
          <t>507-1982</t>
        </is>
      </c>
      <c r="D443" s="183" t="inlineStr">
        <is>
          <t>Отводы 90 град. с радиусом кривизны R=1,5 Ду на Ру до 16 МПа (160 кгс/см2), диаметром условного прохода 100 мм, наружным диаметром 108 мм, толщиной стенки 4 мм</t>
        </is>
      </c>
      <c r="E443" s="274" t="inlineStr">
        <is>
          <t>шт.</t>
        </is>
      </c>
      <c r="F443" s="182" t="n">
        <v>4</v>
      </c>
      <c r="G443" s="192" t="n">
        <v>62.05</v>
      </c>
      <c r="H443" s="186">
        <f>ROUND(F443*G443,2)</f>
        <v/>
      </c>
      <c r="I443" s="198" t="n"/>
      <c r="K443" s="196" t="n"/>
    </row>
    <row r="444">
      <c r="A444" s="180" t="n">
        <v>429</v>
      </c>
      <c r="B444" s="248" t="n"/>
      <c r="C444" s="182" t="inlineStr">
        <is>
          <t>101-2467</t>
        </is>
      </c>
      <c r="D444" s="183" t="inlineStr">
        <is>
          <t>Растворитель марки Р-4</t>
        </is>
      </c>
      <c r="E444" s="274" t="inlineStr">
        <is>
          <t>т</t>
        </is>
      </c>
      <c r="F444" s="182" t="n">
        <v>0.026</v>
      </c>
      <c r="G444" s="192" t="n">
        <v>9420</v>
      </c>
      <c r="H444" s="186">
        <f>ROUND(F444*G444,2)</f>
        <v/>
      </c>
      <c r="I444" s="198" t="n"/>
      <c r="K444" s="196" t="n"/>
    </row>
    <row r="445">
      <c r="A445" s="180" t="n">
        <v>430</v>
      </c>
      <c r="B445" s="248" t="n"/>
      <c r="C445" s="182" t="inlineStr">
        <is>
          <t>101-2052</t>
        </is>
      </c>
      <c r="D445" s="183" t="inlineStr">
        <is>
          <t>Лента бутиловая</t>
        </is>
      </c>
      <c r="E445" s="274" t="inlineStr">
        <is>
          <t>м</t>
        </is>
      </c>
      <c r="F445" s="182" t="n">
        <v>37.895</v>
      </c>
      <c r="G445" s="192" t="n">
        <v>6.38</v>
      </c>
      <c r="H445" s="186">
        <f>ROUND(F445*G445,2)</f>
        <v/>
      </c>
      <c r="I445" s="198" t="n"/>
      <c r="K445" s="196" t="n"/>
    </row>
    <row r="446" ht="38.85" customHeight="1">
      <c r="A446" s="180" t="n">
        <v>431</v>
      </c>
      <c r="B446" s="248" t="n"/>
      <c r="C446" s="182" t="inlineStr">
        <is>
          <t>507-0980</t>
        </is>
      </c>
      <c r="D446" s="183" t="inlineStr">
        <is>
          <t>Фланцы стальные плоские приварные из стали ВСт3сп2, ВСт3сп3, давлением 1,0 МПа (10 кгс/см2), диаметром 25 мм</t>
        </is>
      </c>
      <c r="E446" s="274" t="inlineStr">
        <is>
          <t>шт.</t>
        </is>
      </c>
      <c r="F446" s="182" t="n">
        <v>14</v>
      </c>
      <c r="G446" s="192" t="n">
        <v>16.8</v>
      </c>
      <c r="H446" s="186">
        <f>ROUND(F446*G446,2)</f>
        <v/>
      </c>
    </row>
    <row r="447" ht="25.5" customHeight="1">
      <c r="A447" s="180" t="n">
        <v>432</v>
      </c>
      <c r="B447" s="248" t="n"/>
      <c r="C447" s="182" t="inlineStr">
        <is>
          <t>101-1750</t>
        </is>
      </c>
      <c r="D447" s="183" t="inlineStr">
        <is>
          <t>Шурупы-саморезы коньковые оцинкованные 4,8х80 мм</t>
        </is>
      </c>
      <c r="E447" s="274" t="inlineStr">
        <is>
          <t>10 шт.</t>
        </is>
      </c>
      <c r="F447" s="182" t="n">
        <v>32.22</v>
      </c>
      <c r="G447" s="192" t="n">
        <v>7.2</v>
      </c>
      <c r="H447" s="186">
        <f>ROUND(F447*G447,2)</f>
        <v/>
      </c>
    </row>
    <row r="448">
      <c r="A448" s="180" t="n">
        <v>433</v>
      </c>
      <c r="B448" s="248" t="n"/>
      <c r="C448" s="182" t="inlineStr">
        <is>
          <t>509-0809</t>
        </is>
      </c>
      <c r="D448" s="183" t="inlineStr">
        <is>
          <t>Заглушки</t>
        </is>
      </c>
      <c r="E448" s="274" t="inlineStr">
        <is>
          <t>10 шт.</t>
        </is>
      </c>
      <c r="F448" s="182" t="n">
        <v>11.5</v>
      </c>
      <c r="G448" s="192" t="n">
        <v>19.9</v>
      </c>
      <c r="H448" s="186">
        <f>ROUND(F448*G448,2)</f>
        <v/>
      </c>
    </row>
    <row r="449" ht="25.9" customHeight="1">
      <c r="A449" s="180" t="n">
        <v>434</v>
      </c>
      <c r="B449" s="248" t="n"/>
      <c r="C449" s="182" t="inlineStr">
        <is>
          <t>301-5821</t>
        </is>
      </c>
      <c r="D449" s="183" t="inlineStr">
        <is>
          <t>Шиберы в обечайке из тонколистовой оцинкованной и сортовой стали круглые диаметром до 250 мм</t>
        </is>
      </c>
      <c r="E449" s="274" t="inlineStr">
        <is>
          <t>шт.</t>
        </is>
      </c>
      <c r="F449" s="182" t="n">
        <v>1</v>
      </c>
      <c r="G449" s="192" t="n">
        <v>226.87</v>
      </c>
      <c r="H449" s="186">
        <f>ROUND(F449*G449,2)</f>
        <v/>
      </c>
    </row>
    <row r="450">
      <c r="A450" s="180" t="n">
        <v>435</v>
      </c>
      <c r="B450" s="248" t="n"/>
      <c r="C450" s="182" t="inlineStr">
        <is>
          <t>506-0878</t>
        </is>
      </c>
      <c r="D450" s="183" t="inlineStr">
        <is>
          <t>Листы алюминиевые марки АД1Н, толщиной 1 мм</t>
        </is>
      </c>
      <c r="E450" s="274" t="inlineStr">
        <is>
          <t>кг</t>
        </is>
      </c>
      <c r="F450" s="182" t="n">
        <v>4.2044</v>
      </c>
      <c r="G450" s="192" t="n">
        <v>52.86</v>
      </c>
      <c r="H450" s="186">
        <f>ROUND(F450*G450,2)</f>
        <v/>
      </c>
    </row>
    <row r="451">
      <c r="A451" s="180" t="n">
        <v>436</v>
      </c>
      <c r="B451" s="248" t="n"/>
      <c r="C451" s="182" t="inlineStr">
        <is>
          <t>101-2202</t>
        </is>
      </c>
      <c r="D451" s="183" t="inlineStr">
        <is>
          <t>Дюбели распорные полиэтиленовые 6х40 мм</t>
        </is>
      </c>
      <c r="E451" s="274" t="inlineStr">
        <is>
          <t>10 шт.</t>
        </is>
      </c>
      <c r="F451" s="182" t="n">
        <v>120</v>
      </c>
      <c r="G451" s="192" t="n">
        <v>1.8</v>
      </c>
      <c r="H451" s="186">
        <f>ROUND(F451*G451,2)</f>
        <v/>
      </c>
    </row>
    <row r="452" ht="38.85" customHeight="1">
      <c r="A452" s="180" t="n">
        <v>437</v>
      </c>
      <c r="B452" s="248" t="n"/>
      <c r="C452" s="182" t="inlineStr">
        <is>
          <t>302-0889</t>
        </is>
      </c>
      <c r="D452" s="18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25 мм</t>
        </is>
      </c>
      <c r="E452" s="274" t="inlineStr">
        <is>
          <t>м</t>
        </is>
      </c>
      <c r="F452" s="182" t="n">
        <v>6</v>
      </c>
      <c r="G452" s="192" t="n">
        <v>35.71</v>
      </c>
      <c r="H452" s="186">
        <f>ROUND(F452*G452,2)</f>
        <v/>
      </c>
    </row>
    <row r="453">
      <c r="A453" s="180" t="n">
        <v>438</v>
      </c>
      <c r="B453" s="248" t="n"/>
      <c r="C453" s="182" t="inlineStr">
        <is>
          <t>101-0414</t>
        </is>
      </c>
      <c r="D453" s="183" t="inlineStr">
        <is>
          <t>Краска для наружных работ защитная, марки МА-015</t>
        </is>
      </c>
      <c r="E453" s="274" t="inlineStr">
        <is>
          <t>т</t>
        </is>
      </c>
      <c r="F453" s="182" t="n">
        <v>0.013</v>
      </c>
      <c r="G453" s="192" t="n">
        <v>15707</v>
      </c>
      <c r="H453" s="186">
        <f>ROUND(F453*G453,2)</f>
        <v/>
      </c>
    </row>
    <row r="454" ht="38.85" customHeight="1">
      <c r="A454" s="180" t="n">
        <v>439</v>
      </c>
      <c r="B454" s="248" t="n"/>
      <c r="C454" s="182" t="inlineStr">
        <is>
          <t>302-0887</t>
        </is>
      </c>
      <c r="D454" s="18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454" s="274" t="inlineStr">
        <is>
          <t>м</t>
        </is>
      </c>
      <c r="F454" s="182" t="n">
        <v>7</v>
      </c>
      <c r="G454" s="192" t="n">
        <v>28.25</v>
      </c>
      <c r="H454" s="186">
        <f>ROUND(F454*G454,2)</f>
        <v/>
      </c>
    </row>
    <row r="455" ht="25.9" customHeight="1">
      <c r="A455" s="180" t="n">
        <v>440</v>
      </c>
      <c r="B455" s="248" t="n"/>
      <c r="C455" s="182" t="inlineStr">
        <is>
          <t>301-5820</t>
        </is>
      </c>
      <c r="D455" s="183" t="inlineStr">
        <is>
          <t>Шиберы в обечайке из тонколистовой оцинкованной и сортовой стали круглые диаметром до 200 мм</t>
        </is>
      </c>
      <c r="E455" s="274" t="inlineStr">
        <is>
          <t>шт.</t>
        </is>
      </c>
      <c r="F455" s="182" t="n">
        <v>1</v>
      </c>
      <c r="G455" s="192" t="n">
        <v>193.02</v>
      </c>
      <c r="H455" s="186">
        <f>ROUND(F455*G455,2)</f>
        <v/>
      </c>
    </row>
    <row r="456" ht="38.85" customFormat="1" customHeight="1" s="179">
      <c r="A456" s="180" t="n">
        <v>441</v>
      </c>
      <c r="B456" s="248" t="n"/>
      <c r="C456" s="182" t="inlineStr">
        <is>
          <t>301-4915</t>
        </is>
      </c>
      <c r="D456" s="183" t="inlineStr">
        <is>
          <t>Изделия фасонные для воздуховодов из оцинкованной стали с шиной и уголками толщиной 0,7 мм, периметром 1800 мм (переход 600х350/355)</t>
        </is>
      </c>
      <c r="E456" s="274" t="inlineStr">
        <is>
          <t>м2</t>
        </is>
      </c>
      <c r="F456" s="182" t="n">
        <v>1</v>
      </c>
      <c r="G456" s="192" t="n">
        <v>192.62</v>
      </c>
      <c r="H456" s="186">
        <f>ROUND(F456*G456,2)</f>
        <v/>
      </c>
    </row>
    <row r="457" ht="25.9" customHeight="1">
      <c r="A457" s="180" t="n">
        <v>442</v>
      </c>
      <c r="B457" s="248" t="n"/>
      <c r="C457" s="182" t="inlineStr">
        <is>
          <t>101-2411</t>
        </is>
      </c>
      <c r="D457" s="183" t="inlineStr">
        <is>
          <t>Водоотлив оконный шириной планки 250 мм из оцинкованной стали с полимерным покрытием</t>
        </is>
      </c>
      <c r="E457" s="274" t="inlineStr">
        <is>
          <t>п.м</t>
        </is>
      </c>
      <c r="F457" s="182" t="n">
        <v>7.207</v>
      </c>
      <c r="G457" s="192" t="n">
        <v>26.41</v>
      </c>
      <c r="H457" s="186">
        <f>ROUND(F457*G457,2)</f>
        <v/>
      </c>
    </row>
    <row r="458" ht="25.9" customHeight="1">
      <c r="A458" s="180" t="n">
        <v>443</v>
      </c>
      <c r="B458" s="248" t="n"/>
      <c r="C458" s="182" t="inlineStr">
        <is>
          <t>509-3502</t>
        </is>
      </c>
      <c r="D458" s="183" t="inlineStr">
        <is>
          <t>Пускатели нажимные для однофазных электродвигателей ПНВС-14 У2</t>
        </is>
      </c>
      <c r="E458" s="274" t="inlineStr">
        <is>
          <t>шт.</t>
        </is>
      </c>
      <c r="F458" s="182" t="n">
        <v>2</v>
      </c>
      <c r="G458" s="192" t="n">
        <v>94.92</v>
      </c>
      <c r="H458" s="186">
        <f>ROUND(F458*G458,2)</f>
        <v/>
      </c>
      <c r="I458" s="198" t="n"/>
    </row>
    <row r="459" ht="25.9" customHeight="1">
      <c r="A459" s="180" t="n">
        <v>444</v>
      </c>
      <c r="B459" s="248" t="n"/>
      <c r="C459" s="182" t="inlineStr">
        <is>
          <t>301-1058</t>
        </is>
      </c>
      <c r="D459" s="183" t="inlineStr">
        <is>
          <t>Диффузоры потолочные пластиковые "АРКТОС" марки ДПУ универсальные ДПУ-М, диаметр 200 мм</t>
        </is>
      </c>
      <c r="E459" s="274" t="inlineStr">
        <is>
          <t>шт.</t>
        </is>
      </c>
      <c r="F459" s="182" t="n">
        <v>1</v>
      </c>
      <c r="G459" s="192" t="n">
        <v>183.26</v>
      </c>
      <c r="H459" s="186">
        <f>ROUND(F459*G459,2)</f>
        <v/>
      </c>
      <c r="K459" s="196" t="n"/>
    </row>
    <row r="460">
      <c r="A460" s="180" t="n">
        <v>445</v>
      </c>
      <c r="B460" s="248" t="n"/>
      <c r="C460" s="182" t="inlineStr">
        <is>
          <t>101-0605</t>
        </is>
      </c>
      <c r="D460" s="183" t="inlineStr">
        <is>
          <t>Мастика герметизирующая нетвердеющая «Гэлан»</t>
        </is>
      </c>
      <c r="E460" s="274" t="inlineStr">
        <is>
          <t>т</t>
        </is>
      </c>
      <c r="F460" s="182" t="n">
        <v>0.0106</v>
      </c>
      <c r="G460" s="192" t="n">
        <v>17183</v>
      </c>
      <c r="H460" s="186">
        <f>ROUND(F460*G460,2)</f>
        <v/>
      </c>
      <c r="K460" s="196" t="n"/>
    </row>
    <row r="461" ht="38.85" customHeight="1">
      <c r="A461" s="180" t="n">
        <v>446</v>
      </c>
      <c r="B461" s="248" t="n"/>
      <c r="C461" s="182" t="inlineStr">
        <is>
          <t>301-0279</t>
        </is>
      </c>
      <c r="D461" s="183" t="inlineStr">
        <is>
          <t>Зонты вентиляционных систем из листовой оцинкованной стали, круглые, диаметром шахты 315 мм</t>
        </is>
      </c>
      <c r="E461" s="274" t="inlineStr">
        <is>
          <t>шт.</t>
        </is>
      </c>
      <c r="F461" s="182" t="n">
        <v>2</v>
      </c>
      <c r="G461" s="192" t="n">
        <v>90.7</v>
      </c>
      <c r="H461" s="186">
        <f>ROUND(F461*G461,2)</f>
        <v/>
      </c>
      <c r="K461" s="196" t="n"/>
    </row>
    <row r="462">
      <c r="A462" s="180" t="n">
        <v>447</v>
      </c>
      <c r="B462" s="248" t="n"/>
      <c r="C462" s="258" t="inlineStr">
        <is>
          <t>Прайс из СД ОП</t>
        </is>
      </c>
      <c r="D462" s="183" t="inlineStr">
        <is>
          <t>Тройник д. 315/315 (0,946м2)</t>
        </is>
      </c>
      <c r="E462" s="274" t="inlineStr">
        <is>
          <t>шт.</t>
        </is>
      </c>
      <c r="F462" s="182" t="n">
        <v>3</v>
      </c>
      <c r="G462" s="192" t="n">
        <v>59.34</v>
      </c>
      <c r="H462" s="186">
        <f>ROUND(F462*G462,2)</f>
        <v/>
      </c>
    </row>
    <row r="463">
      <c r="A463" s="180" t="n">
        <v>448</v>
      </c>
      <c r="B463" s="248" t="n"/>
      <c r="C463" s="182" t="inlineStr">
        <is>
          <t>101-1602</t>
        </is>
      </c>
      <c r="D463" s="183" t="inlineStr">
        <is>
          <t>Ацетилен газообразный технический</t>
        </is>
      </c>
      <c r="E463" s="274" t="inlineStr">
        <is>
          <t>м3</t>
        </is>
      </c>
      <c r="F463" s="182" t="n">
        <v>4.526</v>
      </c>
      <c r="G463" s="192" t="n">
        <v>38.51</v>
      </c>
      <c r="H463" s="186">
        <f>ROUND(F463*G463,2)</f>
        <v/>
      </c>
    </row>
    <row r="464">
      <c r="A464" s="180" t="n">
        <v>449</v>
      </c>
      <c r="B464" s="248" t="n"/>
      <c r="C464" s="182" t="inlineStr">
        <is>
          <t>101-1518</t>
        </is>
      </c>
      <c r="D464" s="183" t="inlineStr">
        <is>
          <t>Электроды диаметром 4 мм Э50А</t>
        </is>
      </c>
      <c r="E464" s="274" t="inlineStr">
        <is>
          <t>т</t>
        </is>
      </c>
      <c r="F464" s="182" t="n">
        <v>0.015</v>
      </c>
      <c r="G464" s="192" t="n">
        <v>11524</v>
      </c>
      <c r="H464" s="186">
        <f>ROUND(F464*G464,2)</f>
        <v/>
      </c>
    </row>
    <row r="465" ht="25.9" customHeight="1">
      <c r="A465" s="180" t="n">
        <v>450</v>
      </c>
      <c r="B465" s="248" t="n"/>
      <c r="C465" s="182" t="inlineStr">
        <is>
          <t>402-0071</t>
        </is>
      </c>
      <c r="D465" s="183" t="inlineStr">
        <is>
          <t>Смесь сухая (фуга) АТЛАС разных цветов для заделки швов водостойкая</t>
        </is>
      </c>
      <c r="E465" s="274" t="inlineStr">
        <is>
          <t>т</t>
        </is>
      </c>
      <c r="F465" s="182" t="n">
        <v>0.019</v>
      </c>
      <c r="G465" s="192" t="n">
        <v>9000</v>
      </c>
      <c r="H465" s="186">
        <f>ROUND(F465*G465,2)</f>
        <v/>
      </c>
    </row>
    <row r="466">
      <c r="A466" s="180" t="n">
        <v>451</v>
      </c>
      <c r="B466" s="248" t="n"/>
      <c r="C466" s="182" t="inlineStr">
        <is>
          <t>101-1758</t>
        </is>
      </c>
      <c r="D466" s="183" t="inlineStr">
        <is>
          <t>Винты самонарезающие 4,5х19 мм</t>
        </is>
      </c>
      <c r="E466" s="274" t="inlineStr">
        <is>
          <t>т</t>
        </is>
      </c>
      <c r="F466" s="182" t="n">
        <v>0.0068</v>
      </c>
      <c r="G466" s="192" t="n">
        <v>25100</v>
      </c>
      <c r="H466" s="186">
        <f>ROUND(F466*G466,2)</f>
        <v/>
      </c>
    </row>
    <row r="467" ht="25.9" customHeight="1">
      <c r="A467" s="180" t="n">
        <v>452</v>
      </c>
      <c r="B467" s="248" t="n"/>
      <c r="C467" s="182" t="inlineStr">
        <is>
          <t>301-1193</t>
        </is>
      </c>
      <c r="D467" s="183" t="inlineStr">
        <is>
          <t>Кронштейны и подставки под оборудование из сортовой стали</t>
        </is>
      </c>
      <c r="E467" s="274" t="inlineStr">
        <is>
          <t>кг</t>
        </is>
      </c>
      <c r="F467" s="182" t="n">
        <v>20</v>
      </c>
      <c r="G467" s="192" t="n">
        <v>8.52</v>
      </c>
      <c r="H467" s="186">
        <f>ROUND(F467*G467,2)</f>
        <v/>
      </c>
    </row>
    <row r="468" ht="25.9" customHeight="1">
      <c r="A468" s="180" t="n">
        <v>453</v>
      </c>
      <c r="B468" s="248" t="n"/>
      <c r="C468" s="182" t="inlineStr">
        <is>
          <t>302-1240</t>
        </is>
      </c>
      <c r="D468" s="183" t="inlineStr">
        <is>
          <t>Сгоны стальные с муфтой и контргайкой, диаметром 40 мм</t>
        </is>
      </c>
      <c r="E468" s="274" t="inlineStr">
        <is>
          <t>шт.</t>
        </is>
      </c>
      <c r="F468" s="182" t="n">
        <v>9</v>
      </c>
      <c r="G468" s="192" t="n">
        <v>18.88</v>
      </c>
      <c r="H468" s="186">
        <f>ROUND(F468*G468,2)</f>
        <v/>
      </c>
    </row>
    <row r="469">
      <c r="A469" s="180" t="n">
        <v>454</v>
      </c>
      <c r="B469" s="248" t="n"/>
      <c r="C469" s="258" t="inlineStr">
        <is>
          <t>Прайс из СД ОП</t>
        </is>
      </c>
      <c r="D469" s="183" t="inlineStr">
        <is>
          <t>Отвод 90 град. д. 355 (1,045м2)</t>
        </is>
      </c>
      <c r="E469" s="274" t="inlineStr">
        <is>
          <t>шт.</t>
        </is>
      </c>
      <c r="F469" s="182" t="n">
        <v>2</v>
      </c>
      <c r="G469" s="192" t="n">
        <v>84.20999999999999</v>
      </c>
      <c r="H469" s="186">
        <f>ROUND(F469*G469,2)</f>
        <v/>
      </c>
    </row>
    <row r="470" ht="25.9" customHeight="1">
      <c r="A470" s="180" t="n">
        <v>455</v>
      </c>
      <c r="B470" s="248" t="n"/>
      <c r="C470" s="182" t="inlineStr">
        <is>
          <t>102-0049</t>
        </is>
      </c>
      <c r="D470" s="183" t="inlineStr">
        <is>
          <t>Доски обрезные хвойных пород длиной 4-6,5 м, шириной 75-150, мм толщиной 19-22 мм, III сорта</t>
        </is>
      </c>
      <c r="E470" s="274" t="inlineStr">
        <is>
          <t>м3</t>
        </is>
      </c>
      <c r="F470" s="182" t="n">
        <v>0.135</v>
      </c>
      <c r="G470" s="192" t="n">
        <v>1242.2</v>
      </c>
      <c r="H470" s="186">
        <f>ROUND(F470*G470,2)</f>
        <v/>
      </c>
    </row>
    <row r="471">
      <c r="A471" s="180" t="n">
        <v>456</v>
      </c>
      <c r="B471" s="248" t="n"/>
      <c r="C471" s="182" t="inlineStr">
        <is>
          <t>411-0001</t>
        </is>
      </c>
      <c r="D471" s="183" t="inlineStr">
        <is>
          <t>Вода</t>
        </is>
      </c>
      <c r="E471" s="274" t="inlineStr">
        <is>
          <t>м3</t>
        </is>
      </c>
      <c r="F471" s="182" t="n">
        <v>68.2526</v>
      </c>
      <c r="G471" s="192" t="n">
        <v>2.44</v>
      </c>
      <c r="H471" s="186">
        <f>ROUND(F471*G471,2)</f>
        <v/>
      </c>
    </row>
    <row r="472" ht="38.85" customHeight="1">
      <c r="A472" s="180" t="n">
        <v>457</v>
      </c>
      <c r="B472" s="248" t="n"/>
      <c r="C472" s="182" t="inlineStr">
        <is>
          <t>302-0898</t>
        </is>
      </c>
      <c r="D472" s="183" t="inlineStr">
        <is>
          <t>Узлы укрупненные монтажные (трубопроводы) из чугунных канализационных труб и фасонных частей к ним диаметром 50 мм</t>
        </is>
      </c>
      <c r="E472" s="274" t="inlineStr">
        <is>
          <t>м</t>
        </is>
      </c>
      <c r="F472" s="182" t="n">
        <v>1.996</v>
      </c>
      <c r="G472" s="192" t="n">
        <v>80.8</v>
      </c>
      <c r="H472" s="186">
        <f>ROUND(F472*G472,2)</f>
        <v/>
      </c>
    </row>
    <row r="473" ht="25.9" customHeight="1">
      <c r="A473" s="180" t="n">
        <v>458</v>
      </c>
      <c r="B473" s="248" t="n"/>
      <c r="C473" s="182" t="inlineStr">
        <is>
          <t>101-0797</t>
        </is>
      </c>
      <c r="D473" s="183" t="inlineStr">
        <is>
          <t>Проволока горячекатаная в мотках, диаметром 6,3-6,5 мм</t>
        </is>
      </c>
      <c r="E473" s="274" t="inlineStr">
        <is>
          <t>т</t>
        </is>
      </c>
      <c r="F473" s="182" t="n">
        <v>0.0358</v>
      </c>
      <c r="G473" s="192" t="n">
        <v>4455.2</v>
      </c>
      <c r="H473" s="186">
        <f>ROUND(F473*G473,2)</f>
        <v/>
      </c>
    </row>
    <row r="474">
      <c r="A474" s="180" t="n">
        <v>459</v>
      </c>
      <c r="B474" s="248" t="n"/>
      <c r="C474" s="182" t="inlineStr">
        <is>
          <t>101-5827</t>
        </is>
      </c>
      <c r="D474" s="183" t="inlineStr">
        <is>
          <t>Шурупы-саморезы 3,5х45 мм</t>
        </is>
      </c>
      <c r="E474" s="274" t="inlineStr">
        <is>
          <t>т</t>
        </is>
      </c>
      <c r="F474" s="182" t="n">
        <v>0.003</v>
      </c>
      <c r="G474" s="192" t="n">
        <v>52846.23</v>
      </c>
      <c r="H474" s="186">
        <f>ROUND(F474*G474,2)</f>
        <v/>
      </c>
    </row>
    <row r="475">
      <c r="A475" s="180" t="n">
        <v>460</v>
      </c>
      <c r="B475" s="248" t="n"/>
      <c r="C475" s="182" t="inlineStr">
        <is>
          <t>402-0006</t>
        </is>
      </c>
      <c r="D475" s="183" t="inlineStr">
        <is>
          <t>Раствор готовый кладочный цементный марки 200</t>
        </is>
      </c>
      <c r="E475" s="274" t="inlineStr">
        <is>
          <t>м3</t>
        </is>
      </c>
      <c r="F475" s="182" t="n">
        <v>0.263</v>
      </c>
      <c r="G475" s="192" t="n">
        <v>600</v>
      </c>
      <c r="H475" s="186">
        <f>ROUND(F475*G475,2)</f>
        <v/>
      </c>
    </row>
    <row r="476">
      <c r="A476" s="180" t="n">
        <v>461</v>
      </c>
      <c r="B476" s="248" t="n"/>
      <c r="C476" s="182" t="inlineStr">
        <is>
          <t>301-3342</t>
        </is>
      </c>
      <c r="D476" s="183" t="inlineStr">
        <is>
          <t>Заглушки чугунные диаметром 100 мм</t>
        </is>
      </c>
      <c r="E476" s="274" t="inlineStr">
        <is>
          <t>шт.</t>
        </is>
      </c>
      <c r="F476" s="182" t="n">
        <v>2</v>
      </c>
      <c r="G476" s="192" t="n">
        <v>77.76000000000001</v>
      </c>
      <c r="H476" s="186">
        <f>ROUND(F476*G476,2)</f>
        <v/>
      </c>
    </row>
    <row r="477">
      <c r="A477" s="180" t="n">
        <v>462</v>
      </c>
      <c r="B477" s="248" t="n"/>
      <c r="C477" s="182" t="inlineStr">
        <is>
          <t>101-1912</t>
        </is>
      </c>
      <c r="D477" s="183" t="inlineStr">
        <is>
          <t>Сверла кольцевые алмазные диаметром 160 мм</t>
        </is>
      </c>
      <c r="E477" s="274" t="inlineStr">
        <is>
          <t>шт.</t>
        </is>
      </c>
      <c r="F477" s="182" t="n">
        <v>0.0404</v>
      </c>
      <c r="G477" s="192" t="n">
        <v>3828.3</v>
      </c>
      <c r="H477" s="186">
        <f>ROUND(F477*G477,2)</f>
        <v/>
      </c>
    </row>
    <row r="478" ht="25.9" customHeight="1">
      <c r="A478" s="180" t="n">
        <v>463</v>
      </c>
      <c r="B478" s="248" t="n"/>
      <c r="C478" s="182" t="inlineStr">
        <is>
          <t>101-0857</t>
        </is>
      </c>
      <c r="D478" s="183" t="inlineStr">
        <is>
          <t>Рубероид подкладочный с пылевидной посыпкой РПП-300б</t>
        </is>
      </c>
      <c r="E478" s="274" t="inlineStr">
        <is>
          <t>м2</t>
        </is>
      </c>
      <c r="F478" s="182" t="n">
        <v>22.48</v>
      </c>
      <c r="G478" s="192" t="n">
        <v>6.78</v>
      </c>
      <c r="H478" s="186">
        <f>ROUND(F478*G478,2)</f>
        <v/>
      </c>
    </row>
    <row r="479">
      <c r="A479" s="180" t="n">
        <v>464</v>
      </c>
      <c r="B479" s="248" t="n"/>
      <c r="C479" s="182" t="inlineStr">
        <is>
          <t>101-2789</t>
        </is>
      </c>
      <c r="D479" s="183" t="inlineStr">
        <is>
          <t>Лента ПСУЛ</t>
        </is>
      </c>
      <c r="E479" s="274" t="inlineStr">
        <is>
          <t>м</t>
        </is>
      </c>
      <c r="F479" s="182" t="n">
        <v>23.368</v>
      </c>
      <c r="G479" s="192" t="n">
        <v>6.41</v>
      </c>
      <c r="H479" s="186">
        <f>ROUND(F479*G479,2)</f>
        <v/>
      </c>
    </row>
    <row r="480">
      <c r="A480" s="180" t="n">
        <v>465</v>
      </c>
      <c r="B480" s="248" t="n"/>
      <c r="C480" s="182" t="inlineStr">
        <is>
          <t>206-1337</t>
        </is>
      </c>
      <c r="D480" s="183" t="inlineStr">
        <is>
          <t>Гребенка несущая</t>
        </is>
      </c>
      <c r="E480" s="274" t="inlineStr">
        <is>
          <t>м</t>
        </is>
      </c>
      <c r="F480" s="182" t="n">
        <v>7.3</v>
      </c>
      <c r="G480" s="192" t="n">
        <v>20.47</v>
      </c>
      <c r="H480" s="186">
        <f>ROUND(F480*G480,2)</f>
        <v/>
      </c>
    </row>
    <row r="481" ht="38.85" customHeight="1">
      <c r="A481" s="180" t="n">
        <v>466</v>
      </c>
      <c r="B481" s="248" t="n"/>
      <c r="C481" s="182" t="inlineStr">
        <is>
          <t>302-0888</t>
        </is>
      </c>
      <c r="D481" s="18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20 мм</t>
        </is>
      </c>
      <c r="E481" s="274" t="inlineStr">
        <is>
          <t>м</t>
        </is>
      </c>
      <c r="F481" s="182" t="n">
        <v>4.5</v>
      </c>
      <c r="G481" s="192" t="n">
        <v>32.75</v>
      </c>
      <c r="H481" s="186">
        <f>ROUND(F481*G481,2)</f>
        <v/>
      </c>
    </row>
    <row r="482">
      <c r="A482" s="180" t="n">
        <v>467</v>
      </c>
      <c r="B482" s="248" t="n"/>
      <c r="C482" s="182" t="inlineStr">
        <is>
          <t>101-0953</t>
        </is>
      </c>
      <c r="D482" s="183" t="inlineStr">
        <is>
          <t>Ручка-скоба из алюминиевого сплава анодированная</t>
        </is>
      </c>
      <c r="E482" s="274" t="inlineStr">
        <is>
          <t>шт.</t>
        </is>
      </c>
      <c r="F482" s="182" t="n">
        <v>7</v>
      </c>
      <c r="G482" s="192" t="n">
        <v>20.24</v>
      </c>
      <c r="H482" s="186">
        <f>ROUND(F482*G482,2)</f>
        <v/>
      </c>
    </row>
    <row r="483">
      <c r="A483" s="180" t="n">
        <v>468</v>
      </c>
      <c r="B483" s="248" t="n"/>
      <c r="C483" s="182" t="inlineStr">
        <is>
          <t>206-1338</t>
        </is>
      </c>
      <c r="D483" s="183" t="inlineStr">
        <is>
          <t>Уголок декоративный (пристенный)</t>
        </is>
      </c>
      <c r="E483" s="274" t="inlineStr">
        <is>
          <t>м</t>
        </is>
      </c>
      <c r="F483" s="182" t="n">
        <v>22</v>
      </c>
      <c r="G483" s="192" t="n">
        <v>6.28</v>
      </c>
      <c r="H483" s="186">
        <f>ROUND(F483*G483,2)</f>
        <v/>
      </c>
    </row>
    <row r="484" ht="25.9" customHeight="1">
      <c r="A484" s="180" t="n">
        <v>469</v>
      </c>
      <c r="B484" s="248" t="n"/>
      <c r="C484" s="182" t="inlineStr">
        <is>
          <t>301-1057</t>
        </is>
      </c>
      <c r="D484" s="183" t="inlineStr">
        <is>
          <t>Диффузоры потолочные пластиковые "АРКТОС" марки ДПУ универсальные ДПУ-М, диаметр 160 мм</t>
        </is>
      </c>
      <c r="E484" s="274" t="inlineStr">
        <is>
          <t>шт.</t>
        </is>
      </c>
      <c r="F484" s="182" t="n">
        <v>1</v>
      </c>
      <c r="G484" s="192" t="n">
        <v>137.6</v>
      </c>
      <c r="H484" s="186">
        <f>ROUND(F484*G484,2)</f>
        <v/>
      </c>
    </row>
    <row r="485" ht="25.9" customHeight="1">
      <c r="A485" s="180" t="n">
        <v>470</v>
      </c>
      <c r="B485" s="248" t="n"/>
      <c r="C485" s="182" t="inlineStr">
        <is>
          <t>101-2575</t>
        </is>
      </c>
      <c r="D485" s="183" t="inlineStr">
        <is>
          <t>Болты с гайками и шайбами для санитарно-технических работ диаметром 12 мм</t>
        </is>
      </c>
      <c r="E485" s="274" t="inlineStr">
        <is>
          <t>т</t>
        </is>
      </c>
      <c r="F485" s="182" t="n">
        <v>0.008800000000000001</v>
      </c>
      <c r="G485" s="192" t="n">
        <v>15323</v>
      </c>
      <c r="H485" s="186">
        <f>ROUND(F485*G485,2)</f>
        <v/>
      </c>
    </row>
    <row r="486" ht="51.6" customHeight="1">
      <c r="A486" s="180" t="n">
        <v>471</v>
      </c>
      <c r="B486" s="248" t="n"/>
      <c r="C486" s="182" t="inlineStr">
        <is>
          <t>301-0825</t>
        </is>
      </c>
      <c r="D486" s="183" t="inlineStr">
        <is>
          <t>Умывальники полуфарфоровые и фарфоровые с кронштейнами, сифоном бутылочным латунным и выпуском, овальные со скрытыми установочными поверхностями без спинки размером 550х480х150 мм</t>
        </is>
      </c>
      <c r="E486" s="274" t="inlineStr">
        <is>
          <t>компл.</t>
        </is>
      </c>
      <c r="F486" s="182" t="n">
        <v>1</v>
      </c>
      <c r="G486" s="192" t="n">
        <v>130</v>
      </c>
      <c r="H486" s="186">
        <f>ROUND(F486*G486,2)</f>
        <v/>
      </c>
    </row>
    <row r="487">
      <c r="A487" s="180" t="n">
        <v>472</v>
      </c>
      <c r="B487" s="248" t="n"/>
      <c r="C487" s="182" t="inlineStr">
        <is>
          <t>101-0782</t>
        </is>
      </c>
      <c r="D487" s="183" t="inlineStr">
        <is>
          <t>Поковки из квадратных заготовок, масса 1,8 кг</t>
        </is>
      </c>
      <c r="E487" s="274" t="inlineStr">
        <is>
          <t>т</t>
        </is>
      </c>
      <c r="F487" s="182" t="n">
        <v>0.0212</v>
      </c>
      <c r="G487" s="192" t="n">
        <v>5989</v>
      </c>
      <c r="H487" s="186">
        <f>ROUND(F487*G487,2)</f>
        <v/>
      </c>
    </row>
    <row r="488">
      <c r="A488" s="180" t="n">
        <v>473</v>
      </c>
      <c r="B488" s="248" t="n"/>
      <c r="C488" s="182" t="inlineStr">
        <is>
          <t>301-0033</t>
        </is>
      </c>
      <c r="D488" s="183" t="inlineStr">
        <is>
          <t>Отвод гофрированный стальной</t>
        </is>
      </c>
      <c r="E488" s="274" t="inlineStr">
        <is>
          <t>шт.</t>
        </is>
      </c>
      <c r="F488" s="182" t="n">
        <v>2</v>
      </c>
      <c r="G488" s="192" t="n">
        <v>63</v>
      </c>
      <c r="H488" s="186">
        <f>ROUND(F488*G488,2)</f>
        <v/>
      </c>
    </row>
    <row r="489" ht="25.9" customHeight="1">
      <c r="A489" s="180" t="n">
        <v>474</v>
      </c>
      <c r="B489" s="248" t="n"/>
      <c r="C489" s="182" t="inlineStr">
        <is>
          <t>204-0030</t>
        </is>
      </c>
      <c r="D489" s="183" t="inlineStr">
        <is>
          <t>Проволока арматурная из низкоуглеродистой стали Вр-I, диаметром 5 мм</t>
        </is>
      </c>
      <c r="E489" s="274" t="inlineStr">
        <is>
          <t>т</t>
        </is>
      </c>
      <c r="F489" s="182" t="n">
        <v>0.0173</v>
      </c>
      <c r="G489" s="192" t="n">
        <v>7170.98</v>
      </c>
      <c r="H489" s="186">
        <f>ROUND(F489*G489,2)</f>
        <v/>
      </c>
    </row>
    <row r="490" ht="25.9" customHeight="1">
      <c r="A490" s="180" t="n">
        <v>475</v>
      </c>
      <c r="B490" s="248" t="n"/>
      <c r="C490" s="182" t="inlineStr">
        <is>
          <t>102-0058</t>
        </is>
      </c>
      <c r="D490" s="183" t="inlineStr">
        <is>
          <t>Доски обрезные хвойных пород длиной 4-6,5 м, шириной 75-150 мм, толщиной 32-40 мм, IV сорта</t>
        </is>
      </c>
      <c r="E490" s="274" t="inlineStr">
        <is>
          <t>м3</t>
        </is>
      </c>
      <c r="F490" s="182" t="n">
        <v>0.121</v>
      </c>
      <c r="G490" s="192" t="n">
        <v>1010</v>
      </c>
      <c r="H490" s="186">
        <f>ROUND(F490*G490,2)</f>
        <v/>
      </c>
    </row>
    <row r="491">
      <c r="A491" s="180" t="n">
        <v>476</v>
      </c>
      <c r="B491" s="248" t="n"/>
      <c r="C491" s="258" t="inlineStr">
        <is>
          <t>Прайс из СД ОП</t>
        </is>
      </c>
      <c r="D491" s="183" t="inlineStr">
        <is>
          <t>Переход д. 355/315 (0,340м2)</t>
        </is>
      </c>
      <c r="E491" s="274" t="inlineStr">
        <is>
          <t>шт.</t>
        </is>
      </c>
      <c r="F491" s="182" t="n">
        <v>3</v>
      </c>
      <c r="G491" s="192" t="n">
        <v>40.3</v>
      </c>
      <c r="H491" s="186">
        <f>ROUND(F491*G491,2)</f>
        <v/>
      </c>
    </row>
    <row r="492">
      <c r="A492" s="180" t="n">
        <v>477</v>
      </c>
      <c r="B492" s="248" t="n"/>
      <c r="C492" s="182" t="inlineStr">
        <is>
          <t>403-3120</t>
        </is>
      </c>
      <c r="D492" s="183" t="inlineStr">
        <is>
          <t>Плиты железобетонные покрытий, перекрытий и днищ</t>
        </is>
      </c>
      <c r="E492" s="274" t="inlineStr">
        <is>
          <t>м3</t>
        </is>
      </c>
      <c r="F492" s="182" t="n">
        <v>0.08699999999999999</v>
      </c>
      <c r="G492" s="192" t="n">
        <v>1382.9</v>
      </c>
      <c r="H492" s="186">
        <f>ROUND(F492*G492,2)</f>
        <v/>
      </c>
    </row>
    <row r="493" ht="64.5" customHeight="1">
      <c r="A493" s="180" t="n">
        <v>478</v>
      </c>
      <c r="B493" s="248" t="n"/>
      <c r="C493" s="182" t="inlineStr">
        <is>
          <t>201-0774</t>
        </is>
      </c>
      <c r="D493" s="1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493" s="274" t="inlineStr">
        <is>
          <t>т</t>
        </is>
      </c>
      <c r="F493" s="182" t="n">
        <v>0.0104</v>
      </c>
      <c r="G493" s="192" t="n">
        <v>11255</v>
      </c>
      <c r="H493" s="186">
        <f>ROUND(F493*G493,2)</f>
        <v/>
      </c>
    </row>
    <row r="494">
      <c r="A494" s="180" t="n">
        <v>479</v>
      </c>
      <c r="B494" s="248" t="n"/>
      <c r="C494" s="182" t="inlineStr">
        <is>
          <t>103-2600</t>
        </is>
      </c>
      <c r="D494" s="183" t="inlineStr">
        <is>
          <t>Клипса для крепежа гофротрубы, диаметром 20 мм</t>
        </is>
      </c>
      <c r="E494" s="274" t="inlineStr">
        <is>
          <t>шт.</t>
        </is>
      </c>
      <c r="F494" s="182" t="n">
        <v>400</v>
      </c>
      <c r="G494" s="192" t="n">
        <v>0.29</v>
      </c>
      <c r="H494" s="186">
        <f>ROUND(F494*G494,2)</f>
        <v/>
      </c>
    </row>
    <row r="495">
      <c r="A495" s="180" t="n">
        <v>480</v>
      </c>
      <c r="B495" s="248" t="n"/>
      <c r="C495" s="182" t="inlineStr">
        <is>
          <t>101-1691</t>
        </is>
      </c>
      <c r="D495" s="183" t="inlineStr">
        <is>
          <t>Шурупы-саморезы 4,2х16 мм</t>
        </is>
      </c>
      <c r="E495" s="274" t="inlineStr">
        <is>
          <t>шт.</t>
        </is>
      </c>
      <c r="F495" s="182" t="n">
        <v>1157.5</v>
      </c>
      <c r="G495" s="192" t="n">
        <v>0.1</v>
      </c>
      <c r="H495" s="186">
        <f>ROUND(F495*G495,2)</f>
        <v/>
      </c>
    </row>
    <row r="496">
      <c r="A496" s="180" t="n">
        <v>481</v>
      </c>
      <c r="B496" s="248" t="n"/>
      <c r="C496" s="182" t="inlineStr">
        <is>
          <t>509-1441</t>
        </is>
      </c>
      <c r="D496" s="183" t="inlineStr">
        <is>
          <t>Выключатель одноклавишный для открытой проводки</t>
        </is>
      </c>
      <c r="E496" s="274" t="inlineStr">
        <is>
          <t>шт.</t>
        </is>
      </c>
      <c r="F496" s="182" t="n">
        <v>17</v>
      </c>
      <c r="G496" s="192" t="n">
        <v>6.8</v>
      </c>
      <c r="H496" s="186">
        <f>ROUND(F496*G496,2)</f>
        <v/>
      </c>
    </row>
    <row r="497">
      <c r="A497" s="180" t="n">
        <v>482</v>
      </c>
      <c r="B497" s="248" t="n"/>
      <c r="C497" s="182" t="inlineStr">
        <is>
          <t>101-3512</t>
        </is>
      </c>
      <c r="D497" s="183" t="inlineStr">
        <is>
          <t>Краска акриловая ВД-АК 2180, ВГТ</t>
        </is>
      </c>
      <c r="E497" s="274" t="inlineStr">
        <is>
          <t>т</t>
        </is>
      </c>
      <c r="F497" s="182" t="n">
        <v>0.0253</v>
      </c>
      <c r="G497" s="192" t="n">
        <v>4434.4</v>
      </c>
      <c r="H497" s="186">
        <f>ROUND(F497*G497,2)</f>
        <v/>
      </c>
    </row>
    <row r="498" ht="25.9" customHeight="1">
      <c r="A498" s="180" t="n">
        <v>483</v>
      </c>
      <c r="B498" s="248" t="n"/>
      <c r="C498" s="182" t="inlineStr">
        <is>
          <t>101-0812</t>
        </is>
      </c>
      <c r="D498" s="183" t="inlineStr">
        <is>
          <t>Проволока стальная низкоуглеродистая разного назначения оцинкованная диаметром 1,6 мм</t>
        </is>
      </c>
      <c r="E498" s="274" t="inlineStr">
        <is>
          <t>т</t>
        </is>
      </c>
      <c r="F498" s="182" t="n">
        <v>0.0075</v>
      </c>
      <c r="G498" s="192" t="n">
        <v>14690</v>
      </c>
      <c r="H498" s="186">
        <f>ROUND(F498*G498,2)</f>
        <v/>
      </c>
    </row>
    <row r="499">
      <c r="A499" s="180" t="n">
        <v>484</v>
      </c>
      <c r="B499" s="248" t="n"/>
      <c r="C499" s="258" t="inlineStr">
        <is>
          <t>Прайс из СД ОП</t>
        </is>
      </c>
      <c r="D499" s="183" t="inlineStr">
        <is>
          <t>Отвод 90 гр. д. 400 (1,045м2)</t>
        </is>
      </c>
      <c r="E499" s="274" t="inlineStr">
        <is>
          <t>шт.</t>
        </is>
      </c>
      <c r="F499" s="182" t="n">
        <v>1</v>
      </c>
      <c r="G499" s="192" t="n">
        <v>109.36</v>
      </c>
      <c r="H499" s="186">
        <f>ROUND(F499*G499,2)</f>
        <v/>
      </c>
    </row>
    <row r="500">
      <c r="A500" s="180" t="n">
        <v>485</v>
      </c>
      <c r="B500" s="248" t="n"/>
      <c r="C500" s="182" t="inlineStr">
        <is>
          <t>101-1770</t>
        </is>
      </c>
      <c r="D500" s="183" t="inlineStr">
        <is>
          <t>Толь с крупнозернистой посыпкой марки ТВК-350</t>
        </is>
      </c>
      <c r="E500" s="274" t="inlineStr">
        <is>
          <t>м2</t>
        </is>
      </c>
      <c r="F500" s="182" t="n">
        <v>17.48</v>
      </c>
      <c r="G500" s="192" t="n">
        <v>6.22</v>
      </c>
      <c r="H500" s="186">
        <f>ROUND(F500*G500,2)</f>
        <v/>
      </c>
    </row>
    <row r="501" ht="25.9" customHeight="1">
      <c r="A501" s="180" t="n">
        <v>486</v>
      </c>
      <c r="B501" s="248" t="n"/>
      <c r="C501" s="182" t="inlineStr">
        <is>
          <t>101-1627</t>
        </is>
      </c>
      <c r="D501" s="183" t="inlineStr">
        <is>
          <t>Сталь листовая углеродистая обыкновенного качества марки ВСт3пс5 толщиной 4-6 мм</t>
        </is>
      </c>
      <c r="E501" s="274" t="inlineStr">
        <is>
          <t>т</t>
        </is>
      </c>
      <c r="F501" s="182" t="n">
        <v>0.0188</v>
      </c>
      <c r="G501" s="192" t="n">
        <v>5763</v>
      </c>
      <c r="H501" s="186">
        <f>ROUND(F501*G501,2)</f>
        <v/>
      </c>
    </row>
    <row r="502">
      <c r="A502" s="180" t="n">
        <v>487</v>
      </c>
      <c r="B502" s="248" t="n"/>
      <c r="C502" s="182" t="inlineStr">
        <is>
          <t>509-0783</t>
        </is>
      </c>
      <c r="D502" s="183" t="inlineStr">
        <is>
          <t>Втулки изолирующие</t>
        </is>
      </c>
      <c r="E502" s="274" t="inlineStr">
        <is>
          <t>шт.</t>
        </is>
      </c>
      <c r="F502" s="182" t="n">
        <v>389</v>
      </c>
      <c r="G502" s="192" t="n">
        <v>0.27</v>
      </c>
      <c r="H502" s="186">
        <f>ROUND(F502*G502,2)</f>
        <v/>
      </c>
    </row>
    <row r="503" ht="25.9" customHeight="1">
      <c r="A503" s="180" t="n">
        <v>488</v>
      </c>
      <c r="B503" s="248" t="n"/>
      <c r="C503" s="182" t="inlineStr">
        <is>
          <t>101-4849</t>
        </is>
      </c>
      <c r="D503" s="183" t="inlineStr">
        <is>
          <t>Соединитель для пластикового плинтуса, высота 48 мм</t>
        </is>
      </c>
      <c r="E503" s="274" t="inlineStr">
        <is>
          <t>шт.</t>
        </is>
      </c>
      <c r="F503" s="182" t="n">
        <v>80</v>
      </c>
      <c r="G503" s="192" t="n">
        <v>1.28</v>
      </c>
      <c r="H503" s="186">
        <f>ROUND(F503*G503,2)</f>
        <v/>
      </c>
    </row>
    <row r="504">
      <c r="A504" s="180" t="n">
        <v>489</v>
      </c>
      <c r="B504" s="248" t="n"/>
      <c r="C504" s="182" t="inlineStr">
        <is>
          <t>203-0499</t>
        </is>
      </c>
      <c r="D504" s="183" t="inlineStr">
        <is>
          <t>Штапик (раскладка), размер 19х19 мм</t>
        </is>
      </c>
      <c r="E504" s="274" t="inlineStr">
        <is>
          <t>м</t>
        </is>
      </c>
      <c r="F504" s="182" t="n">
        <v>32</v>
      </c>
      <c r="G504" s="192" t="n">
        <v>3.2</v>
      </c>
      <c r="H504" s="186">
        <f>ROUND(F504*G504,2)</f>
        <v/>
      </c>
    </row>
    <row r="505" ht="25.9" customHeight="1">
      <c r="A505" s="180" t="n">
        <v>490</v>
      </c>
      <c r="B505" s="248" t="n"/>
      <c r="C505" s="182" t="inlineStr">
        <is>
          <t>101-2797</t>
        </is>
      </c>
      <c r="D505" s="183" t="inlineStr">
        <is>
          <t>Дюбель распорный с металлическим стержнем 10х150 мм</t>
        </is>
      </c>
      <c r="E505" s="274" t="inlineStr">
        <is>
          <t>10 шт.</t>
        </is>
      </c>
      <c r="F505" s="182" t="n">
        <v>15.45</v>
      </c>
      <c r="G505" s="192" t="n">
        <v>6.62</v>
      </c>
      <c r="H505" s="186">
        <f>ROUND(F505*G505,2)</f>
        <v/>
      </c>
    </row>
    <row r="506">
      <c r="A506" s="180" t="n">
        <v>491</v>
      </c>
      <c r="B506" s="248" t="n"/>
      <c r="C506" s="182" t="inlineStr">
        <is>
          <t>301-0572</t>
        </is>
      </c>
      <c r="D506" s="183" t="inlineStr">
        <is>
          <t>Раковины стальные эмалированные</t>
        </is>
      </c>
      <c r="E506" s="274" t="inlineStr">
        <is>
          <t>компл.</t>
        </is>
      </c>
      <c r="F506" s="182" t="n">
        <v>1</v>
      </c>
      <c r="G506" s="192" t="n">
        <v>101.7</v>
      </c>
      <c r="H506" s="186">
        <f>ROUND(F506*G506,2)</f>
        <v/>
      </c>
    </row>
    <row r="507" ht="25.9" customHeight="1">
      <c r="A507" s="180" t="n">
        <v>492</v>
      </c>
      <c r="B507" s="248" t="n"/>
      <c r="C507" s="182" t="inlineStr">
        <is>
          <t>101-1742</t>
        </is>
      </c>
      <c r="D507" s="183" t="inlineStr">
        <is>
          <t>Толь с крупнозернистой посыпкой гидроизоляционный марки ТГ-350</t>
        </is>
      </c>
      <c r="E507" s="274" t="inlineStr">
        <is>
          <t>м2</t>
        </is>
      </c>
      <c r="F507" s="182" t="n">
        <v>17.76</v>
      </c>
      <c r="G507" s="192" t="n">
        <v>5.71</v>
      </c>
      <c r="H507" s="186">
        <f>ROUND(F507*G507,2)</f>
        <v/>
      </c>
    </row>
    <row r="508">
      <c r="A508" s="180" t="n">
        <v>493</v>
      </c>
      <c r="B508" s="248" t="n"/>
      <c r="C508" s="182" t="inlineStr">
        <is>
          <t>101-1924</t>
        </is>
      </c>
      <c r="D508" s="183" t="inlineStr">
        <is>
          <t>Электроды диаметром 4 мм Э42А</t>
        </is>
      </c>
      <c r="E508" s="274" t="inlineStr">
        <is>
          <t>кг</t>
        </is>
      </c>
      <c r="F508" s="182" t="n">
        <v>9.449</v>
      </c>
      <c r="G508" s="192" t="n">
        <v>10.57</v>
      </c>
      <c r="H508" s="186">
        <f>ROUND(F508*G508,2)</f>
        <v/>
      </c>
    </row>
    <row r="509" ht="25.9" customHeight="1">
      <c r="A509" s="180" t="n">
        <v>494</v>
      </c>
      <c r="B509" s="248" t="n"/>
      <c r="C509" s="182" t="inlineStr">
        <is>
          <t>204-0004</t>
        </is>
      </c>
      <c r="D509" s="183" t="inlineStr">
        <is>
          <t>Горячекатаная арматурная сталь гладкая класса А-I, диаметром 12 мм</t>
        </is>
      </c>
      <c r="E509" s="274" t="inlineStr">
        <is>
          <t>т</t>
        </is>
      </c>
      <c r="F509" s="182" t="n">
        <v>0.0148</v>
      </c>
      <c r="G509" s="192" t="n">
        <v>6508.75</v>
      </c>
      <c r="H509" s="186">
        <f>ROUND(F509*G509,2)</f>
        <v/>
      </c>
    </row>
    <row r="510">
      <c r="A510" s="180" t="n">
        <v>495</v>
      </c>
      <c r="B510" s="248" t="n"/>
      <c r="C510" s="182" t="inlineStr">
        <is>
          <t>101-0311</t>
        </is>
      </c>
      <c r="D510" s="183" t="inlineStr">
        <is>
          <t>Каболка</t>
        </is>
      </c>
      <c r="E510" s="274" t="inlineStr">
        <is>
          <t>т</t>
        </is>
      </c>
      <c r="F510" s="182" t="n">
        <v>0.0032</v>
      </c>
      <c r="G510" s="192" t="n">
        <v>30030</v>
      </c>
      <c r="H510" s="186">
        <f>ROUND(F510*G510,2)</f>
        <v/>
      </c>
    </row>
    <row r="511">
      <c r="A511" s="180" t="n">
        <v>496</v>
      </c>
      <c r="B511" s="248" t="n"/>
      <c r="C511" s="182" t="inlineStr">
        <is>
          <t>101-1481</t>
        </is>
      </c>
      <c r="D511" s="183" t="inlineStr">
        <is>
          <t>Шурупы с полукруглой головкой 4x40 мм</t>
        </is>
      </c>
      <c r="E511" s="274" t="inlineStr">
        <is>
          <t>т</t>
        </is>
      </c>
      <c r="F511" s="182" t="n">
        <v>0.0077</v>
      </c>
      <c r="G511" s="192" t="n">
        <v>12430</v>
      </c>
      <c r="H511" s="186">
        <f>ROUND(F511*G511,2)</f>
        <v/>
      </c>
    </row>
    <row r="512">
      <c r="A512" s="180" t="n">
        <v>497</v>
      </c>
      <c r="B512" s="248" t="n"/>
      <c r="C512" s="258" t="inlineStr">
        <is>
          <t>Прайс из СД ОП</t>
        </is>
      </c>
      <c r="D512" s="183" t="inlineStr">
        <is>
          <t>Тройник д. 160/160 (0,284м2)</t>
        </is>
      </c>
      <c r="E512" s="274" t="inlineStr">
        <is>
          <t>шт.</t>
        </is>
      </c>
      <c r="F512" s="182" t="n">
        <v>4</v>
      </c>
      <c r="G512" s="192" t="n">
        <v>23.28</v>
      </c>
      <c r="H512" s="186">
        <f>ROUND(F512*G512,2)</f>
        <v/>
      </c>
    </row>
    <row r="513" ht="25.9" customHeight="1">
      <c r="A513" s="180" t="n">
        <v>498</v>
      </c>
      <c r="B513" s="248" t="n"/>
      <c r="C513" s="182" t="inlineStr">
        <is>
          <t>301-6272</t>
        </is>
      </c>
      <c r="D513" s="183" t="inlineStr">
        <is>
          <t>Врезка прямая из оцинкованной стали, диаметром 315 мм (0,322м2)</t>
        </is>
      </c>
      <c r="E513" s="274" t="inlineStr">
        <is>
          <t>шт.</t>
        </is>
      </c>
      <c r="F513" s="182" t="n">
        <v>2</v>
      </c>
      <c r="G513" s="192" t="n">
        <v>45.91</v>
      </c>
      <c r="H513" s="186">
        <f>ROUND(F513*G513,2)</f>
        <v/>
      </c>
    </row>
    <row r="514">
      <c r="A514" s="180" t="n">
        <v>499</v>
      </c>
      <c r="B514" s="248" t="n"/>
      <c r="C514" s="182" t="inlineStr">
        <is>
          <t>101-1714</t>
        </is>
      </c>
      <c r="D514" s="183" t="inlineStr">
        <is>
          <t>Болты с гайками и шайбами строительные</t>
        </is>
      </c>
      <c r="E514" s="274" t="inlineStr">
        <is>
          <t>т</t>
        </is>
      </c>
      <c r="F514" s="182" t="n">
        <v>0.0101</v>
      </c>
      <c r="G514" s="192" t="n">
        <v>9040</v>
      </c>
      <c r="H514" s="186">
        <f>ROUND(F514*G514,2)</f>
        <v/>
      </c>
    </row>
    <row r="515" ht="38.85" customHeight="1">
      <c r="A515" s="180" t="n">
        <v>500</v>
      </c>
      <c r="B515" s="248" t="n"/>
      <c r="C515" s="182" t="inlineStr">
        <is>
          <t>301-0277</t>
        </is>
      </c>
      <c r="D515" s="183" t="inlineStr">
        <is>
          <t>Зонты вентиляционных систем из листовой оцинкованной стали, круглые, диаметром шахты 200 мм</t>
        </is>
      </c>
      <c r="E515" s="274" t="inlineStr">
        <is>
          <t>шт.</t>
        </is>
      </c>
      <c r="F515" s="182" t="n">
        <v>2</v>
      </c>
      <c r="G515" s="192" t="n">
        <v>45.4</v>
      </c>
      <c r="H515" s="186">
        <f>ROUND(F515*G515,2)</f>
        <v/>
      </c>
    </row>
    <row r="516" ht="38.85" customHeight="1">
      <c r="A516" s="180" t="n">
        <v>501</v>
      </c>
      <c r="B516" s="248" t="n"/>
      <c r="C516" s="182" t="inlineStr">
        <is>
          <t>507-0986</t>
        </is>
      </c>
      <c r="D516" s="183" t="inlineStr">
        <is>
          <t>Фланцы стальные плоские приварные из стали ВСт3сп2, ВСт3сп3, давлением 1,0 МПа (10 кгс/см2), диаметром 100 мм</t>
        </is>
      </c>
      <c r="E516" s="274" t="inlineStr">
        <is>
          <t>шт.</t>
        </is>
      </c>
      <c r="F516" s="182" t="n">
        <v>2</v>
      </c>
      <c r="G516" s="192" t="n">
        <v>45</v>
      </c>
      <c r="H516" s="186">
        <f>ROUND(F516*G516,2)</f>
        <v/>
      </c>
    </row>
    <row r="517">
      <c r="A517" s="180" t="n">
        <v>502</v>
      </c>
      <c r="B517" s="248" t="n"/>
      <c r="C517" s="182" t="inlineStr">
        <is>
          <t>113-8025</t>
        </is>
      </c>
      <c r="D517" s="183" t="inlineStr">
        <is>
          <t>Эмаль маслостойкая</t>
        </is>
      </c>
      <c r="E517" s="274" t="inlineStr">
        <is>
          <t>кг</t>
        </is>
      </c>
      <c r="F517" s="182" t="n">
        <v>2.075</v>
      </c>
      <c r="G517" s="192" t="n">
        <v>41.44</v>
      </c>
      <c r="H517" s="186">
        <f>ROUND(F517*G517,2)</f>
        <v/>
      </c>
    </row>
    <row r="518">
      <c r="A518" s="180" t="n">
        <v>503</v>
      </c>
      <c r="B518" s="248" t="n"/>
      <c r="C518" s="182" t="inlineStr">
        <is>
          <t>101-2435</t>
        </is>
      </c>
      <c r="D518" s="183" t="inlineStr">
        <is>
          <t>Клей «Перлфикс», КНАУФ</t>
        </is>
      </c>
      <c r="E518" s="274" t="inlineStr">
        <is>
          <t>кг</t>
        </is>
      </c>
      <c r="F518" s="182" t="n">
        <v>54.23</v>
      </c>
      <c r="G518" s="192" t="n">
        <v>1.58</v>
      </c>
      <c r="H518" s="186">
        <f>ROUND(F518*G518,2)</f>
        <v/>
      </c>
    </row>
    <row r="519">
      <c r="A519" s="180" t="n">
        <v>504</v>
      </c>
      <c r="B519" s="248" t="n"/>
      <c r="C519" s="182" t="inlineStr">
        <is>
          <t>101-2201</t>
        </is>
      </c>
      <c r="D519" s="183" t="inlineStr">
        <is>
          <t>Дюбели распорные полиэтиленовые 6х30 мм</t>
        </is>
      </c>
      <c r="E519" s="274" t="inlineStr">
        <is>
          <t>10 шт.</t>
        </is>
      </c>
      <c r="F519" s="182" t="n">
        <v>53.2</v>
      </c>
      <c r="G519" s="192" t="n">
        <v>1.6</v>
      </c>
      <c r="H519" s="186">
        <f>ROUND(F519*G519,2)</f>
        <v/>
      </c>
    </row>
    <row r="520" ht="25.9" customHeight="1">
      <c r="A520" s="180" t="n">
        <v>505</v>
      </c>
      <c r="B520" s="248" t="n"/>
      <c r="C520" s="182" t="inlineStr">
        <is>
          <t>102-0053</t>
        </is>
      </c>
      <c r="D520" s="183" t="inlineStr">
        <is>
          <t>Доски обрезные хвойных пород длиной 4-6,5 м, шириной 75-150 мм, толщиной 25 мм, III сорта</t>
        </is>
      </c>
      <c r="E520" s="274" t="inlineStr">
        <is>
          <t>м3</t>
        </is>
      </c>
      <c r="F520" s="182" t="n">
        <v>0.0772</v>
      </c>
      <c r="G520" s="192" t="n">
        <v>1100</v>
      </c>
      <c r="H520" s="186">
        <f>ROUND(F520*G520,2)</f>
        <v/>
      </c>
    </row>
    <row r="521">
      <c r="A521" s="180" t="n">
        <v>506</v>
      </c>
      <c r="B521" s="248" t="n"/>
      <c r="C521" s="258" t="inlineStr">
        <is>
          <t>Прайс из СД ОП</t>
        </is>
      </c>
      <c r="D521" s="183" t="inlineStr">
        <is>
          <t>Отвод 90 гр. д. 355 (0,978м2)</t>
        </is>
      </c>
      <c r="E521" s="274" t="inlineStr">
        <is>
          <t>шт.</t>
        </is>
      </c>
      <c r="F521" s="182" t="n">
        <v>1</v>
      </c>
      <c r="G521" s="192" t="n">
        <v>84.20999999999999</v>
      </c>
      <c r="H521" s="186">
        <f>ROUND(F521*G521,2)</f>
        <v/>
      </c>
    </row>
    <row r="522" ht="25.9" customHeight="1">
      <c r="A522" s="180" t="n">
        <v>507</v>
      </c>
      <c r="B522" s="248" t="n"/>
      <c r="C522" s="182" t="inlineStr">
        <is>
          <t>101-2594</t>
        </is>
      </c>
      <c r="D522" s="183" t="inlineStr">
        <is>
          <t>Детали деревянные лесов из пиломатериалов хвойных пород</t>
        </is>
      </c>
      <c r="E522" s="274" t="inlineStr">
        <is>
          <t>м3</t>
        </is>
      </c>
      <c r="F522" s="182" t="n">
        <v>0.0755</v>
      </c>
      <c r="G522" s="192" t="n">
        <v>1100</v>
      </c>
      <c r="H522" s="186">
        <f>ROUND(F522*G522,2)</f>
        <v/>
      </c>
    </row>
    <row r="523">
      <c r="A523" s="180" t="n">
        <v>508</v>
      </c>
      <c r="B523" s="248" t="n"/>
      <c r="C523" s="182" t="inlineStr">
        <is>
          <t>101-1561</t>
        </is>
      </c>
      <c r="D523" s="183" t="inlineStr">
        <is>
          <t>Битумы нефтяные дорожные жидкие, класс МГ, СГ</t>
        </is>
      </c>
      <c r="E523" s="274" t="inlineStr">
        <is>
          <t>т</t>
        </is>
      </c>
      <c r="F523" s="182" t="n">
        <v>0.055</v>
      </c>
      <c r="G523" s="192" t="n">
        <v>1487.6</v>
      </c>
      <c r="H523" s="186">
        <f>ROUND(F523*G523,2)</f>
        <v/>
      </c>
    </row>
    <row r="524" ht="25.9" customHeight="1">
      <c r="A524" s="180" t="n">
        <v>509</v>
      </c>
      <c r="B524" s="248" t="n"/>
      <c r="C524" s="182" t="inlineStr">
        <is>
          <t>509-0989</t>
        </is>
      </c>
      <c r="D524" s="183" t="inlineStr">
        <is>
          <t>Шнур асбестовый общего назначения марки ШАОН диаметром 8-10 мм</t>
        </is>
      </c>
      <c r="E524" s="274" t="inlineStr">
        <is>
          <t>т</t>
        </is>
      </c>
      <c r="F524" s="182" t="n">
        <v>0.003</v>
      </c>
      <c r="G524" s="192" t="n">
        <v>26499</v>
      </c>
      <c r="H524" s="186">
        <f>ROUND(F524*G524,2)</f>
        <v/>
      </c>
    </row>
    <row r="525">
      <c r="A525" s="180" t="n">
        <v>510</v>
      </c>
      <c r="B525" s="248" t="n"/>
      <c r="C525" s="182" t="inlineStr">
        <is>
          <t>101-2066</t>
        </is>
      </c>
      <c r="D525" s="183" t="inlineStr">
        <is>
          <t>Болты анкерные оцинкованные</t>
        </is>
      </c>
      <c r="E525" s="274" t="inlineStr">
        <is>
          <t>кг</t>
        </is>
      </c>
      <c r="F525" s="182" t="n">
        <v>6.8</v>
      </c>
      <c r="G525" s="192" t="n">
        <v>11.54</v>
      </c>
      <c r="H525" s="186">
        <f>ROUND(F525*G525,2)</f>
        <v/>
      </c>
    </row>
    <row r="526">
      <c r="A526" s="180" t="n">
        <v>511</v>
      </c>
      <c r="B526" s="248" t="n"/>
      <c r="C526" s="258" t="inlineStr">
        <is>
          <t>Прайс из СД ОП</t>
        </is>
      </c>
      <c r="D526" s="183" t="inlineStr">
        <is>
          <t>Отвод 90 гр. д. 160 (0,25м2)</t>
        </is>
      </c>
      <c r="E526" s="274" t="inlineStr">
        <is>
          <t>шт.</t>
        </is>
      </c>
      <c r="F526" s="182" t="n">
        <v>3</v>
      </c>
      <c r="G526" s="192" t="n">
        <v>26.08</v>
      </c>
      <c r="H526" s="186">
        <f>ROUND(F526*G526,2)</f>
        <v/>
      </c>
    </row>
    <row r="527">
      <c r="A527" s="180" t="n">
        <v>512</v>
      </c>
      <c r="B527" s="248" t="n"/>
      <c r="C527" s="258" t="inlineStr">
        <is>
          <t>Прайс из СД ОП</t>
        </is>
      </c>
      <c r="D527" s="183" t="inlineStr">
        <is>
          <t>Отвод 90 град. д. 160 (0,250м2)</t>
        </is>
      </c>
      <c r="E527" s="274" t="inlineStr">
        <is>
          <t>шт.</t>
        </is>
      </c>
      <c r="F527" s="182" t="n">
        <v>3</v>
      </c>
      <c r="G527" s="192" t="n">
        <v>26.08</v>
      </c>
      <c r="H527" s="186">
        <f>ROUND(F527*G527,2)</f>
        <v/>
      </c>
    </row>
    <row r="528">
      <c r="A528" s="180" t="n">
        <v>513</v>
      </c>
      <c r="B528" s="248" t="n"/>
      <c r="C528" s="182" t="inlineStr">
        <is>
          <t>101-1789</t>
        </is>
      </c>
      <c r="D528" s="183" t="inlineStr">
        <is>
          <t>Ерши металлические строительные</t>
        </is>
      </c>
      <c r="E528" s="274" t="inlineStr">
        <is>
          <t>кг</t>
        </is>
      </c>
      <c r="F528" s="182" t="n">
        <v>7.481</v>
      </c>
      <c r="G528" s="192" t="n">
        <v>10.26</v>
      </c>
      <c r="H528" s="186">
        <f>ROUND(F528*G528,2)</f>
        <v/>
      </c>
    </row>
    <row r="529">
      <c r="A529" s="180" t="n">
        <v>514</v>
      </c>
      <c r="B529" s="248" t="n"/>
      <c r="C529" s="182" t="inlineStr">
        <is>
          <t>301-1120</t>
        </is>
      </c>
      <c r="D529" s="183" t="inlineStr">
        <is>
          <t>Вытяжки от газовых колонок</t>
        </is>
      </c>
      <c r="E529" s="274" t="inlineStr">
        <is>
          <t>компл.</t>
        </is>
      </c>
      <c r="F529" s="182" t="n">
        <v>1</v>
      </c>
      <c r="G529" s="192" t="n">
        <v>75.2</v>
      </c>
      <c r="H529" s="186">
        <f>ROUND(F529*G529,2)</f>
        <v/>
      </c>
    </row>
    <row r="530" ht="25.9" customHeight="1">
      <c r="A530" s="180" t="n">
        <v>515</v>
      </c>
      <c r="B530" s="248" t="n"/>
      <c r="C530" s="182" t="inlineStr">
        <is>
          <t>103-1034</t>
        </is>
      </c>
      <c r="D530" s="183" t="inlineStr">
        <is>
          <t>Тройники косые под 60 градусов диаметром 100х100 мм</t>
        </is>
      </c>
      <c r="E530" s="274" t="inlineStr">
        <is>
          <t>шт.</t>
        </is>
      </c>
      <c r="F530" s="182" t="n">
        <v>2</v>
      </c>
      <c r="G530" s="192" t="n">
        <v>36.7</v>
      </c>
      <c r="H530" s="186">
        <f>ROUND(F530*G530,2)</f>
        <v/>
      </c>
    </row>
    <row r="531" ht="25.9" customHeight="1">
      <c r="A531" s="180" t="n">
        <v>516</v>
      </c>
      <c r="B531" s="248" t="n"/>
      <c r="C531" s="182" t="inlineStr">
        <is>
          <t>302-1341</t>
        </is>
      </c>
      <c r="D531" s="183" t="inlineStr">
        <is>
          <t>Вентили проходные муфтовые 15кч18п для воды давлением 1,6 МПа (16 кгс/см2), диаметром 15 мм</t>
        </is>
      </c>
      <c r="E531" s="274" t="inlineStr">
        <is>
          <t>шт.</t>
        </is>
      </c>
      <c r="F531" s="182" t="n">
        <v>4</v>
      </c>
      <c r="G531" s="192" t="n">
        <v>18.03</v>
      </c>
      <c r="H531" s="186">
        <f>ROUND(F531*G531,2)</f>
        <v/>
      </c>
    </row>
    <row r="532" ht="25.5" customHeight="1">
      <c r="A532" s="180" t="n">
        <v>517</v>
      </c>
      <c r="B532" s="248" t="n"/>
      <c r="C532" s="182" t="inlineStr">
        <is>
          <t>101-4282</t>
        </is>
      </c>
      <c r="D532" s="183" t="inlineStr">
        <is>
          <t>Винты самонарезающие остроконечные длиной 35 мм</t>
        </is>
      </c>
      <c r="E532" s="274" t="inlineStr">
        <is>
          <t>шт.</t>
        </is>
      </c>
      <c r="F532" s="182" t="n">
        <v>599.7</v>
      </c>
      <c r="G532" s="192" t="n">
        <v>0.12</v>
      </c>
      <c r="H532" s="186">
        <f>ROUND(F532*G532,2)</f>
        <v/>
      </c>
    </row>
    <row r="533">
      <c r="A533" s="180" t="n">
        <v>518</v>
      </c>
      <c r="B533" s="248" t="n"/>
      <c r="C533" s="182" t="inlineStr">
        <is>
          <t>101-0409</t>
        </is>
      </c>
      <c r="D533" s="183" t="inlineStr">
        <is>
          <t>Краска для наружных работ коричневая</t>
        </is>
      </c>
      <c r="E533" s="274" t="inlineStr">
        <is>
          <t>т</t>
        </is>
      </c>
      <c r="F533" s="182" t="n">
        <v>0.004</v>
      </c>
      <c r="G533" s="192" t="n">
        <v>17796.96</v>
      </c>
      <c r="H533" s="186">
        <f>ROUND(F533*G533,2)</f>
        <v/>
      </c>
    </row>
    <row r="534">
      <c r="A534" s="180" t="n">
        <v>519</v>
      </c>
      <c r="B534" s="248" t="n"/>
      <c r="C534" s="182" t="inlineStr">
        <is>
          <t>101-1355</t>
        </is>
      </c>
      <c r="D534" s="183" t="inlineStr">
        <is>
          <t>Цемент гипсоглиноземистый расширяющийся</t>
        </is>
      </c>
      <c r="E534" s="274" t="inlineStr">
        <is>
          <t>т</t>
        </is>
      </c>
      <c r="F534" s="182" t="n">
        <v>0.0387</v>
      </c>
      <c r="G534" s="192" t="n">
        <v>1836</v>
      </c>
      <c r="H534" s="186">
        <f>ROUND(F534*G534,2)</f>
        <v/>
      </c>
    </row>
    <row r="535">
      <c r="A535" s="180" t="n">
        <v>520</v>
      </c>
      <c r="B535" s="248" t="n"/>
      <c r="C535" s="258" t="inlineStr">
        <is>
          <t>Прайс из СД ОП</t>
        </is>
      </c>
      <c r="D535" s="183" t="inlineStr">
        <is>
          <t>Тройник д. 355/315 (0,978м2)</t>
        </is>
      </c>
      <c r="E535" s="274" t="inlineStr">
        <is>
          <t>шт.</t>
        </is>
      </c>
      <c r="F535" s="182" t="n">
        <v>1</v>
      </c>
      <c r="G535" s="192" t="n">
        <v>68.54000000000001</v>
      </c>
      <c r="H535" s="186">
        <f>ROUND(F535*G535,2)</f>
        <v/>
      </c>
    </row>
    <row r="536">
      <c r="A536" s="180" t="n">
        <v>521</v>
      </c>
      <c r="B536" s="248" t="n"/>
      <c r="C536" s="258" t="inlineStr">
        <is>
          <t>Прайс из СД ОП</t>
        </is>
      </c>
      <c r="D536" s="183" t="inlineStr">
        <is>
          <t>Тройник д. 355/355 (0,946м2)</t>
        </is>
      </c>
      <c r="E536" s="274" t="inlineStr">
        <is>
          <t>шт.</t>
        </is>
      </c>
      <c r="F536" s="182" t="n">
        <v>1</v>
      </c>
      <c r="G536" s="192" t="n">
        <v>68.54000000000001</v>
      </c>
      <c r="H536" s="186">
        <f>ROUND(F536*G536,2)</f>
        <v/>
      </c>
    </row>
    <row r="537" ht="25.9" customHeight="1">
      <c r="A537" s="180" t="n">
        <v>522</v>
      </c>
      <c r="B537" s="248" t="n"/>
      <c r="C537" s="182" t="inlineStr">
        <is>
          <t>204-0048</t>
        </is>
      </c>
      <c r="D537" s="183" t="inlineStr">
        <is>
          <t>Надбавки к ценам заготовок за сборку и сварку каркасов и сеток пространственных, диаметром 10 мм</t>
        </is>
      </c>
      <c r="E537" s="274" t="inlineStr">
        <is>
          <t>т</t>
        </is>
      </c>
      <c r="F537" s="182" t="n">
        <v>0.0309</v>
      </c>
      <c r="G537" s="192" t="n">
        <v>2216.91</v>
      </c>
      <c r="H537" s="186">
        <f>ROUND(F537*G537,2)</f>
        <v/>
      </c>
    </row>
    <row r="538">
      <c r="A538" s="180" t="n">
        <v>523</v>
      </c>
      <c r="B538" s="248" t="n"/>
      <c r="C538" s="182" t="inlineStr">
        <is>
          <t>101-0136</t>
        </is>
      </c>
      <c r="D538" s="183" t="inlineStr">
        <is>
          <t>Дюбели</t>
        </is>
      </c>
      <c r="E538" s="274" t="inlineStr">
        <is>
          <t>т</t>
        </is>
      </c>
      <c r="F538" s="182" t="n">
        <v>0.003</v>
      </c>
      <c r="G538" s="192" t="n">
        <v>22558</v>
      </c>
      <c r="H538" s="186">
        <f>ROUND(F538*G538,2)</f>
        <v/>
      </c>
    </row>
    <row r="539">
      <c r="A539" s="180" t="n">
        <v>524</v>
      </c>
      <c r="B539" s="248" t="n"/>
      <c r="C539" s="182" t="inlineStr">
        <is>
          <t>301-3341</t>
        </is>
      </c>
      <c r="D539" s="183" t="inlineStr">
        <is>
          <t>Заглушки чугунные диаметром 50 мм</t>
        </is>
      </c>
      <c r="E539" s="274" t="inlineStr">
        <is>
          <t>шт.</t>
        </is>
      </c>
      <c r="F539" s="182" t="n">
        <v>2</v>
      </c>
      <c r="G539" s="192" t="n">
        <v>33.6</v>
      </c>
      <c r="H539" s="186">
        <f>ROUND(F539*G539,2)</f>
        <v/>
      </c>
    </row>
    <row r="540">
      <c r="A540" s="180" t="n">
        <v>525</v>
      </c>
      <c r="B540" s="248" t="n"/>
      <c r="C540" s="258" t="inlineStr">
        <is>
          <t>Прайс из СД ОП</t>
        </is>
      </c>
      <c r="D540" s="183" t="inlineStr">
        <is>
          <t>Переход д. 315/200 (0,207м2)</t>
        </is>
      </c>
      <c r="E540" s="274" t="inlineStr">
        <is>
          <t>шт.</t>
        </is>
      </c>
      <c r="F540" s="182" t="n">
        <v>2</v>
      </c>
      <c r="G540" s="192" t="n">
        <v>32.99</v>
      </c>
      <c r="H540" s="186">
        <f>ROUND(F540*G540,2)</f>
        <v/>
      </c>
    </row>
    <row r="541">
      <c r="A541" s="180" t="n">
        <v>526</v>
      </c>
      <c r="B541" s="248" t="n"/>
      <c r="C541" s="182" t="inlineStr">
        <is>
          <t>113-8040</t>
        </is>
      </c>
      <c r="D541" s="183" t="inlineStr">
        <is>
          <t>Клей БМК-5к</t>
        </is>
      </c>
      <c r="E541" s="274" t="inlineStr">
        <is>
          <t>кг</t>
        </is>
      </c>
      <c r="F541" s="182" t="n">
        <v>2.54</v>
      </c>
      <c r="G541" s="192" t="n">
        <v>25.8</v>
      </c>
      <c r="H541" s="186">
        <f>ROUND(F541*G541,2)</f>
        <v/>
      </c>
    </row>
    <row r="542">
      <c r="A542" s="180" t="n">
        <v>527</v>
      </c>
      <c r="B542" s="248" t="n"/>
      <c r="C542" s="182" t="inlineStr">
        <is>
          <t>101-1977</t>
        </is>
      </c>
      <c r="D542" s="183" t="inlineStr">
        <is>
          <t>Болты с гайками и шайбами строительные</t>
        </is>
      </c>
      <c r="E542" s="274" t="inlineStr">
        <is>
          <t>кг</t>
        </is>
      </c>
      <c r="F542" s="182" t="n">
        <v>7.1965</v>
      </c>
      <c r="G542" s="192" t="n">
        <v>9.039999999999999</v>
      </c>
      <c r="H542" s="186">
        <f>ROUND(F542*G542,2)</f>
        <v/>
      </c>
    </row>
    <row r="543">
      <c r="A543" s="180" t="n">
        <v>528</v>
      </c>
      <c r="B543" s="248" t="n"/>
      <c r="C543" s="182" t="inlineStr">
        <is>
          <t>101-1964</t>
        </is>
      </c>
      <c r="D543" s="183" t="inlineStr">
        <is>
          <t>Шпагат бумажный</t>
        </is>
      </c>
      <c r="E543" s="274" t="inlineStr">
        <is>
          <t>кг</t>
        </is>
      </c>
      <c r="F543" s="182" t="n">
        <v>5.602</v>
      </c>
      <c r="G543" s="192" t="n">
        <v>11.5</v>
      </c>
      <c r="H543" s="186">
        <f>ROUND(F543*G543,2)</f>
        <v/>
      </c>
    </row>
    <row r="544">
      <c r="A544" s="180" t="n">
        <v>529</v>
      </c>
      <c r="B544" s="248" t="n"/>
      <c r="C544" s="258" t="inlineStr">
        <is>
          <t>Прайс из СД ОП</t>
        </is>
      </c>
      <c r="D544" s="183" t="inlineStr">
        <is>
          <t>Соединение на стык GAN</t>
        </is>
      </c>
      <c r="E544" s="274" t="inlineStr">
        <is>
          <t>шт.</t>
        </is>
      </c>
      <c r="F544" s="182" t="n">
        <v>11</v>
      </c>
      <c r="G544" s="192" t="n">
        <v>5.84</v>
      </c>
      <c r="H544" s="186">
        <f>ROUND(F544*G544,2)</f>
        <v/>
      </c>
    </row>
    <row r="545">
      <c r="A545" s="180" t="n">
        <v>530</v>
      </c>
      <c r="B545" s="248" t="n"/>
      <c r="C545" s="182" t="inlineStr">
        <is>
          <t>101-0596</t>
        </is>
      </c>
      <c r="D545" s="183" t="inlineStr">
        <is>
          <t>Мастика битумно-кукерсольная холодная</t>
        </is>
      </c>
      <c r="E545" s="274" t="inlineStr">
        <is>
          <t>т</t>
        </is>
      </c>
      <c r="F545" s="182" t="n">
        <v>0.0192</v>
      </c>
      <c r="G545" s="192" t="n">
        <v>3219.2</v>
      </c>
      <c r="H545" s="186">
        <f>ROUND(F545*G545,2)</f>
        <v/>
      </c>
    </row>
    <row r="546">
      <c r="A546" s="180" t="n">
        <v>531</v>
      </c>
      <c r="B546" s="248" t="n"/>
      <c r="C546" s="182" t="inlineStr">
        <is>
          <t>101-2054</t>
        </is>
      </c>
      <c r="D546" s="183" t="inlineStr">
        <is>
          <t>Лента бутиловая диффузионная</t>
        </is>
      </c>
      <c r="E546" s="274" t="inlineStr">
        <is>
          <t>м</t>
        </is>
      </c>
      <c r="F546" s="182" t="n">
        <v>7.7534</v>
      </c>
      <c r="G546" s="192" t="n">
        <v>7.95</v>
      </c>
      <c r="H546" s="186">
        <f>ROUND(F546*G546,2)</f>
        <v/>
      </c>
    </row>
    <row r="547">
      <c r="A547" s="180" t="n">
        <v>532</v>
      </c>
      <c r="B547" s="248" t="n"/>
      <c r="C547" s="258" t="inlineStr">
        <is>
          <t>Прайс из СД ОП</t>
        </is>
      </c>
      <c r="D547" s="183" t="inlineStr">
        <is>
          <t>Заглушка  д. 160 (0,05м2)</t>
        </is>
      </c>
      <c r="E547" s="274" t="inlineStr">
        <is>
          <t>шт.</t>
        </is>
      </c>
      <c r="F547" s="182" t="n">
        <v>6</v>
      </c>
      <c r="G547" s="192" t="n">
        <v>10.24</v>
      </c>
      <c r="H547" s="186">
        <f>ROUND(F547*G547,2)</f>
        <v/>
      </c>
    </row>
    <row r="548" ht="38.85" customHeight="1">
      <c r="A548" s="180" t="n">
        <v>533</v>
      </c>
      <c r="B548" s="248" t="n"/>
      <c r="C548" s="182" t="inlineStr">
        <is>
          <t>403-0447</t>
        </is>
      </c>
      <c r="D548" s="183" t="inlineStr">
        <is>
          <t>Перемычка брусковая 2ПБ-13-1-П /бетон В15 (М200), объем 0,022 м3, расход арматуры 0,57 кг/ (серия 1.038.1-1 вып. 1)</t>
        </is>
      </c>
      <c r="E548" s="274" t="inlineStr">
        <is>
          <t>шт.</t>
        </is>
      </c>
      <c r="F548" s="182" t="n">
        <v>2</v>
      </c>
      <c r="G548" s="192" t="n">
        <v>28.58</v>
      </c>
      <c r="H548" s="186">
        <f>ROUND(F548*G548,2)</f>
        <v/>
      </c>
    </row>
    <row r="549">
      <c r="A549" s="180" t="n">
        <v>534</v>
      </c>
      <c r="B549" s="248" t="n"/>
      <c r="C549" s="182" t="inlineStr">
        <is>
          <t>101-1913</t>
        </is>
      </c>
      <c r="D549" s="183" t="inlineStr">
        <is>
          <t>Сверла кольцевые алмазные диаметром 20 мм</t>
        </is>
      </c>
      <c r="E549" s="274" t="inlineStr">
        <is>
          <t>шт.</t>
        </is>
      </c>
      <c r="F549" s="182" t="n">
        <v>0.126</v>
      </c>
      <c r="G549" s="192" t="n">
        <v>452.4</v>
      </c>
      <c r="H549" s="186">
        <f>ROUND(F549*G549,2)</f>
        <v/>
      </c>
    </row>
    <row r="550" ht="25.9" customHeight="1">
      <c r="A550" s="180" t="n">
        <v>535</v>
      </c>
      <c r="B550" s="248" t="n"/>
      <c r="C550" s="182" t="inlineStr">
        <is>
          <t>509-0966</t>
        </is>
      </c>
      <c r="D550" s="183" t="inlineStr">
        <is>
          <t>Прокладки из паронита марки ПМБ, толщиной 1 мм, диаметром 50 мм</t>
        </is>
      </c>
      <c r="E550" s="274" t="inlineStr">
        <is>
          <t>1000 шт.</t>
        </is>
      </c>
      <c r="F550" s="182" t="n">
        <v>0.016</v>
      </c>
      <c r="G550" s="192" t="n">
        <v>3450</v>
      </c>
      <c r="H550" s="186">
        <f>ROUND(F550*G550,2)</f>
        <v/>
      </c>
    </row>
    <row r="551" ht="25.9" customHeight="1">
      <c r="A551" s="180" t="n">
        <v>536</v>
      </c>
      <c r="B551" s="248" t="n"/>
      <c r="C551" s="182" t="inlineStr">
        <is>
          <t>301-6305</t>
        </is>
      </c>
      <c r="D551" s="183" t="inlineStr">
        <is>
          <t>Врезка воротниковая из оцинкованной стали, диаметром 315/160 мм (0,101м2)</t>
        </is>
      </c>
      <c r="E551" s="274" t="inlineStr">
        <is>
          <t>шт.</t>
        </is>
      </c>
      <c r="F551" s="182" t="n">
        <v>1</v>
      </c>
      <c r="G551" s="192" t="n">
        <v>54.6</v>
      </c>
      <c r="H551" s="186">
        <f>ROUND(F551*G551,2)</f>
        <v/>
      </c>
    </row>
    <row r="552">
      <c r="A552" s="180" t="n">
        <v>537</v>
      </c>
      <c r="B552" s="248" t="n"/>
      <c r="C552" s="182" t="inlineStr">
        <is>
          <t>509-0090</t>
        </is>
      </c>
      <c r="D552" s="183" t="inlineStr">
        <is>
          <t>Перемычки гибкие, тип ПГС-50</t>
        </is>
      </c>
      <c r="E552" s="274" t="inlineStr">
        <is>
          <t>шт.</t>
        </is>
      </c>
      <c r="F552" s="182" t="n">
        <v>14</v>
      </c>
      <c r="G552" s="192" t="n">
        <v>3.9</v>
      </c>
      <c r="H552" s="186">
        <f>ROUND(F552*G552,2)</f>
        <v/>
      </c>
    </row>
    <row r="553">
      <c r="A553" s="180" t="n">
        <v>538</v>
      </c>
      <c r="B553" s="248" t="n"/>
      <c r="C553" s="182" t="inlineStr">
        <is>
          <t>103-1177</t>
        </is>
      </c>
      <c r="D553" s="183" t="inlineStr">
        <is>
          <t>Клипса для крепежа гофротрубы, диаметром 16 мм</t>
        </is>
      </c>
      <c r="E553" s="274" t="inlineStr">
        <is>
          <t>шт.</t>
        </is>
      </c>
      <c r="F553" s="182" t="n">
        <v>300</v>
      </c>
      <c r="G553" s="192" t="n">
        <v>0.18</v>
      </c>
      <c r="H553" s="186">
        <f>ROUND(F553*G553,2)</f>
        <v/>
      </c>
    </row>
    <row r="554">
      <c r="A554" s="180" t="n">
        <v>539</v>
      </c>
      <c r="B554" s="248" t="n"/>
      <c r="C554" s="182" t="inlineStr">
        <is>
          <t>101-2430</t>
        </is>
      </c>
      <c r="D554" s="183" t="inlineStr">
        <is>
          <t>Грунтовка «Тифенгрунд», КНАУФ</t>
        </is>
      </c>
      <c r="E554" s="274" t="inlineStr">
        <is>
          <t>кг</t>
        </is>
      </c>
      <c r="F554" s="182" t="n">
        <v>4.11</v>
      </c>
      <c r="G554" s="192" t="n">
        <v>13.08</v>
      </c>
      <c r="H554" s="186">
        <f>ROUND(F554*G554,2)</f>
        <v/>
      </c>
    </row>
    <row r="555" ht="51.6" customHeight="1">
      <c r="A555" s="180" t="n">
        <v>540</v>
      </c>
      <c r="B555" s="248" t="n"/>
      <c r="C555" s="182" t="inlineStr">
        <is>
          <t>508-0097</t>
        </is>
      </c>
      <c r="D555" s="18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555" s="274" t="inlineStr">
        <is>
          <t>10 м</t>
        </is>
      </c>
      <c r="F555" s="182" t="n">
        <v>1.0468</v>
      </c>
      <c r="G555" s="192" t="n">
        <v>50.23</v>
      </c>
      <c r="H555" s="186">
        <f>ROUND(F555*G555,2)</f>
        <v/>
      </c>
    </row>
    <row r="556" ht="25.9" customHeight="1">
      <c r="A556" s="180" t="n">
        <v>541</v>
      </c>
      <c r="B556" s="248" t="n"/>
      <c r="C556" s="182" t="inlineStr">
        <is>
          <t>302-3238</t>
        </is>
      </c>
      <c r="D556" s="183" t="inlineStr">
        <is>
          <t>Краны натяжные газовые муфтовые, латунные диаметром 20 мм</t>
        </is>
      </c>
      <c r="E556" s="274" t="inlineStr">
        <is>
          <t>шт.</t>
        </is>
      </c>
      <c r="F556" s="182" t="n">
        <v>1</v>
      </c>
      <c r="G556" s="192" t="n">
        <v>52</v>
      </c>
      <c r="H556" s="186">
        <f>ROUND(F556*G556,2)</f>
        <v/>
      </c>
    </row>
    <row r="557">
      <c r="A557" s="180" t="n">
        <v>542</v>
      </c>
      <c r="B557" s="248" t="n"/>
      <c r="C557" s="182" t="inlineStr">
        <is>
          <t>101-1971</t>
        </is>
      </c>
      <c r="D557" s="183" t="inlineStr">
        <is>
          <t>Затирка «Старатели» (разной цветности)</t>
        </is>
      </c>
      <c r="E557" s="274" t="inlineStr">
        <is>
          <t>т</t>
        </is>
      </c>
      <c r="F557" s="182" t="n">
        <v>0.007900000000000001</v>
      </c>
      <c r="G557" s="192" t="n">
        <v>6513</v>
      </c>
      <c r="H557" s="186">
        <f>ROUND(F557*G557,2)</f>
        <v/>
      </c>
    </row>
    <row r="558">
      <c r="A558" s="180" t="n">
        <v>543</v>
      </c>
      <c r="B558" s="248" t="n"/>
      <c r="C558" s="182" t="inlineStr">
        <is>
          <t>301-0036</t>
        </is>
      </c>
      <c r="D558" s="183" t="inlineStr">
        <is>
          <t>Труба соединительная</t>
        </is>
      </c>
      <c r="E558" s="274" t="inlineStr">
        <is>
          <t>шт.</t>
        </is>
      </c>
      <c r="F558" s="182" t="n">
        <v>2</v>
      </c>
      <c r="G558" s="192" t="n">
        <v>25</v>
      </c>
      <c r="H558" s="186">
        <f>ROUND(F558*G558,2)</f>
        <v/>
      </c>
    </row>
    <row r="559" ht="25.5" customHeight="1">
      <c r="A559" s="180" t="n">
        <v>544</v>
      </c>
      <c r="B559" s="248" t="n"/>
      <c r="C559" s="182" t="inlineStr">
        <is>
          <t>103-1020</t>
        </is>
      </c>
      <c r="D559" s="183" t="inlineStr">
        <is>
          <t>Тройники косые под 60 градусов диаметром 50х50 мм</t>
        </is>
      </c>
      <c r="E559" s="274" t="inlineStr">
        <is>
          <t>шт.</t>
        </is>
      </c>
      <c r="F559" s="182" t="n">
        <v>2</v>
      </c>
      <c r="G559" s="192" t="n">
        <v>24.3</v>
      </c>
      <c r="H559" s="186">
        <f>ROUND(F559*G559,2)</f>
        <v/>
      </c>
    </row>
    <row r="560">
      <c r="A560" s="180" t="n">
        <v>545</v>
      </c>
      <c r="B560" s="248" t="n"/>
      <c r="C560" s="182" t="inlineStr">
        <is>
          <t>101-4173</t>
        </is>
      </c>
      <c r="D560" s="183" t="inlineStr">
        <is>
          <t>Дюбели монтажные 10х130 (10х132, 10х150) мм</t>
        </is>
      </c>
      <c r="E560" s="274" t="inlineStr">
        <is>
          <t>10 шт.</t>
        </is>
      </c>
      <c r="F560" s="182" t="n">
        <v>6.6831</v>
      </c>
      <c r="G560" s="192" t="n">
        <v>7.03</v>
      </c>
      <c r="H560" s="186">
        <f>ROUND(F560*G560,2)</f>
        <v/>
      </c>
    </row>
    <row r="561" ht="25.9" customHeight="1">
      <c r="A561" s="180" t="n">
        <v>546</v>
      </c>
      <c r="B561" s="248" t="n"/>
      <c r="C561" s="182" t="inlineStr">
        <is>
          <t>301-6272</t>
        </is>
      </c>
      <c r="D561" s="183" t="inlineStr">
        <is>
          <t>Врезка прямая из оцинкованной стали, диаметром 315 мм (0,125м2)</t>
        </is>
      </c>
      <c r="E561" s="274" t="inlineStr">
        <is>
          <t>шт.</t>
        </is>
      </c>
      <c r="F561" s="182" t="n">
        <v>1</v>
      </c>
      <c r="G561" s="192" t="n">
        <v>45.91</v>
      </c>
      <c r="H561" s="186">
        <f>ROUND(F561*G561,2)</f>
        <v/>
      </c>
    </row>
    <row r="562">
      <c r="A562" s="180" t="n">
        <v>547</v>
      </c>
      <c r="B562" s="248" t="n"/>
      <c r="C562" s="182" t="inlineStr">
        <is>
          <t>101-1874</t>
        </is>
      </c>
      <c r="D562" s="183" t="inlineStr">
        <is>
          <t>Сталь листовая оцинкованная толщиной листа 1,5 мм</t>
        </is>
      </c>
      <c r="E562" s="274" t="inlineStr">
        <is>
          <t>т</t>
        </is>
      </c>
      <c r="F562" s="182" t="n">
        <v>0.0051</v>
      </c>
      <c r="G562" s="192" t="n">
        <v>8900</v>
      </c>
      <c r="H562" s="186">
        <f>ROUND(F562*G562,2)</f>
        <v/>
      </c>
    </row>
    <row r="563">
      <c r="A563" s="180" t="n">
        <v>548</v>
      </c>
      <c r="B563" s="248" t="n"/>
      <c r="C563" s="182" t="inlineStr">
        <is>
          <t>201-0811</t>
        </is>
      </c>
      <c r="D563" s="183" t="inlineStr">
        <is>
          <t>Профиль угловой ПУ 31/31 для защиты углов</t>
        </is>
      </c>
      <c r="E563" s="274" t="inlineStr">
        <is>
          <t>м</t>
        </is>
      </c>
      <c r="F563" s="182" t="n">
        <v>14.21</v>
      </c>
      <c r="G563" s="192" t="n">
        <v>3.18</v>
      </c>
      <c r="H563" s="186">
        <f>ROUND(F563*G563,2)</f>
        <v/>
      </c>
    </row>
    <row r="564">
      <c r="A564" s="180" t="n">
        <v>549</v>
      </c>
      <c r="B564" s="248" t="n"/>
      <c r="C564" s="182" t="inlineStr">
        <is>
          <t>509-0167</t>
        </is>
      </c>
      <c r="D564" s="183" t="inlineStr">
        <is>
          <t>Сжимы соединительные</t>
        </is>
      </c>
      <c r="E564" s="274" t="inlineStr">
        <is>
          <t>100 шт.</t>
        </is>
      </c>
      <c r="F564" s="182" t="n">
        <v>0.4386</v>
      </c>
      <c r="G564" s="192" t="n">
        <v>100</v>
      </c>
      <c r="H564" s="186">
        <f>ROUND(F564*G564,2)</f>
        <v/>
      </c>
    </row>
    <row r="565" ht="25.9" customHeight="1">
      <c r="A565" s="180" t="n">
        <v>550</v>
      </c>
      <c r="B565" s="248" t="n"/>
      <c r="C565" s="182" t="inlineStr">
        <is>
          <t>101-2480</t>
        </is>
      </c>
      <c r="D565" s="183" t="inlineStr">
        <is>
          <t>Лента разделительная для сопряжения потолка из ЛГК со стеной</t>
        </is>
      </c>
      <c r="E565" s="274" t="inlineStr">
        <is>
          <t>м</t>
        </is>
      </c>
      <c r="F565" s="182" t="n">
        <v>25.34</v>
      </c>
      <c r="G565" s="192" t="n">
        <v>1.73</v>
      </c>
      <c r="H565" s="186">
        <f>ROUND(F565*G565,2)</f>
        <v/>
      </c>
    </row>
    <row r="566">
      <c r="A566" s="180" t="n">
        <v>551</v>
      </c>
      <c r="B566" s="248" t="n"/>
      <c r="C566" s="182" t="inlineStr">
        <is>
          <t>102-0303</t>
        </is>
      </c>
      <c r="D566" s="183" t="inlineStr">
        <is>
          <t>Клинья пластиковые монтажные</t>
        </is>
      </c>
      <c r="E566" s="274" t="inlineStr">
        <is>
          <t>шт.</t>
        </is>
      </c>
      <c r="F566" s="182" t="n">
        <v>87.36</v>
      </c>
      <c r="G566" s="192" t="n">
        <v>0.5</v>
      </c>
      <c r="H566" s="186">
        <f>ROUND(F566*G566,2)</f>
        <v/>
      </c>
    </row>
    <row r="567" ht="25.9" customHeight="1">
      <c r="A567" s="180" t="n">
        <v>552</v>
      </c>
      <c r="B567" s="248" t="n"/>
      <c r="C567" s="182" t="inlineStr">
        <is>
          <t>302-1342</t>
        </is>
      </c>
      <c r="D567" s="183" t="inlineStr">
        <is>
          <t>Вентили проходные муфтовые 15кч18п для воды давлением 1,6 МПа (16 кгс/см2), диаметром 20 мм</t>
        </is>
      </c>
      <c r="E567" s="274" t="inlineStr">
        <is>
          <t>шт.</t>
        </is>
      </c>
      <c r="F567" s="182" t="n">
        <v>2</v>
      </c>
      <c r="G567" s="192" t="n">
        <v>21.81</v>
      </c>
      <c r="H567" s="186">
        <f>ROUND(F567*G567,2)</f>
        <v/>
      </c>
    </row>
    <row r="568" ht="25.9" customHeight="1">
      <c r="A568" s="180" t="n">
        <v>553</v>
      </c>
      <c r="B568" s="248" t="n"/>
      <c r="C568" s="182" t="inlineStr">
        <is>
          <t>101-0811</t>
        </is>
      </c>
      <c r="D568" s="183" t="inlineStr">
        <is>
          <t>Проволока стальная низкоуглеродистая разного назначения оцинкованная диаметром 1,1 мм</t>
        </is>
      </c>
      <c r="E568" s="274" t="inlineStr">
        <is>
          <t>т</t>
        </is>
      </c>
      <c r="F568" s="182" t="n">
        <v>0.0029</v>
      </c>
      <c r="G568" s="192" t="n">
        <v>14690</v>
      </c>
      <c r="H568" s="186">
        <f>ROUND(F568*G568,2)</f>
        <v/>
      </c>
    </row>
    <row r="569" ht="38.85" customHeight="1">
      <c r="A569" s="180" t="n">
        <v>554</v>
      </c>
      <c r="B569" s="248" t="n"/>
      <c r="C569" s="182" t="inlineStr">
        <is>
          <t>103-0003</t>
        </is>
      </c>
      <c r="D569" s="183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569" s="274" t="inlineStr">
        <is>
          <t>м</t>
        </is>
      </c>
      <c r="F569" s="182" t="n">
        <v>2.73</v>
      </c>
      <c r="G569" s="192" t="n">
        <v>15.33</v>
      </c>
      <c r="H569" s="186">
        <f>ROUND(F569*G569,2)</f>
        <v/>
      </c>
    </row>
    <row r="570">
      <c r="A570" s="180" t="n">
        <v>555</v>
      </c>
      <c r="B570" s="248" t="n"/>
      <c r="C570" s="182" t="inlineStr">
        <is>
          <t>101-2438</t>
        </is>
      </c>
      <c r="D570" s="183" t="inlineStr">
        <is>
          <t>Шпаклевка «Фугенфюллер», КНАУФ</t>
        </is>
      </c>
      <c r="E570" s="274" t="inlineStr">
        <is>
          <t>кг</t>
        </is>
      </c>
      <c r="F570" s="182" t="n">
        <v>14.499</v>
      </c>
      <c r="G570" s="192" t="n">
        <v>2.7</v>
      </c>
      <c r="H570" s="186">
        <f>ROUND(F570*G570,2)</f>
        <v/>
      </c>
    </row>
    <row r="571">
      <c r="A571" s="180" t="n">
        <v>556</v>
      </c>
      <c r="B571" s="248" t="n"/>
      <c r="C571" s="182" t="inlineStr">
        <is>
          <t>113-0368</t>
        </is>
      </c>
      <c r="D571" s="183" t="inlineStr">
        <is>
          <t>Стекло жидкое калийное</t>
        </is>
      </c>
      <c r="E571" s="274" t="inlineStr">
        <is>
          <t>т</t>
        </is>
      </c>
      <c r="F571" s="182" t="n">
        <v>0.0141</v>
      </c>
      <c r="G571" s="192" t="n">
        <v>2734.6</v>
      </c>
      <c r="H571" s="186">
        <f>ROUND(F571*G571,2)</f>
        <v/>
      </c>
    </row>
    <row r="572">
      <c r="A572" s="180" t="n">
        <v>557</v>
      </c>
      <c r="B572" s="248" t="n"/>
      <c r="C572" s="182" t="inlineStr">
        <is>
          <t>402-0002</t>
        </is>
      </c>
      <c r="D572" s="183" t="inlineStr">
        <is>
          <t>Раствор готовый кладочный цементный марки 50</t>
        </is>
      </c>
      <c r="E572" s="274" t="inlineStr">
        <is>
          <t>м3</t>
        </is>
      </c>
      <c r="F572" s="182" t="n">
        <v>0.07870000000000001</v>
      </c>
      <c r="G572" s="192" t="n">
        <v>485.9</v>
      </c>
      <c r="H572" s="186">
        <f>ROUND(F572*G572,2)</f>
        <v/>
      </c>
    </row>
    <row r="573" ht="25.9" customHeight="1">
      <c r="A573" s="180" t="n">
        <v>558</v>
      </c>
      <c r="B573" s="248" t="n"/>
      <c r="C573" s="182" t="inlineStr">
        <is>
          <t>301-6292</t>
        </is>
      </c>
      <c r="D573" s="183" t="inlineStr">
        <is>
          <t>Врезка воротниковая из оцинкованной стали, диаметром 250/100 мм</t>
        </is>
      </c>
      <c r="E573" s="274" t="inlineStr">
        <is>
          <t>шт.</t>
        </is>
      </c>
      <c r="F573" s="182" t="n">
        <v>1</v>
      </c>
      <c r="G573" s="192" t="n">
        <v>37.85</v>
      </c>
      <c r="H573" s="186">
        <f>ROUND(F573*G573,2)</f>
        <v/>
      </c>
    </row>
    <row r="574">
      <c r="A574" s="180" t="n">
        <v>559</v>
      </c>
      <c r="B574" s="248" t="n"/>
      <c r="C574" s="258" t="inlineStr">
        <is>
          <t>Прайс из СД ОП</t>
        </is>
      </c>
      <c r="D574" s="183" t="inlineStr">
        <is>
          <t>Переход д. 355/250 (0,390м2)</t>
        </is>
      </c>
      <c r="E574" s="274" t="inlineStr">
        <is>
          <t>шт.</t>
        </is>
      </c>
      <c r="F574" s="182" t="n">
        <v>1</v>
      </c>
      <c r="G574" s="192" t="n">
        <v>37.48</v>
      </c>
      <c r="H574" s="186">
        <f>ROUND(F574*G574,2)</f>
        <v/>
      </c>
    </row>
    <row r="575" ht="25.9" customHeight="1">
      <c r="A575" s="180" t="n">
        <v>560</v>
      </c>
      <c r="B575" s="248" t="n"/>
      <c r="C575" s="182" t="inlineStr">
        <is>
          <t>101-2343</t>
        </is>
      </c>
      <c r="D575" s="183" t="inlineStr">
        <is>
          <t>Смазка универсальная тугоплавкая УТ (консталин жировой)</t>
        </is>
      </c>
      <c r="E575" s="274" t="inlineStr">
        <is>
          <t>т</t>
        </is>
      </c>
      <c r="F575" s="182" t="n">
        <v>0.0021</v>
      </c>
      <c r="G575" s="192" t="n">
        <v>17500</v>
      </c>
      <c r="H575" s="186">
        <f>ROUND(F575*G575,2)</f>
        <v/>
      </c>
    </row>
    <row r="576" ht="25.9" customHeight="1">
      <c r="A576" s="180" t="n">
        <v>561</v>
      </c>
      <c r="B576" s="248" t="n"/>
      <c r="C576" s="182" t="inlineStr">
        <is>
          <t>101-2260</t>
        </is>
      </c>
      <c r="D576" s="183" t="inlineStr">
        <is>
          <t>Трубы хризотилцементные безнапорные БНТ, диаметр условного прохода 100 мм</t>
        </is>
      </c>
      <c r="E576" s="274" t="inlineStr">
        <is>
          <t>м</t>
        </is>
      </c>
      <c r="F576" s="182" t="n">
        <v>2.52</v>
      </c>
      <c r="G576" s="192" t="n">
        <v>14.5</v>
      </c>
      <c r="H576" s="186">
        <f>ROUND(F576*G576,2)</f>
        <v/>
      </c>
    </row>
    <row r="577">
      <c r="A577" s="180" t="n">
        <v>562</v>
      </c>
      <c r="B577" s="248" t="n"/>
      <c r="C577" s="182" t="inlineStr">
        <is>
          <t>509-1443</t>
        </is>
      </c>
      <c r="D577" s="183" t="inlineStr">
        <is>
          <t>Выключатель двухклавишный для открытой проводки</t>
        </is>
      </c>
      <c r="E577" s="274" t="inlineStr">
        <is>
          <t>шт.</t>
        </is>
      </c>
      <c r="F577" s="182" t="n">
        <v>5</v>
      </c>
      <c r="G577" s="192" t="n">
        <v>7.28</v>
      </c>
      <c r="H577" s="186">
        <f>ROUND(F577*G577,2)</f>
        <v/>
      </c>
    </row>
    <row r="578" ht="25.9" customHeight="1">
      <c r="A578" s="180" t="n">
        <v>563</v>
      </c>
      <c r="B578" s="248" t="n"/>
      <c r="C578" s="182" t="inlineStr">
        <is>
          <t>301-3067</t>
        </is>
      </c>
      <c r="D578" s="183" t="inlineStr">
        <is>
          <t>Сетки металлические в рамках площадью в свету до 0,2 м2</t>
        </is>
      </c>
      <c r="E578" s="274" t="inlineStr">
        <is>
          <t>м2</t>
        </is>
      </c>
      <c r="F578" s="182" t="n">
        <v>0.48</v>
      </c>
      <c r="G578" s="192" t="n">
        <v>75</v>
      </c>
      <c r="H578" s="186">
        <f>ROUND(F578*G578,2)</f>
        <v/>
      </c>
    </row>
    <row r="579">
      <c r="A579" s="180" t="n">
        <v>564</v>
      </c>
      <c r="B579" s="248" t="n"/>
      <c r="C579" s="258" t="inlineStr">
        <is>
          <t>Прайс из СД ОП</t>
        </is>
      </c>
      <c r="D579" s="183" t="inlineStr">
        <is>
          <t>Переход д. 355/160 (0,420м2)</t>
        </is>
      </c>
      <c r="E579" s="274" t="inlineStr">
        <is>
          <t>шт.</t>
        </is>
      </c>
      <c r="F579" s="182" t="n">
        <v>1</v>
      </c>
      <c r="G579" s="192" t="n">
        <v>35.69</v>
      </c>
      <c r="H579" s="186">
        <f>ROUND(F579*G579,2)</f>
        <v/>
      </c>
    </row>
    <row r="580">
      <c r="A580" s="180" t="n">
        <v>565</v>
      </c>
      <c r="B580" s="248" t="n"/>
      <c r="C580" s="182" t="inlineStr">
        <is>
          <t>103-1011</t>
        </is>
      </c>
      <c r="D580" s="183" t="inlineStr">
        <is>
          <t>Муфты надвижные диаметром 100 мм</t>
        </is>
      </c>
      <c r="E580" s="274" t="inlineStr">
        <is>
          <t>шт.</t>
        </is>
      </c>
      <c r="F580" s="182" t="n">
        <v>2</v>
      </c>
      <c r="G580" s="192" t="n">
        <v>17.51</v>
      </c>
      <c r="H580" s="186">
        <f>ROUND(F580*G580,2)</f>
        <v/>
      </c>
    </row>
    <row r="581">
      <c r="A581" s="180" t="n">
        <v>566</v>
      </c>
      <c r="B581" s="248" t="n"/>
      <c r="C581" s="182" t="inlineStr">
        <is>
          <t>103-1178</t>
        </is>
      </c>
      <c r="D581" s="183" t="inlineStr">
        <is>
          <t>Клипса для крепежа гофротрубы, диаметром 32 мм</t>
        </is>
      </c>
      <c r="E581" s="274" t="inlineStr">
        <is>
          <t>шт.</t>
        </is>
      </c>
      <c r="F581" s="182" t="n">
        <v>80</v>
      </c>
      <c r="G581" s="192" t="n">
        <v>0.43</v>
      </c>
      <c r="H581" s="186">
        <f>ROUND(F581*G581,2)</f>
        <v/>
      </c>
    </row>
    <row r="582">
      <c r="A582" s="180" t="n">
        <v>567</v>
      </c>
      <c r="B582" s="248" t="n"/>
      <c r="C582" s="182" t="inlineStr">
        <is>
          <t>101-0627</t>
        </is>
      </c>
      <c r="D582" s="183" t="inlineStr">
        <is>
          <t>Олифа комбинированная, марки К-2</t>
        </is>
      </c>
      <c r="E582" s="274" t="inlineStr">
        <is>
          <t>т</t>
        </is>
      </c>
      <c r="F582" s="182" t="n">
        <v>0.0016</v>
      </c>
      <c r="G582" s="192" t="n">
        <v>20775</v>
      </c>
      <c r="H582" s="186">
        <f>ROUND(F582*G582,2)</f>
        <v/>
      </c>
    </row>
    <row r="583">
      <c r="A583" s="180" t="n">
        <v>568</v>
      </c>
      <c r="B583" s="248" t="n"/>
      <c r="C583" s="258" t="inlineStr">
        <is>
          <t>Прайс из СД ОП</t>
        </is>
      </c>
      <c r="D583" s="183" t="inlineStr">
        <is>
          <t>Переход д. 315/160 (0,200м2)</t>
        </is>
      </c>
      <c r="E583" s="274" t="inlineStr">
        <is>
          <t>шт.</t>
        </is>
      </c>
      <c r="F583" s="182" t="n">
        <v>1</v>
      </c>
      <c r="G583" s="192" t="n">
        <v>32.73</v>
      </c>
      <c r="H583" s="186">
        <f>ROUND(F583*G583,2)</f>
        <v/>
      </c>
    </row>
    <row r="584">
      <c r="A584" s="180" t="n">
        <v>569</v>
      </c>
      <c r="B584" s="248" t="n"/>
      <c r="C584" s="258" t="inlineStr">
        <is>
          <t>Прайс из СД ОП</t>
        </is>
      </c>
      <c r="D584" s="183" t="inlineStr">
        <is>
          <t>Крестовина д. 160/160 (0,210м2)</t>
        </is>
      </c>
      <c r="E584" s="274" t="inlineStr">
        <is>
          <t>шт.</t>
        </is>
      </c>
      <c r="F584" s="182" t="n">
        <v>1</v>
      </c>
      <c r="G584" s="192" t="n">
        <v>32.43</v>
      </c>
      <c r="H584" s="186">
        <f>ROUND(F584*G584,2)</f>
        <v/>
      </c>
    </row>
    <row r="585" ht="25.9" customHeight="1">
      <c r="A585" s="180" t="n">
        <v>570</v>
      </c>
      <c r="B585" s="248" t="n"/>
      <c r="C585" s="182" t="inlineStr">
        <is>
          <t>401-0061</t>
        </is>
      </c>
      <c r="D585" s="183" t="inlineStr">
        <is>
          <t>Бетон тяжелый, крупность заполнителя 20 мм, класс В3,5 (М50)</t>
        </is>
      </c>
      <c r="E585" s="274" t="inlineStr">
        <is>
          <t>м3</t>
        </is>
      </c>
      <c r="F585" s="182" t="n">
        <v>0.0612</v>
      </c>
      <c r="G585" s="192" t="n">
        <v>520</v>
      </c>
      <c r="H585" s="186">
        <f>ROUND(F585*G585,2)</f>
        <v/>
      </c>
    </row>
    <row r="586" ht="25.9" customHeight="1">
      <c r="A586" s="180" t="n">
        <v>571</v>
      </c>
      <c r="B586" s="248" t="n"/>
      <c r="C586" s="182" t="inlineStr">
        <is>
          <t>101-2576</t>
        </is>
      </c>
      <c r="D586" s="183" t="inlineStr">
        <is>
          <t>Болты с гайками и шайбами для санитарно-технических работ диаметром 16 мм</t>
        </is>
      </c>
      <c r="E586" s="274" t="inlineStr">
        <is>
          <t>т</t>
        </is>
      </c>
      <c r="F586" s="182" t="n">
        <v>0.0021</v>
      </c>
      <c r="G586" s="192" t="n">
        <v>14830</v>
      </c>
      <c r="H586" s="186">
        <f>ROUND(F586*G586,2)</f>
        <v/>
      </c>
    </row>
    <row r="587" ht="25.9" customHeight="1">
      <c r="A587" s="180" t="n">
        <v>572</v>
      </c>
      <c r="B587" s="248" t="n"/>
      <c r="C587" s="182" t="inlineStr">
        <is>
          <t>101-0388</t>
        </is>
      </c>
      <c r="D587" s="183" t="inlineStr">
        <is>
          <t>Краски масляные земляные марки МА-0115 мумия, сурик железный</t>
        </is>
      </c>
      <c r="E587" s="274" t="inlineStr">
        <is>
          <t>т</t>
        </is>
      </c>
      <c r="F587" s="182" t="n">
        <v>0.002</v>
      </c>
      <c r="G587" s="192" t="n">
        <v>15119</v>
      </c>
      <c r="H587" s="186">
        <f>ROUND(F587*G587,2)</f>
        <v/>
      </c>
    </row>
    <row r="588">
      <c r="A588" s="180" t="n">
        <v>573</v>
      </c>
      <c r="B588" s="248" t="n"/>
      <c r="C588" s="258" t="inlineStr">
        <is>
          <t>Прайс из СД ОП</t>
        </is>
      </c>
      <c r="D588" s="183" t="inlineStr">
        <is>
          <t>Тройник д. 250/160 (0,427м2)</t>
        </is>
      </c>
      <c r="E588" s="274" t="inlineStr">
        <is>
          <t>шт.</t>
        </is>
      </c>
      <c r="F588" s="182" t="n">
        <v>1</v>
      </c>
      <c r="G588" s="192" t="n">
        <v>30.2</v>
      </c>
      <c r="H588" s="186">
        <f>ROUND(F588*G588,2)</f>
        <v/>
      </c>
    </row>
    <row r="589" ht="25.9" customHeight="1">
      <c r="A589" s="180" t="n">
        <v>574</v>
      </c>
      <c r="B589" s="248" t="n"/>
      <c r="C589" s="182" t="inlineStr">
        <is>
          <t>101-2486</t>
        </is>
      </c>
      <c r="D589" s="183" t="inlineStr">
        <is>
          <t>Лента эластичная самоклеящаяся для профилей направляющих «Дихтунгсбанд» 70/30000 мм</t>
        </is>
      </c>
      <c r="E589" s="274" t="inlineStr">
        <is>
          <t>м</t>
        </is>
      </c>
      <c r="F589" s="182" t="n">
        <v>35.84</v>
      </c>
      <c r="G589" s="192" t="n">
        <v>0.84</v>
      </c>
      <c r="H589" s="186">
        <f>ROUND(F589*G589,2)</f>
        <v/>
      </c>
    </row>
    <row r="590">
      <c r="A590" s="180" t="n">
        <v>575</v>
      </c>
      <c r="B590" s="248" t="n"/>
      <c r="C590" s="182" t="inlineStr">
        <is>
          <t>101-2387</t>
        </is>
      </c>
      <c r="D590" s="183" t="inlineStr">
        <is>
          <t>Герметик строительный «RDPRO», 300 мл</t>
        </is>
      </c>
      <c r="E590" s="274" t="inlineStr">
        <is>
          <t>шт.</t>
        </is>
      </c>
      <c r="F590" s="182" t="n">
        <v>2.163</v>
      </c>
      <c r="G590" s="192" t="n">
        <v>13.82</v>
      </c>
      <c r="H590" s="186">
        <f>ROUND(F590*G590,2)</f>
        <v/>
      </c>
    </row>
    <row r="591" ht="38.85" customHeight="1">
      <c r="A591" s="180" t="n">
        <v>576</v>
      </c>
      <c r="B591" s="248" t="n"/>
      <c r="C591" s="182" t="inlineStr">
        <is>
          <t>101-0456</t>
        </is>
      </c>
      <c r="D591" s="183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E591" s="274" t="inlineStr">
        <is>
          <t>т</t>
        </is>
      </c>
      <c r="F591" s="182" t="n">
        <v>0.0019</v>
      </c>
      <c r="G591" s="192" t="n">
        <v>15707</v>
      </c>
      <c r="H591" s="186">
        <f>ROUND(F591*G591,2)</f>
        <v/>
      </c>
    </row>
    <row r="592">
      <c r="A592" s="180" t="n">
        <v>577</v>
      </c>
      <c r="B592" s="248" t="n"/>
      <c r="C592" s="258" t="inlineStr">
        <is>
          <t>Прайс из СД ОП</t>
        </is>
      </c>
      <c r="D592" s="183" t="inlineStr">
        <is>
          <t>Тройник д. 200/160 (0,346м2)</t>
        </is>
      </c>
      <c r="E592" s="274" t="inlineStr">
        <is>
          <t>шт.</t>
        </is>
      </c>
      <c r="F592" s="182" t="n">
        <v>1</v>
      </c>
      <c r="G592" s="192" t="n">
        <v>26.34</v>
      </c>
      <c r="H592" s="186">
        <f>ROUND(F592*G592,2)</f>
        <v/>
      </c>
    </row>
    <row r="593">
      <c r="A593" s="180" t="n">
        <v>578</v>
      </c>
      <c r="B593" s="248" t="n"/>
      <c r="C593" s="182" t="inlineStr">
        <is>
          <t>101-0063</t>
        </is>
      </c>
      <c r="D593" s="183" t="inlineStr">
        <is>
          <t>Ацетилен растворенный технический марки А</t>
        </is>
      </c>
      <c r="E593" s="274" t="inlineStr">
        <is>
          <t>т</t>
        </is>
      </c>
      <c r="F593" s="182" t="n">
        <v>0.0008</v>
      </c>
      <c r="G593" s="192" t="n">
        <v>32830</v>
      </c>
      <c r="H593" s="186">
        <f>ROUND(F593*G593,2)</f>
        <v/>
      </c>
    </row>
    <row r="594">
      <c r="A594" s="180" t="n">
        <v>579</v>
      </c>
      <c r="B594" s="248" t="n"/>
      <c r="C594" s="182" t="inlineStr">
        <is>
          <t>101-1669</t>
        </is>
      </c>
      <c r="D594" s="183" t="inlineStr">
        <is>
          <t>Очес льняной</t>
        </is>
      </c>
      <c r="E594" s="274" t="inlineStr">
        <is>
          <t>кг</t>
        </is>
      </c>
      <c r="F594" s="182" t="n">
        <v>0.7026</v>
      </c>
      <c r="G594" s="192" t="n">
        <v>37.29</v>
      </c>
      <c r="H594" s="186">
        <f>ROUND(F594*G594,2)</f>
        <v/>
      </c>
    </row>
    <row r="595">
      <c r="A595" s="180" t="n">
        <v>580</v>
      </c>
      <c r="B595" s="248" t="n"/>
      <c r="C595" s="258" t="inlineStr">
        <is>
          <t>Прайс из СД ОП</t>
        </is>
      </c>
      <c r="D595" s="183" t="inlineStr">
        <is>
          <t>Переход д. 250/160 (0,160м2)</t>
        </is>
      </c>
      <c r="E595" s="274" t="inlineStr">
        <is>
          <t>шт.</t>
        </is>
      </c>
      <c r="F595" s="182" t="n">
        <v>1</v>
      </c>
      <c r="G595" s="192" t="n">
        <v>25.54</v>
      </c>
      <c r="H595" s="186">
        <f>ROUND(F595*G595,2)</f>
        <v/>
      </c>
    </row>
    <row r="596">
      <c r="A596" s="180" t="n">
        <v>581</v>
      </c>
      <c r="B596" s="248" t="n"/>
      <c r="C596" s="182" t="inlineStr">
        <is>
          <t>408-0122</t>
        </is>
      </c>
      <c r="D596" s="183" t="inlineStr">
        <is>
          <t>Песок природный для строительных работ средний</t>
        </is>
      </c>
      <c r="E596" s="274" t="inlineStr">
        <is>
          <t>м3</t>
        </is>
      </c>
      <c r="F596" s="182" t="n">
        <v>0.4582</v>
      </c>
      <c r="G596" s="192" t="n">
        <v>55.26</v>
      </c>
      <c r="H596" s="186">
        <f>ROUND(F596*G596,2)</f>
        <v/>
      </c>
    </row>
    <row r="597">
      <c r="A597" s="180" t="n">
        <v>582</v>
      </c>
      <c r="B597" s="248" t="n"/>
      <c r="C597" s="182" t="inlineStr">
        <is>
          <t>101-0319</t>
        </is>
      </c>
      <c r="D597" s="183" t="inlineStr">
        <is>
          <t>Картон строительный прокладочный марки Б</t>
        </is>
      </c>
      <c r="E597" s="274" t="inlineStr">
        <is>
          <t>т</t>
        </is>
      </c>
      <c r="F597" s="182" t="n">
        <v>0.0012</v>
      </c>
      <c r="G597" s="192" t="n">
        <v>19800</v>
      </c>
      <c r="H597" s="186">
        <f>ROUND(F597*G597,2)</f>
        <v/>
      </c>
    </row>
    <row r="598" ht="25.9" customHeight="1">
      <c r="A598" s="180" t="n">
        <v>583</v>
      </c>
      <c r="B598" s="248" t="n"/>
      <c r="C598" s="182" t="inlineStr">
        <is>
          <t>101-0127</t>
        </is>
      </c>
      <c r="D598" s="183" t="inlineStr">
        <is>
          <t>Гайки шестигранные оцинкованные диаметр резьбы 6 мм</t>
        </is>
      </c>
      <c r="E598" s="274" t="inlineStr">
        <is>
          <t>т</t>
        </is>
      </c>
      <c r="F598" s="182" t="n">
        <v>0.0005999999999999999</v>
      </c>
      <c r="G598" s="192" t="n">
        <v>39350.15</v>
      </c>
      <c r="H598" s="186">
        <f>ROUND(F598*G598,2)</f>
        <v/>
      </c>
    </row>
    <row r="599">
      <c r="A599" s="180" t="n">
        <v>584</v>
      </c>
      <c r="B599" s="248" t="n"/>
      <c r="C599" s="182" t="inlineStr">
        <is>
          <t>405-0253</t>
        </is>
      </c>
      <c r="D599" s="183" t="inlineStr">
        <is>
          <t>Известь строительная негашеная комовая, сорт I</t>
        </is>
      </c>
      <c r="E599" s="274" t="inlineStr">
        <is>
          <t>т</t>
        </is>
      </c>
      <c r="F599" s="182" t="n">
        <v>0.0315</v>
      </c>
      <c r="G599" s="192" t="n">
        <v>734.5</v>
      </c>
      <c r="H599" s="186">
        <f>ROUND(F599*G599,2)</f>
        <v/>
      </c>
    </row>
    <row r="600">
      <c r="A600" s="180" t="n">
        <v>585</v>
      </c>
      <c r="B600" s="248" t="n"/>
      <c r="C600" s="182" t="inlineStr">
        <is>
          <t>101-2534</t>
        </is>
      </c>
      <c r="D600" s="183" t="inlineStr">
        <is>
          <t>Костыль из квадратной стали</t>
        </is>
      </c>
      <c r="E600" s="274" t="inlineStr">
        <is>
          <t>шт.</t>
        </is>
      </c>
      <c r="F600" s="182" t="n">
        <v>2</v>
      </c>
      <c r="G600" s="192" t="n">
        <v>11.5</v>
      </c>
      <c r="H600" s="186">
        <f>ROUND(F600*G600,2)</f>
        <v/>
      </c>
    </row>
    <row r="601">
      <c r="A601" s="180" t="n">
        <v>586</v>
      </c>
      <c r="B601" s="248" t="n"/>
      <c r="C601" s="182" t="inlineStr">
        <is>
          <t>101-0195</t>
        </is>
      </c>
      <c r="D601" s="183" t="inlineStr">
        <is>
          <t>Гвозди толевые круглые 3,0х40 мм</t>
        </is>
      </c>
      <c r="E601" s="274" t="inlineStr">
        <is>
          <t>т</t>
        </is>
      </c>
      <c r="F601" s="182" t="n">
        <v>0.0026</v>
      </c>
      <c r="G601" s="192" t="n">
        <v>8475</v>
      </c>
      <c r="H601" s="186">
        <f>ROUND(F601*G601,2)</f>
        <v/>
      </c>
    </row>
    <row r="602">
      <c r="A602" s="180" t="n">
        <v>587</v>
      </c>
      <c r="B602" s="248" t="n"/>
      <c r="C602" s="182" t="inlineStr">
        <is>
          <t>509-0033</t>
        </is>
      </c>
      <c r="D602" s="183" t="inlineStr">
        <is>
          <t>Сжимы ответвительные</t>
        </is>
      </c>
      <c r="E602" s="274" t="inlineStr">
        <is>
          <t>100 шт.</t>
        </is>
      </c>
      <c r="F602" s="182" t="n">
        <v>0.041</v>
      </c>
      <c r="G602" s="192" t="n">
        <v>528</v>
      </c>
      <c r="H602" s="186">
        <f>ROUND(F602*G602,2)</f>
        <v/>
      </c>
    </row>
    <row r="603" ht="25.9" customHeight="1">
      <c r="A603" s="180" t="n">
        <v>588</v>
      </c>
      <c r="B603" s="248" t="n"/>
      <c r="C603" s="182" t="inlineStr">
        <is>
          <t>301-6216</t>
        </is>
      </c>
      <c r="D603" s="183" t="inlineStr">
        <is>
          <t>Врезка из оцинкованной стали, диаметром 200/100 мм (0,078м2)</t>
        </is>
      </c>
      <c r="E603" s="274" t="inlineStr">
        <is>
          <t>шт.</t>
        </is>
      </c>
      <c r="F603" s="182" t="n">
        <v>1</v>
      </c>
      <c r="G603" s="192" t="n">
        <v>20.87</v>
      </c>
      <c r="H603" s="186">
        <f>ROUND(F603*G603,2)</f>
        <v/>
      </c>
    </row>
    <row r="604">
      <c r="A604" s="180" t="n">
        <v>589</v>
      </c>
      <c r="B604" s="248" t="n"/>
      <c r="C604" s="258" t="inlineStr">
        <is>
          <t>Прайс из СД ОП</t>
        </is>
      </c>
      <c r="D604" s="183" t="inlineStr">
        <is>
          <t>Переход д. 200/160 (0,120м2)</t>
        </is>
      </c>
      <c r="E604" s="274" t="inlineStr">
        <is>
          <t>шт.</t>
        </is>
      </c>
      <c r="F604" s="182" t="n">
        <v>1</v>
      </c>
      <c r="G604" s="192" t="n">
        <v>20.09</v>
      </c>
      <c r="H604" s="186">
        <f>ROUND(F604*G604,2)</f>
        <v/>
      </c>
    </row>
    <row r="605">
      <c r="A605" s="180" t="n">
        <v>590</v>
      </c>
      <c r="B605" s="248" t="n"/>
      <c r="C605" s="182" t="inlineStr">
        <is>
          <t>103-0938</t>
        </is>
      </c>
      <c r="D605" s="183" t="inlineStr">
        <is>
          <t>Муфты надвижные диаметром 50 мм</t>
        </is>
      </c>
      <c r="E605" s="274" t="inlineStr">
        <is>
          <t>шт.</t>
        </is>
      </c>
      <c r="F605" s="182" t="n">
        <v>2</v>
      </c>
      <c r="G605" s="192" t="n">
        <v>10</v>
      </c>
      <c r="H605" s="186">
        <f>ROUND(F605*G605,2)</f>
        <v/>
      </c>
    </row>
    <row r="606">
      <c r="A606" s="180" t="n">
        <v>591</v>
      </c>
      <c r="B606" s="248" t="n"/>
      <c r="C606" s="258" t="inlineStr">
        <is>
          <t>Прайс из СД ОП</t>
        </is>
      </c>
      <c r="D606" s="183" t="inlineStr">
        <is>
          <t>Заглушка  д. 315 (0,14м2)</t>
        </is>
      </c>
      <c r="E606" s="274" t="inlineStr">
        <is>
          <t>шт.</t>
        </is>
      </c>
      <c r="F606" s="182" t="n">
        <v>1</v>
      </c>
      <c r="G606" s="192" t="n">
        <v>19.69</v>
      </c>
      <c r="H606" s="186">
        <f>ROUND(F606*G606,2)</f>
        <v/>
      </c>
    </row>
    <row r="607" ht="25.9" customHeight="1">
      <c r="A607" s="180" t="n">
        <v>592</v>
      </c>
      <c r="B607" s="248" t="n"/>
      <c r="C607" s="182" t="inlineStr">
        <is>
          <t>102-0089</t>
        </is>
      </c>
      <c r="D607" s="183" t="inlineStr">
        <is>
          <t>Бруски обрезные хвойных пород длиной 2-3,75 м, шириной 75-150 мм, толщиной 100-125 мм, III сорта</t>
        </is>
      </c>
      <c r="E607" s="274" t="inlineStr">
        <is>
          <t>м3</t>
        </is>
      </c>
      <c r="F607" s="182" t="n">
        <v>0.0166</v>
      </c>
      <c r="G607" s="192" t="n">
        <v>1132.64</v>
      </c>
      <c r="H607" s="186">
        <f>ROUND(F607*G607,2)</f>
        <v/>
      </c>
    </row>
    <row r="608">
      <c r="A608" s="180" t="n">
        <v>593</v>
      </c>
      <c r="B608" s="248" t="n"/>
      <c r="C608" s="182" t="inlineStr">
        <is>
          <t>206-1339</t>
        </is>
      </c>
      <c r="D608" s="183" t="inlineStr">
        <is>
          <t>Подвес в комплекте</t>
        </is>
      </c>
      <c r="E608" s="274" t="inlineStr">
        <is>
          <t>шт.</t>
        </is>
      </c>
      <c r="F608" s="182" t="n">
        <v>5.11</v>
      </c>
      <c r="G608" s="192" t="n">
        <v>3.66</v>
      </c>
      <c r="H608" s="186">
        <f>ROUND(F608*G608,2)</f>
        <v/>
      </c>
    </row>
    <row r="609" ht="25.9" customHeight="1">
      <c r="A609" s="180" t="n">
        <v>594</v>
      </c>
      <c r="B609" s="248" t="n"/>
      <c r="C609" s="182" t="inlineStr">
        <is>
          <t>507-0588</t>
        </is>
      </c>
      <c r="D609" s="183" t="inlineStr">
        <is>
          <t>Трубы напорные из полиэтилена низкого давления среднего типа, наружным диаметром 25 мм</t>
        </is>
      </c>
      <c r="E609" s="274" t="inlineStr">
        <is>
          <t>10 м</t>
        </is>
      </c>
      <c r="F609" s="182" t="n">
        <v>0.309</v>
      </c>
      <c r="G609" s="192" t="n">
        <v>58.56</v>
      </c>
      <c r="H609" s="186">
        <f>ROUND(F609*G609,2)</f>
        <v/>
      </c>
    </row>
    <row r="610" ht="25.9" customHeight="1">
      <c r="A610" s="180" t="n">
        <v>595</v>
      </c>
      <c r="B610" s="248" t="n"/>
      <c r="C610" s="182" t="inlineStr">
        <is>
          <t>101-4848</t>
        </is>
      </c>
      <c r="D610" s="183" t="inlineStr">
        <is>
          <t>Уголок внутренний для пластикового плинтуса, высота 48 мм</t>
        </is>
      </c>
      <c r="E610" s="274" t="inlineStr">
        <is>
          <t>шт.</t>
        </is>
      </c>
      <c r="F610" s="182" t="n">
        <v>14</v>
      </c>
      <c r="G610" s="192" t="n">
        <v>1.28</v>
      </c>
      <c r="H610" s="186">
        <f>ROUND(F610*G610,2)</f>
        <v/>
      </c>
    </row>
    <row r="611" ht="25.9" customHeight="1">
      <c r="A611" s="180" t="n">
        <v>596</v>
      </c>
      <c r="B611" s="248" t="n"/>
      <c r="C611" s="182" t="inlineStr">
        <is>
          <t>101-4847</t>
        </is>
      </c>
      <c r="D611" s="183" t="inlineStr">
        <is>
          <t>Уголок наружный для пластикового плинтуса, высота 48 мм</t>
        </is>
      </c>
      <c r="E611" s="274" t="inlineStr">
        <is>
          <t>шт.</t>
        </is>
      </c>
      <c r="F611" s="182" t="n">
        <v>14</v>
      </c>
      <c r="G611" s="192" t="n">
        <v>1.28</v>
      </c>
      <c r="H611" s="186">
        <f>ROUND(F611*G611,2)</f>
        <v/>
      </c>
    </row>
    <row r="612">
      <c r="A612" s="180" t="n">
        <v>597</v>
      </c>
      <c r="B612" s="248" t="n"/>
      <c r="C612" s="182" t="inlineStr">
        <is>
          <t>101-0115</t>
        </is>
      </c>
      <c r="D612" s="183" t="inlineStr">
        <is>
          <t>Винты с полукруглой головкой длиной 50 мм</t>
        </is>
      </c>
      <c r="E612" s="274" t="inlineStr">
        <is>
          <t>т</t>
        </is>
      </c>
      <c r="F612" s="182" t="n">
        <v>0.0013</v>
      </c>
      <c r="G612" s="192" t="n">
        <v>12430</v>
      </c>
      <c r="H612" s="186">
        <f>ROUND(F612*G612,2)</f>
        <v/>
      </c>
    </row>
    <row r="613">
      <c r="A613" s="180" t="n">
        <v>598</v>
      </c>
      <c r="B613" s="248" t="n"/>
      <c r="C613" s="182" t="inlineStr">
        <is>
          <t>203-0516</t>
        </is>
      </c>
      <c r="D613" s="183" t="inlineStr">
        <is>
          <t>Рейки деревянные 8х18 мм</t>
        </is>
      </c>
      <c r="E613" s="274" t="inlineStr">
        <is>
          <t>м3</t>
        </is>
      </c>
      <c r="F613" s="182" t="n">
        <v>0.0061</v>
      </c>
      <c r="G613" s="192" t="n">
        <v>2500</v>
      </c>
      <c r="H613" s="186">
        <f>ROUND(F613*G613,2)</f>
        <v/>
      </c>
    </row>
    <row r="614" ht="25.9" customHeight="1">
      <c r="A614" s="180" t="n">
        <v>599</v>
      </c>
      <c r="B614" s="248" t="n"/>
      <c r="C614" s="182" t="inlineStr">
        <is>
          <t>101-2218</t>
        </is>
      </c>
      <c r="D614" s="183" t="inlineStr">
        <is>
          <t>Сталь тонколистовая углеродистая обыкновенного качества толщиной 1,6-1,7 мм</t>
        </is>
      </c>
      <c r="E614" s="274" t="inlineStr">
        <is>
          <t>т</t>
        </is>
      </c>
      <c r="F614" s="182" t="n">
        <v>0.0028</v>
      </c>
      <c r="G614" s="192" t="n">
        <v>5325</v>
      </c>
      <c r="H614" s="186">
        <f>ROUND(F614*G614,2)</f>
        <v/>
      </c>
    </row>
    <row r="615" ht="25.9" customHeight="1">
      <c r="A615" s="180" t="n">
        <v>600</v>
      </c>
      <c r="B615" s="248" t="n"/>
      <c r="C615" s="182" t="inlineStr">
        <is>
          <t>113-8076</t>
        </is>
      </c>
      <c r="D615" s="183" t="inlineStr">
        <is>
          <t>Клей для приклеивания минеральной ваты типа "BOLIX ZW"</t>
        </is>
      </c>
      <c r="E615" s="274" t="inlineStr">
        <is>
          <t>кг</t>
        </is>
      </c>
      <c r="F615" s="182" t="n">
        <v>2.163</v>
      </c>
      <c r="G615" s="192" t="n">
        <v>6.2</v>
      </c>
      <c r="H615" s="186">
        <f>ROUND(F615*G615,2)</f>
        <v/>
      </c>
    </row>
    <row r="616" ht="25.9" customHeight="1">
      <c r="A616" s="180" t="n">
        <v>601</v>
      </c>
      <c r="B616" s="248" t="n"/>
      <c r="C616" s="182" t="inlineStr">
        <is>
          <t>102-0008</t>
        </is>
      </c>
      <c r="D616" s="183" t="inlineStr">
        <is>
          <t>Лесоматериалы круглые хвойных пород для строительства диаметром 14-24 см, длиной 3-6,5 м</t>
        </is>
      </c>
      <c r="E616" s="274" t="inlineStr">
        <is>
          <t>м3</t>
        </is>
      </c>
      <c r="F616" s="182" t="n">
        <v>0.0234</v>
      </c>
      <c r="G616" s="192" t="n">
        <v>558.33</v>
      </c>
      <c r="H616" s="186">
        <f>ROUND(F616*G616,2)</f>
        <v/>
      </c>
    </row>
    <row r="617">
      <c r="A617" s="180" t="n">
        <v>602</v>
      </c>
      <c r="B617" s="248" t="n"/>
      <c r="C617" s="182" t="inlineStr">
        <is>
          <t>509-1792</t>
        </is>
      </c>
      <c r="D617" s="183" t="inlineStr">
        <is>
          <t>Скобы скрепляющие и для подвеса</t>
        </is>
      </c>
      <c r="E617" s="274" t="inlineStr">
        <is>
          <t>кг</t>
        </is>
      </c>
      <c r="F617" s="182" t="n">
        <v>2</v>
      </c>
      <c r="G617" s="192" t="n">
        <v>6.5</v>
      </c>
      <c r="H617" s="186">
        <f>ROUND(F617*G617,2)</f>
        <v/>
      </c>
    </row>
    <row r="618">
      <c r="A618" s="180" t="n">
        <v>603</v>
      </c>
      <c r="B618" s="248" t="n"/>
      <c r="C618" s="182" t="inlineStr">
        <is>
          <t>101-0962</t>
        </is>
      </c>
      <c r="D618" s="183" t="inlineStr">
        <is>
          <t>Смазка солидол жировой марки «Ж»</t>
        </is>
      </c>
      <c r="E618" s="274" t="inlineStr">
        <is>
          <t>т</t>
        </is>
      </c>
      <c r="F618" s="182" t="n">
        <v>0.0013</v>
      </c>
      <c r="G618" s="192" t="n">
        <v>9661.5</v>
      </c>
      <c r="H618" s="186">
        <f>ROUND(F618*G618,2)</f>
        <v/>
      </c>
    </row>
    <row r="619" ht="25.9" customHeight="1">
      <c r="A619" s="180" t="n">
        <v>604</v>
      </c>
      <c r="B619" s="248" t="n"/>
      <c r="C619" s="182" t="inlineStr">
        <is>
          <t>101-2499</t>
        </is>
      </c>
      <c r="D619" s="183" t="inlineStr">
        <is>
          <t>Лента изоляционная прорезиненная односторонняя ширина 20 мм, толщина 0,25-0,35 мм</t>
        </is>
      </c>
      <c r="E619" s="274" t="inlineStr">
        <is>
          <t>кг</t>
        </is>
      </c>
      <c r="F619" s="182" t="n">
        <v>0.4005</v>
      </c>
      <c r="G619" s="192" t="n">
        <v>30.4</v>
      </c>
      <c r="H619" s="186">
        <f>ROUND(F619*G619,2)</f>
        <v/>
      </c>
    </row>
    <row r="620" ht="25.9" customHeight="1">
      <c r="A620" s="180" t="n">
        <v>605</v>
      </c>
      <c r="B620" s="248" t="n"/>
      <c r="C620" s="182" t="inlineStr">
        <is>
          <t>102-0026</t>
        </is>
      </c>
      <c r="D620" s="183" t="inlineStr">
        <is>
          <t>Бруски обрезные хвойных пород длиной 4-6,5 м, шириной 75-150 мм, толщиной 40-75 мм, IV сорта</t>
        </is>
      </c>
      <c r="E620" s="274" t="inlineStr">
        <is>
          <t>м3</t>
        </is>
      </c>
      <c r="F620" s="182" t="n">
        <v>0.0114</v>
      </c>
      <c r="G620" s="192" t="n">
        <v>1056</v>
      </c>
      <c r="H620" s="186">
        <f>ROUND(F620*G620,2)</f>
        <v/>
      </c>
    </row>
    <row r="621" ht="25.9" customHeight="1">
      <c r="A621" s="180" t="n">
        <v>606</v>
      </c>
      <c r="B621" s="248" t="n"/>
      <c r="C621" s="182" t="inlineStr">
        <is>
          <t>110-0007</t>
        </is>
      </c>
      <c r="D621" s="183" t="inlineStr">
        <is>
          <t>Болты сборочные с гайками и шайбами по классу прочности 5.8</t>
        </is>
      </c>
      <c r="E621" s="274" t="inlineStr">
        <is>
          <t>т</t>
        </is>
      </c>
      <c r="F621" s="182" t="n">
        <v>0.0008</v>
      </c>
      <c r="G621" s="192" t="n">
        <v>14969.51</v>
      </c>
      <c r="H621" s="186">
        <f>ROUND(F621*G621,2)</f>
        <v/>
      </c>
    </row>
    <row r="622">
      <c r="A622" s="180" t="n">
        <v>607</v>
      </c>
      <c r="B622" s="248" t="n"/>
      <c r="C622" s="182" t="inlineStr">
        <is>
          <t>101-2583</t>
        </is>
      </c>
      <c r="D622" s="183" t="inlineStr">
        <is>
          <t>Шуруп самонарезающий (TN) 3,5/25 мм</t>
        </is>
      </c>
      <c r="E622" s="274" t="inlineStr">
        <is>
          <t>шт.</t>
        </is>
      </c>
      <c r="F622" s="182" t="n">
        <v>573.2</v>
      </c>
      <c r="G622" s="192" t="n">
        <v>0.02</v>
      </c>
      <c r="H622" s="186">
        <f>ROUND(F622*G622,2)</f>
        <v/>
      </c>
    </row>
    <row r="623" ht="25.9" customHeight="1">
      <c r="A623" s="180" t="n">
        <v>608</v>
      </c>
      <c r="B623" s="248" t="n"/>
      <c r="C623" s="182" t="inlineStr">
        <is>
          <t>509-0967</t>
        </is>
      </c>
      <c r="D623" s="183" t="inlineStr">
        <is>
          <t>Прокладки из паронита марки ПМБ, толщиной 1 мм, диаметром 100 мм</t>
        </is>
      </c>
      <c r="E623" s="274" t="inlineStr">
        <is>
          <t>1000 шт.</t>
        </is>
      </c>
      <c r="F623" s="182" t="n">
        <v>0.002</v>
      </c>
      <c r="G623" s="192" t="n">
        <v>5650</v>
      </c>
      <c r="H623" s="186">
        <f>ROUND(F623*G623,2)</f>
        <v/>
      </c>
    </row>
    <row r="624" ht="25.9" customHeight="1">
      <c r="A624" s="180" t="n">
        <v>609</v>
      </c>
      <c r="B624" s="248" t="n"/>
      <c r="C624" s="182" t="inlineStr">
        <is>
          <t>302-1237</t>
        </is>
      </c>
      <c r="D624" s="183" t="inlineStr">
        <is>
          <t>Сгоны стальные с муфтой и контргайкой, диаметром 20 мм</t>
        </is>
      </c>
      <c r="E624" s="274" t="inlineStr">
        <is>
          <t>шт.</t>
        </is>
      </c>
      <c r="F624" s="182" t="n">
        <v>1</v>
      </c>
      <c r="G624" s="192" t="n">
        <v>10.96</v>
      </c>
      <c r="H624" s="186">
        <f>ROUND(F624*G624,2)</f>
        <v/>
      </c>
    </row>
    <row r="625">
      <c r="A625" s="180" t="n">
        <v>610</v>
      </c>
      <c r="B625" s="248" t="n"/>
      <c r="C625" s="182" t="inlineStr">
        <is>
          <t>101-0628</t>
        </is>
      </c>
      <c r="D625" s="183" t="inlineStr">
        <is>
          <t>Олифа комбинированная, марки К-3</t>
        </is>
      </c>
      <c r="E625" s="274" t="inlineStr">
        <is>
          <t>т</t>
        </is>
      </c>
      <c r="F625" s="182" t="n">
        <v>0.0005999999999999999</v>
      </c>
      <c r="G625" s="192" t="n">
        <v>16950</v>
      </c>
      <c r="H625" s="186">
        <f>ROUND(F625*G625,2)</f>
        <v/>
      </c>
    </row>
    <row r="626" ht="25.9" customHeight="1">
      <c r="A626" s="180" t="n">
        <v>611</v>
      </c>
      <c r="B626" s="248" t="n"/>
      <c r="C626" s="182" t="inlineStr">
        <is>
          <t>101-4850</t>
        </is>
      </c>
      <c r="D626" s="183" t="inlineStr">
        <is>
          <t>Заглушка торцевая для пластикового плинтуса левая, высота 48 мм</t>
        </is>
      </c>
      <c r="E626" s="274" t="inlineStr">
        <is>
          <t>шт.</t>
        </is>
      </c>
      <c r="F626" s="182" t="n">
        <v>16</v>
      </c>
      <c r="G626" s="192" t="n">
        <v>0.63</v>
      </c>
      <c r="H626" s="186">
        <f>ROUND(F626*G626,2)</f>
        <v/>
      </c>
    </row>
    <row r="627" ht="25.9" customHeight="1">
      <c r="A627" s="180" t="n">
        <v>612</v>
      </c>
      <c r="B627" s="248" t="n"/>
      <c r="C627" s="182" t="inlineStr">
        <is>
          <t>101-4851</t>
        </is>
      </c>
      <c r="D627" s="183" t="inlineStr">
        <is>
          <t>Заглушки торцевая для пластикового плинтуса правая, высота 48 мм</t>
        </is>
      </c>
      <c r="E627" s="274" t="inlineStr">
        <is>
          <t>шт.</t>
        </is>
      </c>
      <c r="F627" s="182" t="n">
        <v>16</v>
      </c>
      <c r="G627" s="192" t="n">
        <v>0.63</v>
      </c>
      <c r="H627" s="186">
        <f>ROUND(F627*G627,2)</f>
        <v/>
      </c>
    </row>
    <row r="628" ht="25.9" customHeight="1">
      <c r="A628" s="180" t="n">
        <v>613</v>
      </c>
      <c r="B628" s="248" t="n"/>
      <c r="C628" s="182" t="inlineStr">
        <is>
          <t>509-0919</t>
        </is>
      </c>
      <c r="D628" s="183" t="inlineStr">
        <is>
          <t>Картон асбестовый общего назначения марки КАОН-1 толщиной 4 и 6 мм</t>
        </is>
      </c>
      <c r="E628" s="274" t="inlineStr">
        <is>
          <t>т</t>
        </is>
      </c>
      <c r="F628" s="182" t="n">
        <v>0.002</v>
      </c>
      <c r="G628" s="192" t="n">
        <v>5040</v>
      </c>
      <c r="H628" s="186">
        <f>ROUND(F628*G628,2)</f>
        <v/>
      </c>
    </row>
    <row r="629">
      <c r="A629" s="180" t="n">
        <v>614</v>
      </c>
      <c r="B629" s="248" t="n"/>
      <c r="C629" s="182" t="inlineStr">
        <is>
          <t>405-0219</t>
        </is>
      </c>
      <c r="D629" s="183" t="inlineStr">
        <is>
          <t>Гипсовые вяжущие, марка Г3</t>
        </is>
      </c>
      <c r="E629" s="274" t="inlineStr">
        <is>
          <t>т</t>
        </is>
      </c>
      <c r="F629" s="182" t="n">
        <v>0.0135</v>
      </c>
      <c r="G629" s="192" t="n">
        <v>729.98</v>
      </c>
      <c r="H629" s="186">
        <f>ROUND(F629*G629,2)</f>
        <v/>
      </c>
    </row>
    <row r="630" ht="25.9" customHeight="1">
      <c r="A630" s="180" t="n">
        <v>615</v>
      </c>
      <c r="B630" s="248" t="n"/>
      <c r="C630" s="182" t="inlineStr">
        <is>
          <t>402-0087</t>
        </is>
      </c>
      <c r="D630" s="183" t="inlineStr">
        <is>
          <t>Раствор готовый отделочный тяжелый, известковый 1:2,0</t>
        </is>
      </c>
      <c r="E630" s="274" t="inlineStr">
        <is>
          <t>м3</t>
        </is>
      </c>
      <c r="F630" s="182" t="n">
        <v>0.0209</v>
      </c>
      <c r="G630" s="192" t="n">
        <v>458</v>
      </c>
      <c r="H630" s="186">
        <f>ROUND(F630*G630,2)</f>
        <v/>
      </c>
    </row>
    <row r="631">
      <c r="A631" s="180" t="n">
        <v>616</v>
      </c>
      <c r="B631" s="248" t="n"/>
      <c r="C631" s="182" t="inlineStr">
        <is>
          <t>101-0179</t>
        </is>
      </c>
      <c r="D631" s="183" t="inlineStr">
        <is>
          <t>Гвозди строительные с плоской головкой 1,6x50 мм</t>
        </is>
      </c>
      <c r="E631" s="274" t="inlineStr">
        <is>
          <t>т</t>
        </is>
      </c>
      <c r="F631" s="182" t="n">
        <v>0.0011</v>
      </c>
      <c r="G631" s="192" t="n">
        <v>8475</v>
      </c>
      <c r="H631" s="186">
        <f>ROUND(F631*G631,2)</f>
        <v/>
      </c>
    </row>
    <row r="632">
      <c r="A632" s="180" t="n">
        <v>617</v>
      </c>
      <c r="B632" s="248" t="n"/>
      <c r="C632" s="182" t="inlineStr">
        <is>
          <t>101-2437</t>
        </is>
      </c>
      <c r="D632" s="183" t="inlineStr">
        <is>
          <t>Шпаклевка «Унифлот», КНАУФ</t>
        </is>
      </c>
      <c r="E632" s="274" t="inlineStr">
        <is>
          <t>кг</t>
        </is>
      </c>
      <c r="F632" s="182" t="n">
        <v>1.236</v>
      </c>
      <c r="G632" s="192" t="n">
        <v>7.46</v>
      </c>
      <c r="H632" s="186">
        <f>ROUND(F632*G632,2)</f>
        <v/>
      </c>
    </row>
    <row r="633">
      <c r="A633" s="180" t="n">
        <v>618</v>
      </c>
      <c r="B633" s="248" t="n"/>
      <c r="C633" s="182" t="inlineStr">
        <is>
          <t>113-1777</t>
        </is>
      </c>
      <c r="D633" s="183" t="inlineStr">
        <is>
          <t>Паста антисептическая</t>
        </is>
      </c>
      <c r="E633" s="274" t="inlineStr">
        <is>
          <t>т</t>
        </is>
      </c>
      <c r="F633" s="182" t="n">
        <v>0.0005999999999999999</v>
      </c>
      <c r="G633" s="192" t="n">
        <v>15255</v>
      </c>
      <c r="H633" s="186">
        <f>ROUND(F633*G633,2)</f>
        <v/>
      </c>
    </row>
    <row r="634">
      <c r="A634" s="180" t="n">
        <v>619</v>
      </c>
      <c r="B634" s="248" t="n"/>
      <c r="C634" s="182" t="inlineStr">
        <is>
          <t>101-0816</t>
        </is>
      </c>
      <c r="D634" s="183" t="inlineStr">
        <is>
          <t>Проволока светлая диаметром 1,1 мм</t>
        </is>
      </c>
      <c r="E634" s="274" t="inlineStr">
        <is>
          <t>т</t>
        </is>
      </c>
      <c r="F634" s="182" t="n">
        <v>0.0008</v>
      </c>
      <c r="G634" s="192" t="n">
        <v>10200</v>
      </c>
      <c r="H634" s="186">
        <f>ROUND(F634*G634,2)</f>
        <v/>
      </c>
    </row>
    <row r="635" ht="25.9" customHeight="1">
      <c r="A635" s="180" t="n">
        <v>620</v>
      </c>
      <c r="B635" s="248" t="n"/>
      <c r="C635" s="182" t="inlineStr">
        <is>
          <t>101-1755</t>
        </is>
      </c>
      <c r="D635" s="183" t="inlineStr">
        <is>
          <t>Сталь полосовая, марка стали Ст3сп шириной 50-200 мм толщиной 4-5 мм</t>
        </is>
      </c>
      <c r="E635" s="274" t="inlineStr">
        <is>
          <t>т</t>
        </is>
      </c>
      <c r="F635" s="182" t="n">
        <v>0.0016</v>
      </c>
      <c r="G635" s="192" t="n">
        <v>5000</v>
      </c>
      <c r="H635" s="186">
        <f>ROUND(F635*G635,2)</f>
        <v/>
      </c>
    </row>
    <row r="636" ht="25.5" customHeight="1">
      <c r="A636" s="180" t="n">
        <v>621</v>
      </c>
      <c r="B636" s="248" t="n"/>
      <c r="C636" s="182" t="inlineStr">
        <is>
          <t>101-1591</t>
        </is>
      </c>
      <c r="D636" s="183" t="inlineStr">
        <is>
          <t>Смола каменноугольная для дорожного строительства</t>
        </is>
      </c>
      <c r="E636" s="274" t="inlineStr">
        <is>
          <t>т</t>
        </is>
      </c>
      <c r="F636" s="182" t="n">
        <v>0.0047</v>
      </c>
      <c r="G636" s="192" t="n">
        <v>1695</v>
      </c>
      <c r="H636" s="186">
        <f>ROUND(F636*G636,2)</f>
        <v/>
      </c>
    </row>
    <row r="637">
      <c r="A637" s="180" t="n">
        <v>622</v>
      </c>
      <c r="B637" s="248" t="n"/>
      <c r="C637" s="182" t="inlineStr">
        <is>
          <t>101-1847</t>
        </is>
      </c>
      <c r="D637" s="183" t="inlineStr">
        <is>
          <t>Замазка защитная</t>
        </is>
      </c>
      <c r="E637" s="274" t="inlineStr">
        <is>
          <t>кг</t>
        </is>
      </c>
      <c r="F637" s="182" t="n">
        <v>0.8</v>
      </c>
      <c r="G637" s="192" t="n">
        <v>9.609999999999999</v>
      </c>
      <c r="H637" s="186">
        <f>ROUND(F637*G637,2)</f>
        <v/>
      </c>
    </row>
    <row r="638">
      <c r="A638" s="180" t="n">
        <v>623</v>
      </c>
      <c r="B638" s="248" t="n"/>
      <c r="C638" s="182" t="inlineStr">
        <is>
          <t>113-0312</t>
        </is>
      </c>
      <c r="D638" s="183" t="inlineStr">
        <is>
          <t>Графит измельченный</t>
        </is>
      </c>
      <c r="E638" s="274" t="inlineStr">
        <is>
          <t>т</t>
        </is>
      </c>
      <c r="F638" s="182" t="n">
        <v>0.0021</v>
      </c>
      <c r="G638" s="192" t="n">
        <v>3622.8</v>
      </c>
      <c r="H638" s="186">
        <f>ROUND(F638*G638,2)</f>
        <v/>
      </c>
    </row>
    <row r="639">
      <c r="A639" s="180" t="n">
        <v>624</v>
      </c>
      <c r="B639" s="248" t="n"/>
      <c r="C639" s="182" t="inlineStr">
        <is>
          <t>101-0807</t>
        </is>
      </c>
      <c r="D639" s="183" t="inlineStr">
        <is>
          <t>Проволока сварочная легированная диаметром 4 мм</t>
        </is>
      </c>
      <c r="E639" s="274" t="inlineStr">
        <is>
          <t>т</t>
        </is>
      </c>
      <c r="F639" s="182" t="n">
        <v>0.0005</v>
      </c>
      <c r="G639" s="192" t="n">
        <v>13560</v>
      </c>
      <c r="H639" s="186">
        <f>ROUND(F639*G639,2)</f>
        <v/>
      </c>
    </row>
    <row r="640" ht="25.9" customHeight="1">
      <c r="A640" s="180" t="n">
        <v>625</v>
      </c>
      <c r="B640" s="248" t="n"/>
      <c r="C640" s="182" t="inlineStr">
        <is>
          <t>101-1821</t>
        </is>
      </c>
      <c r="D640" s="183" t="inlineStr">
        <is>
          <t>Винты самонарезающие оцинкованные, размером 4-12 мм ГОСТ 10621-80</t>
        </is>
      </c>
      <c r="E640" s="274" t="inlineStr">
        <is>
          <t>т</t>
        </is>
      </c>
      <c r="F640" s="182" t="n">
        <v>0.0002</v>
      </c>
      <c r="G640" s="192" t="n">
        <v>33180</v>
      </c>
      <c r="H640" s="186">
        <f>ROUND(F640*G640,2)</f>
        <v/>
      </c>
    </row>
    <row r="641">
      <c r="A641" s="180" t="n">
        <v>626</v>
      </c>
      <c r="B641" s="248" t="n"/>
      <c r="C641" s="182" t="inlineStr">
        <is>
          <t>101-2203</t>
        </is>
      </c>
      <c r="D641" s="183" t="inlineStr">
        <is>
          <t>Дюбели распорные полиэтиленовые 8х30 мм</t>
        </is>
      </c>
      <c r="E641" s="274" t="inlineStr">
        <is>
          <t>10 шт.</t>
        </is>
      </c>
      <c r="F641" s="182" t="n">
        <v>3.6</v>
      </c>
      <c r="G641" s="192" t="n">
        <v>1.8</v>
      </c>
      <c r="H641" s="186">
        <f>ROUND(F641*G641,2)</f>
        <v/>
      </c>
    </row>
    <row r="642" ht="25.9" customHeight="1">
      <c r="A642" s="180" t="n">
        <v>627</v>
      </c>
      <c r="B642" s="248" t="n"/>
      <c r="C642" s="182" t="inlineStr">
        <is>
          <t>507-0591</t>
        </is>
      </c>
      <c r="D642" s="183" t="inlineStr">
        <is>
          <t>Трубы напорные из полиэтилена низкого давления среднего типа, наружным диаметром 50 мм</t>
        </is>
      </c>
      <c r="E642" s="274" t="inlineStr">
        <is>
          <t>10 м</t>
        </is>
      </c>
      <c r="F642" s="182" t="n">
        <v>0.036</v>
      </c>
      <c r="G642" s="192" t="n">
        <v>172.8</v>
      </c>
      <c r="H642" s="186">
        <f>ROUND(F642*G642,2)</f>
        <v/>
      </c>
    </row>
    <row r="643">
      <c r="A643" s="180" t="n">
        <v>628</v>
      </c>
      <c r="B643" s="248" t="n"/>
      <c r="C643" s="182" t="inlineStr">
        <is>
          <t>301-0035</t>
        </is>
      </c>
      <c r="D643" s="183" t="inlineStr">
        <is>
          <t>Прочистка для газохода</t>
        </is>
      </c>
      <c r="E643" s="274" t="inlineStr">
        <is>
          <t>шт.</t>
        </is>
      </c>
      <c r="F643" s="182" t="n">
        <v>1</v>
      </c>
      <c r="G643" s="192" t="n">
        <v>6.2</v>
      </c>
      <c r="H643" s="186">
        <f>ROUND(F643*G643,2)</f>
        <v/>
      </c>
    </row>
    <row r="644">
      <c r="A644" s="180" t="n">
        <v>629</v>
      </c>
      <c r="B644" s="248" t="n"/>
      <c r="C644" s="182" t="inlineStr">
        <is>
          <t>101-2040</t>
        </is>
      </c>
      <c r="D644" s="183" t="inlineStr">
        <is>
          <t>Шайбы стальные</t>
        </is>
      </c>
      <c r="E644" s="274" t="inlineStr">
        <is>
          <t>т</t>
        </is>
      </c>
      <c r="F644" s="182" t="n">
        <v>0.0005999999999999999</v>
      </c>
      <c r="G644" s="192" t="n">
        <v>10208</v>
      </c>
      <c r="H644" s="186">
        <f>ROUND(F644*G644,2)</f>
        <v/>
      </c>
    </row>
    <row r="645">
      <c r="A645" s="180" t="n">
        <v>630</v>
      </c>
      <c r="B645" s="248" t="n"/>
      <c r="C645" s="182" t="inlineStr">
        <is>
          <t>101-2041</t>
        </is>
      </c>
      <c r="D645" s="183" t="inlineStr">
        <is>
          <t>Шайбы оцинкованные, диаметр 6 мм</t>
        </is>
      </c>
      <c r="E645" s="274" t="inlineStr">
        <is>
          <t>кг</t>
        </is>
      </c>
      <c r="F645" s="182" t="n">
        <v>0.21</v>
      </c>
      <c r="G645" s="192" t="n">
        <v>27.72</v>
      </c>
      <c r="H645" s="186">
        <f>ROUND(F645*G645,2)</f>
        <v/>
      </c>
    </row>
    <row r="646" ht="25.9" customHeight="1">
      <c r="A646" s="180" t="n">
        <v>631</v>
      </c>
      <c r="B646" s="248" t="n"/>
      <c r="C646" s="182" t="inlineStr">
        <is>
          <t>102-0062</t>
        </is>
      </c>
      <c r="D646" s="183" t="inlineStr">
        <is>
          <t>Доски обрезные хвойных пород длиной 4-6,5 м, шириной 75-150 мм, толщиной 44 мм и более, IV сорта</t>
        </is>
      </c>
      <c r="E646" s="274" t="inlineStr">
        <is>
          <t>м3</t>
        </is>
      </c>
      <c r="F646" s="182" t="n">
        <v>0.007</v>
      </c>
      <c r="G646" s="192" t="n">
        <v>770</v>
      </c>
      <c r="H646" s="186">
        <f>ROUND(F646*G646,2)</f>
        <v/>
      </c>
    </row>
    <row r="647">
      <c r="A647" s="180" t="n">
        <v>632</v>
      </c>
      <c r="B647" s="248" t="n"/>
      <c r="C647" s="182" t="inlineStr">
        <is>
          <t>507-0701</t>
        </is>
      </c>
      <c r="D647" s="183" t="inlineStr">
        <is>
          <t>Трубка полихлорвиниловая</t>
        </is>
      </c>
      <c r="E647" s="274" t="inlineStr">
        <is>
          <t>кг</t>
        </is>
      </c>
      <c r="F647" s="182" t="n">
        <v>0.144</v>
      </c>
      <c r="G647" s="192" t="n">
        <v>35.7</v>
      </c>
      <c r="H647" s="186">
        <f>ROUND(F647*G647,2)</f>
        <v/>
      </c>
    </row>
    <row r="648">
      <c r="A648" s="180" t="n">
        <v>633</v>
      </c>
      <c r="B648" s="248" t="n"/>
      <c r="C648" s="182" t="inlineStr">
        <is>
          <t>101-1747</t>
        </is>
      </c>
      <c r="D648" s="183" t="inlineStr">
        <is>
          <t>Рубероид морозостойкий РПМ-300</t>
        </is>
      </c>
      <c r="E648" s="274" t="inlineStr">
        <is>
          <t>м2</t>
        </is>
      </c>
      <c r="F648" s="182" t="n">
        <v>0.8290999999999999</v>
      </c>
      <c r="G648" s="192" t="n">
        <v>6.08</v>
      </c>
      <c r="H648" s="186">
        <f>ROUND(F648*G648,2)</f>
        <v/>
      </c>
    </row>
    <row r="649" ht="25.9" customHeight="1">
      <c r="A649" s="180" t="n">
        <v>634</v>
      </c>
      <c r="B649" s="248" t="n"/>
      <c r="C649" s="182" t="inlineStr">
        <is>
          <t>404-0276</t>
        </is>
      </c>
      <c r="D649" s="183" t="inlineStr">
        <is>
          <t>Кирпич глиняный для дымовых труб, размером 250х120х65 мм, марка 125</t>
        </is>
      </c>
      <c r="E649" s="274" t="inlineStr">
        <is>
          <t>1000 шт.</t>
        </is>
      </c>
      <c r="F649" s="182" t="n">
        <v>0.002</v>
      </c>
      <c r="G649" s="192" t="n">
        <v>2200</v>
      </c>
      <c r="H649" s="186">
        <f>ROUND(F649*G649,2)</f>
        <v/>
      </c>
    </row>
    <row r="650" ht="25.9" customHeight="1">
      <c r="A650" s="180" t="n">
        <v>635</v>
      </c>
      <c r="B650" s="248" t="n"/>
      <c r="C650" s="182" t="inlineStr">
        <is>
          <t>101-2474</t>
        </is>
      </c>
      <c r="D650" s="183" t="inlineStr">
        <is>
          <t>Лента бумажная для повышения трещиностойкости стыков ГКЛ и ГВЛ</t>
        </is>
      </c>
      <c r="E650" s="274" t="inlineStr">
        <is>
          <t>м</t>
        </is>
      </c>
      <c r="F650" s="182" t="n">
        <v>25.65</v>
      </c>
      <c r="G650" s="192" t="n">
        <v>0.17</v>
      </c>
      <c r="H650" s="186">
        <f>ROUND(F650*G650,2)</f>
        <v/>
      </c>
    </row>
    <row r="651">
      <c r="A651" s="180" t="n">
        <v>636</v>
      </c>
      <c r="B651" s="248" t="n"/>
      <c r="C651" s="182" t="inlineStr">
        <is>
          <t>101-2590</t>
        </is>
      </c>
      <c r="D651" s="183" t="inlineStr">
        <is>
          <t>Дюбель с шурупом 6/35 мм</t>
        </is>
      </c>
      <c r="E651" s="274" t="inlineStr">
        <is>
          <t>шт.</t>
        </is>
      </c>
      <c r="F651" s="182" t="n">
        <v>47.28</v>
      </c>
      <c r="G651" s="192" t="n">
        <v>0.08</v>
      </c>
      <c r="H651" s="186">
        <f>ROUND(F651*G651,2)</f>
        <v/>
      </c>
    </row>
    <row r="652">
      <c r="A652" s="180" t="n">
        <v>637</v>
      </c>
      <c r="B652" s="248" t="n"/>
      <c r="C652" s="182" t="inlineStr">
        <is>
          <t>101-1483</t>
        </is>
      </c>
      <c r="D652" s="183" t="inlineStr">
        <is>
          <t>Шурупы с полукруглой головкой 6х40 мм</t>
        </is>
      </c>
      <c r="E652" s="274" t="inlineStr">
        <is>
          <t>т</t>
        </is>
      </c>
      <c r="F652" s="182" t="n">
        <v>0.0003</v>
      </c>
      <c r="G652" s="192" t="n">
        <v>12430</v>
      </c>
      <c r="H652" s="186">
        <f>ROUND(F652*G652,2)</f>
        <v/>
      </c>
    </row>
    <row r="653">
      <c r="A653" s="180" t="n">
        <v>638</v>
      </c>
      <c r="B653" s="248" t="n"/>
      <c r="C653" s="182" t="inlineStr">
        <is>
          <t>101-2478</t>
        </is>
      </c>
      <c r="D653" s="183" t="inlineStr">
        <is>
          <t>Лента К226</t>
        </is>
      </c>
      <c r="E653" s="274" t="inlineStr">
        <is>
          <t>100 м</t>
        </is>
      </c>
      <c r="F653" s="182" t="n">
        <v>0.029</v>
      </c>
      <c r="G653" s="192" t="n">
        <v>120</v>
      </c>
      <c r="H653" s="186">
        <f>ROUND(F653*G653,2)</f>
        <v/>
      </c>
    </row>
    <row r="654">
      <c r="A654" s="180" t="n">
        <v>639</v>
      </c>
      <c r="B654" s="248" t="n"/>
      <c r="C654" s="182" t="inlineStr">
        <is>
          <t>101-1484</t>
        </is>
      </c>
      <c r="D654" s="183" t="inlineStr">
        <is>
          <t>Шурупы с полукруглой головкой 8x100 мм</t>
        </is>
      </c>
      <c r="E654" s="274" t="inlineStr">
        <is>
          <t>т</t>
        </is>
      </c>
      <c r="F654" s="182" t="n">
        <v>0.0003</v>
      </c>
      <c r="G654" s="192" t="n">
        <v>11350</v>
      </c>
      <c r="H654" s="186">
        <f>ROUND(F654*G654,2)</f>
        <v/>
      </c>
    </row>
    <row r="655" ht="38.85" customHeight="1">
      <c r="A655" s="180" t="n">
        <v>640</v>
      </c>
      <c r="B655" s="248" t="n"/>
      <c r="C655" s="182" t="inlineStr">
        <is>
          <t>103-1142</t>
        </is>
      </c>
      <c r="D655" s="183" t="inlineStr">
        <is>
          <t>Муфты переходные из ковкого чугуна с цилиндрической резьбой условным проходом 25х15 мм</t>
        </is>
      </c>
      <c r="E655" s="274" t="inlineStr">
        <is>
          <t>10 шт.</t>
        </is>
      </c>
      <c r="F655" s="182" t="n">
        <v>0.1</v>
      </c>
      <c r="G655" s="192" t="n">
        <v>33.39</v>
      </c>
      <c r="H655" s="186">
        <f>ROUND(F655*G655,2)</f>
        <v/>
      </c>
    </row>
    <row r="656">
      <c r="A656" s="180" t="n">
        <v>641</v>
      </c>
      <c r="B656" s="248" t="n"/>
      <c r="C656" s="182" t="inlineStr">
        <is>
          <t>101-2356</t>
        </is>
      </c>
      <c r="D656" s="183" t="inlineStr">
        <is>
          <t>Бумага шлифовальная</t>
        </is>
      </c>
      <c r="E656" s="274" t="inlineStr">
        <is>
          <t>1000 м2</t>
        </is>
      </c>
      <c r="F656" s="182" t="n">
        <v>0.0001</v>
      </c>
      <c r="G656" s="192" t="n">
        <v>32123.15</v>
      </c>
      <c r="H656" s="186">
        <f>ROUND(F656*G656,2)</f>
        <v/>
      </c>
    </row>
    <row r="657">
      <c r="A657" s="180" t="n">
        <v>642</v>
      </c>
      <c r="B657" s="248" t="n"/>
      <c r="C657" s="182" t="inlineStr">
        <is>
          <t>101-1477</t>
        </is>
      </c>
      <c r="D657" s="183" t="inlineStr">
        <is>
          <t>Шурупы с полукруглой головкой 2,5х20 мм</t>
        </is>
      </c>
      <c r="E657" s="274" t="inlineStr">
        <is>
          <t>т</t>
        </is>
      </c>
      <c r="F657" s="182" t="n">
        <v>0.0001</v>
      </c>
      <c r="G657" s="192" t="n">
        <v>29800</v>
      </c>
      <c r="H657" s="186">
        <f>ROUND(F657*G657,2)</f>
        <v/>
      </c>
    </row>
    <row r="658" ht="25.9" customHeight="1">
      <c r="A658" s="180" t="n">
        <v>643</v>
      </c>
      <c r="B658" s="248" t="n"/>
      <c r="C658" s="182" t="inlineStr">
        <is>
          <t>101-1305</t>
        </is>
      </c>
      <c r="D658" s="183" t="inlineStr">
        <is>
          <t>Портландцемент общестроительного назначения бездобавочный, марки 400</t>
        </is>
      </c>
      <c r="E658" s="274" t="inlineStr">
        <is>
          <t>т</t>
        </is>
      </c>
      <c r="F658" s="182" t="n">
        <v>0.0057</v>
      </c>
      <c r="G658" s="192" t="n">
        <v>412</v>
      </c>
      <c r="H658" s="186">
        <f>ROUND(F658*G658,2)</f>
        <v/>
      </c>
    </row>
    <row r="659">
      <c r="A659" s="180" t="n">
        <v>644</v>
      </c>
      <c r="B659" s="248" t="n"/>
      <c r="C659" s="182" t="inlineStr">
        <is>
          <t>101-1014</t>
        </is>
      </c>
      <c r="D659" s="183" t="inlineStr">
        <is>
          <t>Балки двутавровые № 60 из стали марки Ст6пс</t>
        </is>
      </c>
      <c r="E659" s="274" t="inlineStr">
        <is>
          <t>т</t>
        </is>
      </c>
      <c r="F659" s="182" t="n">
        <v>0.0005</v>
      </c>
      <c r="G659" s="192" t="n">
        <v>4669.23</v>
      </c>
      <c r="H659" s="186">
        <f>ROUND(F659*G659,2)</f>
        <v/>
      </c>
    </row>
    <row r="660">
      <c r="A660" s="180" t="n">
        <v>645</v>
      </c>
      <c r="B660" s="248" t="n"/>
      <c r="C660" s="182" t="inlineStr">
        <is>
          <t>113-0003</t>
        </is>
      </c>
      <c r="D660" s="183" t="inlineStr">
        <is>
          <t>Ацетон технический, сорт I</t>
        </is>
      </c>
      <c r="E660" s="274" t="inlineStr">
        <is>
          <t>т</t>
        </is>
      </c>
      <c r="F660" s="182" t="n">
        <v>0.0003</v>
      </c>
      <c r="G660" s="192" t="n">
        <v>7716.7</v>
      </c>
      <c r="H660" s="186">
        <f>ROUND(F660*G660,2)</f>
        <v/>
      </c>
    </row>
    <row r="661">
      <c r="A661" s="180" t="n">
        <v>646</v>
      </c>
      <c r="B661" s="248" t="n"/>
      <c r="C661" s="182" t="inlineStr">
        <is>
          <t>101-2186</t>
        </is>
      </c>
      <c r="D661" s="183" t="inlineStr">
        <is>
          <t>Шурупы с полукруглой головкой 6х90 мм</t>
        </is>
      </c>
      <c r="E661" s="274" t="inlineStr">
        <is>
          <t>т</t>
        </is>
      </c>
      <c r="F661" s="182" t="n">
        <v>0.0002</v>
      </c>
      <c r="G661" s="192" t="n">
        <v>11350</v>
      </c>
      <c r="H661" s="186">
        <f>ROUND(F661*G661,2)</f>
        <v/>
      </c>
    </row>
    <row r="662">
      <c r="A662" s="180" t="n">
        <v>647</v>
      </c>
      <c r="B662" s="248" t="n"/>
      <c r="C662" s="182" t="inlineStr">
        <is>
          <t>402-0018</t>
        </is>
      </c>
      <c r="D662" s="183" t="inlineStr">
        <is>
          <t>Смеси сухие известково-карбонатные штукатурные</t>
        </is>
      </c>
      <c r="E662" s="274" t="inlineStr">
        <is>
          <t>т</t>
        </is>
      </c>
      <c r="F662" s="182" t="n">
        <v>0.0015</v>
      </c>
      <c r="G662" s="192" t="n">
        <v>1470</v>
      </c>
      <c r="H662" s="186">
        <f>ROUND(F662*G662,2)</f>
        <v/>
      </c>
    </row>
    <row r="663" ht="25.9" customHeight="1">
      <c r="A663" s="180" t="n">
        <v>648</v>
      </c>
      <c r="B663" s="248" t="n"/>
      <c r="C663" s="182" t="inlineStr">
        <is>
          <t>102-0057</t>
        </is>
      </c>
      <c r="D663" s="183" t="inlineStr">
        <is>
          <t>Доски обрезные хвойных пород длиной 4-6,5 м, шириной 75-150 мм, толщиной 32-40 мм, III сорта</t>
        </is>
      </c>
      <c r="E663" s="274" t="inlineStr">
        <is>
          <t>м3</t>
        </is>
      </c>
      <c r="F663" s="182" t="n">
        <v>0.0018</v>
      </c>
      <c r="G663" s="192" t="n">
        <v>1155</v>
      </c>
      <c r="H663" s="186">
        <f>ROUND(F663*G663,2)</f>
        <v/>
      </c>
    </row>
    <row r="664">
      <c r="A664" s="180" t="n">
        <v>649</v>
      </c>
      <c r="B664" s="248" t="n"/>
      <c r="C664" s="182" t="inlineStr">
        <is>
          <t>101-2204</t>
        </is>
      </c>
      <c r="D664" s="183" t="inlineStr">
        <is>
          <t>Дюбели распорные полиэтиленовые 8х40 мм</t>
        </is>
      </c>
      <c r="E664" s="274" t="inlineStr">
        <is>
          <t>10 шт.</t>
        </is>
      </c>
      <c r="F664" s="182" t="n">
        <v>0.8</v>
      </c>
      <c r="G664" s="192" t="n">
        <v>2</v>
      </c>
      <c r="H664" s="186">
        <f>ROUND(F664*G664,2)</f>
        <v/>
      </c>
    </row>
    <row r="665">
      <c r="A665" s="180" t="n">
        <v>650</v>
      </c>
      <c r="B665" s="248" t="n"/>
      <c r="C665" s="182" t="inlineStr">
        <is>
          <t>201-0798</t>
        </is>
      </c>
      <c r="D665" s="183" t="inlineStr">
        <is>
          <t>Кондуктор инвентарный металлический</t>
        </is>
      </c>
      <c r="E665" s="274" t="inlineStr">
        <is>
          <t>шт.</t>
        </is>
      </c>
      <c r="F665" s="182" t="n">
        <v>0.0045</v>
      </c>
      <c r="G665" s="192" t="n">
        <v>346</v>
      </c>
      <c r="H665" s="186">
        <f>ROUND(F665*G665,2)</f>
        <v/>
      </c>
    </row>
    <row r="666" ht="25.5" customHeight="1">
      <c r="A666" s="180" t="n">
        <v>651</v>
      </c>
      <c r="B666" s="248" t="n"/>
      <c r="C666" s="182" t="inlineStr">
        <is>
          <t>101-3591</t>
        </is>
      </c>
      <c r="D666" s="183" t="inlineStr">
        <is>
          <t>Лента для заделки швов ГКЛ, серпянка, шириной 5см</t>
        </is>
      </c>
      <c r="E666" s="274" t="inlineStr">
        <is>
          <t>100 м</t>
        </is>
      </c>
      <c r="F666" s="182" t="n">
        <v>0.0752</v>
      </c>
      <c r="G666" s="192" t="n">
        <v>19.1</v>
      </c>
      <c r="H666" s="186">
        <f>ROUND(F666*G666,2)</f>
        <v/>
      </c>
    </row>
    <row r="667">
      <c r="A667" s="180" t="n">
        <v>652</v>
      </c>
      <c r="B667" s="248" t="n"/>
      <c r="C667" s="182" t="inlineStr">
        <is>
          <t>101-2184</t>
        </is>
      </c>
      <c r="D667" s="183" t="inlineStr">
        <is>
          <t>Шурупы с полукруглой головкой 6х60 мм</t>
        </is>
      </c>
      <c r="E667" s="274" t="inlineStr">
        <is>
          <t>т</t>
        </is>
      </c>
      <c r="F667" s="182" t="n">
        <v>0.0001</v>
      </c>
      <c r="G667" s="192" t="n">
        <v>12430</v>
      </c>
      <c r="H667" s="186">
        <f>ROUND(F667*G667,2)</f>
        <v/>
      </c>
    </row>
    <row r="668">
      <c r="A668" s="180" t="n">
        <v>653</v>
      </c>
      <c r="B668" s="248" t="n"/>
      <c r="C668" s="182" t="inlineStr">
        <is>
          <t>113-0074</t>
        </is>
      </c>
      <c r="D668" s="183" t="inlineStr">
        <is>
          <t>Клей фенолполивинилацетатный марки БФ-2, сорт I</t>
        </is>
      </c>
      <c r="E668" s="274" t="inlineStr">
        <is>
          <t>т</t>
        </is>
      </c>
      <c r="F668" s="182" t="n">
        <v>0.0001</v>
      </c>
      <c r="G668" s="192" t="n">
        <v>12330</v>
      </c>
      <c r="H668" s="186">
        <f>ROUND(F668*G668,2)</f>
        <v/>
      </c>
    </row>
    <row r="669">
      <c r="A669" s="180" t="n">
        <v>654</v>
      </c>
      <c r="B669" s="248" t="n"/>
      <c r="C669" s="182" t="inlineStr">
        <is>
          <t>101-0849</t>
        </is>
      </c>
      <c r="D669" s="183" t="inlineStr">
        <is>
          <t>Пластина резиновая рулонная вулканизированная</t>
        </is>
      </c>
      <c r="E669" s="274" t="inlineStr">
        <is>
          <t>кг</t>
        </is>
      </c>
      <c r="F669" s="182" t="n">
        <v>0.08</v>
      </c>
      <c r="G669" s="192" t="n">
        <v>13.56</v>
      </c>
      <c r="H669" s="186">
        <f>ROUND(F669*G669,2)</f>
        <v/>
      </c>
    </row>
    <row r="670">
      <c r="A670" s="180" t="n">
        <v>655</v>
      </c>
      <c r="B670" s="248" t="n"/>
      <c r="C670" s="182" t="inlineStr">
        <is>
          <t>101-1840</t>
        </is>
      </c>
      <c r="D670" s="183" t="inlineStr">
        <is>
          <t>Клей малярный жидкий</t>
        </is>
      </c>
      <c r="E670" s="274" t="inlineStr">
        <is>
          <t>кг</t>
        </is>
      </c>
      <c r="F670" s="182" t="n">
        <v>0.1176</v>
      </c>
      <c r="G670" s="192" t="n">
        <v>8.09</v>
      </c>
      <c r="H670" s="186">
        <f>ROUND(F670*G670,2)</f>
        <v/>
      </c>
    </row>
    <row r="671">
      <c r="A671" s="180" t="n">
        <v>656</v>
      </c>
      <c r="B671" s="248" t="n"/>
      <c r="C671" s="182" t="inlineStr">
        <is>
          <t>101-1825</t>
        </is>
      </c>
      <c r="D671" s="183" t="inlineStr">
        <is>
          <t>Олифа натуральная</t>
        </is>
      </c>
      <c r="E671" s="274" t="inlineStr">
        <is>
          <t>кг</t>
        </is>
      </c>
      <c r="F671" s="182" t="n">
        <v>0.026</v>
      </c>
      <c r="G671" s="192" t="n">
        <v>32.6</v>
      </c>
      <c r="H671" s="186">
        <f>ROUND(F671*G671,2)</f>
        <v/>
      </c>
    </row>
    <row r="672">
      <c r="A672" s="180" t="n">
        <v>657</v>
      </c>
      <c r="B672" s="248" t="n"/>
      <c r="C672" s="182" t="inlineStr">
        <is>
          <t>509-1210</t>
        </is>
      </c>
      <c r="D672" s="183" t="inlineStr">
        <is>
          <t>Вазелин технический</t>
        </is>
      </c>
      <c r="E672" s="274" t="inlineStr">
        <is>
          <t>кг</t>
        </is>
      </c>
      <c r="F672" s="182" t="n">
        <v>0.012</v>
      </c>
      <c r="G672" s="192" t="n">
        <v>44.97</v>
      </c>
      <c r="H672" s="186">
        <f>ROUND(F672*G672,2)</f>
        <v/>
      </c>
    </row>
    <row r="673">
      <c r="A673" s="180" t="n">
        <v>658</v>
      </c>
      <c r="B673" s="248" t="n"/>
      <c r="C673" s="182" t="inlineStr">
        <is>
          <t>101-1665</t>
        </is>
      </c>
      <c r="D673" s="183" t="inlineStr">
        <is>
          <t>Лак электроизоляционный 318</t>
        </is>
      </c>
      <c r="E673" s="274" t="inlineStr">
        <is>
          <t>кг</t>
        </is>
      </c>
      <c r="F673" s="182" t="n">
        <v>0.012</v>
      </c>
      <c r="G673" s="192" t="n">
        <v>35.63</v>
      </c>
      <c r="H673" s="186">
        <f>ROUND(F673*G673,2)</f>
        <v/>
      </c>
    </row>
    <row r="674">
      <c r="A674" s="180" t="n">
        <v>659</v>
      </c>
      <c r="B674" s="248" t="n"/>
      <c r="C674" s="182" t="inlineStr">
        <is>
          <t>101-2365</t>
        </is>
      </c>
      <c r="D674" s="183" t="inlineStr">
        <is>
          <t>Нитки швейные</t>
        </is>
      </c>
      <c r="E674" s="274" t="inlineStr">
        <is>
          <t>кг</t>
        </is>
      </c>
      <c r="F674" s="182" t="n">
        <v>0.002</v>
      </c>
      <c r="G674" s="192" t="n">
        <v>133.05</v>
      </c>
      <c r="H674" s="186">
        <f>ROUND(F674*G674,2)</f>
        <v/>
      </c>
    </row>
    <row r="675" ht="38.85" customHeight="1">
      <c r="A675" s="180" t="n">
        <v>660</v>
      </c>
      <c r="B675" s="248" t="n"/>
      <c r="C675" s="182" t="inlineStr">
        <is>
          <t>409-0639</t>
        </is>
      </c>
      <c r="D675" s="183" t="inlineStr">
        <is>
          <t>Пемза шлаковая (щебень пористый из металлургического шлака), марка 600, фракция 5-10 мм</t>
        </is>
      </c>
      <c r="E675" s="274" t="inlineStr">
        <is>
          <t>м3</t>
        </is>
      </c>
      <c r="F675" s="182" t="n">
        <v>0.0007</v>
      </c>
      <c r="G675" s="192" t="n">
        <v>74.58</v>
      </c>
      <c r="H675" s="186">
        <f>ROUND(F675*G675,2)</f>
        <v/>
      </c>
    </row>
    <row r="676">
      <c r="A676" s="180" t="n">
        <v>661</v>
      </c>
      <c r="B676" s="248" t="n"/>
      <c r="C676" s="182" t="inlineStr">
        <is>
          <t>405-1601</t>
        </is>
      </c>
      <c r="D676" s="183" t="inlineStr">
        <is>
          <t>Известь строительная негашеная хлорная, марки А</t>
        </is>
      </c>
      <c r="E676" s="274" t="inlineStr">
        <is>
          <t>кг</t>
        </is>
      </c>
      <c r="F676" s="182" t="n">
        <v>0.0203</v>
      </c>
      <c r="G676" s="192" t="n">
        <v>2.15</v>
      </c>
      <c r="H676" s="186">
        <f>ROUND(F676*G676,2)</f>
        <v/>
      </c>
    </row>
    <row r="677" ht="25.9" customHeight="1">
      <c r="A677" s="180" t="n">
        <v>662</v>
      </c>
      <c r="B677" s="248" t="n"/>
      <c r="C677" s="182" t="inlineStr">
        <is>
          <t>101-1845</t>
        </is>
      </c>
      <c r="D677" s="183" t="inlineStr">
        <is>
          <t>Винты самонарезающие с уплотнительной прокладкой 4,8х35 мм</t>
        </is>
      </c>
      <c r="E677" s="274" t="inlineStr">
        <is>
          <t>шт.</t>
        </is>
      </c>
      <c r="F677" s="182" t="n">
        <v>0.08799999999999999</v>
      </c>
      <c r="G677" s="192" t="n">
        <v>0.2</v>
      </c>
      <c r="H677" s="186">
        <f>ROUND(F677*G677,2)</f>
        <v/>
      </c>
    </row>
    <row r="680">
      <c r="A680" s="114" t="n"/>
      <c r="B680" s="114" t="inlineStr">
        <is>
          <t>Составил ______________________     Д.Ю. Нефедова</t>
        </is>
      </c>
      <c r="C680" s="114" t="n"/>
      <c r="D680" s="114" t="n"/>
      <c r="E680" s="114" t="n"/>
      <c r="F680" s="114" t="n"/>
      <c r="G680" s="114" t="n"/>
      <c r="H680" s="114" t="n"/>
    </row>
    <row r="681">
      <c r="A681" s="114" t="n"/>
      <c r="B681" s="240" t="inlineStr">
        <is>
          <t xml:space="preserve">                         (подпись, инициалы, фамилия)</t>
        </is>
      </c>
      <c r="C681" s="114" t="n"/>
      <c r="D681" s="114" t="n"/>
      <c r="E681" s="114" t="n"/>
      <c r="F681" s="114" t="n"/>
      <c r="G681" s="114" t="n"/>
      <c r="H681" s="114" t="n"/>
    </row>
    <row r="683">
      <c r="A683" s="114" t="n"/>
      <c r="B683" s="114" t="inlineStr">
        <is>
          <t>Проверил ______________________        А.В. Костянецкая</t>
        </is>
      </c>
      <c r="C683" s="114" t="n"/>
      <c r="D683" s="114" t="n"/>
      <c r="E683" s="114" t="n"/>
      <c r="F683" s="114" t="n"/>
      <c r="G683" s="114" t="n"/>
      <c r="H683" s="114" t="n"/>
    </row>
    <row r="684">
      <c r="A684" s="114" t="n"/>
      <c r="B684" s="240" t="inlineStr">
        <is>
          <t xml:space="preserve">                        (подпись, инициалы, фамилия)</t>
        </is>
      </c>
      <c r="C684" s="114" t="n"/>
      <c r="D684" s="114" t="n"/>
      <c r="E684" s="114" t="n"/>
      <c r="F684" s="114" t="n"/>
      <c r="G684" s="114" t="n"/>
      <c r="H684" s="114" t="n"/>
    </row>
  </sheetData>
  <mergeCells count="16">
    <mergeCell ref="A3:H3"/>
    <mergeCell ref="A8:A9"/>
    <mergeCell ref="E8:E9"/>
    <mergeCell ref="A43:E43"/>
    <mergeCell ref="C8:C9"/>
    <mergeCell ref="F8:F9"/>
    <mergeCell ref="A2:H2"/>
    <mergeCell ref="A41:E41"/>
    <mergeCell ref="A11:E11"/>
    <mergeCell ref="D8:D9"/>
    <mergeCell ref="B8:B9"/>
    <mergeCell ref="A116:E116"/>
    <mergeCell ref="C4:H4"/>
    <mergeCell ref="G8:H8"/>
    <mergeCell ref="A150:E150"/>
    <mergeCell ref="A6:H6"/>
  </mergeCells>
  <printOptions gridLines="0" gridLinesSet="1"/>
  <pageMargins left="0.7" right="0.7" top="0.75" bottom="0.75" header="0.3" footer="0.3"/>
  <pageSetup orientation="portrait" paperSize="9" scale="5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showGridLines="1" showRowColHeaders="1" tabSelected="0" view="pageBreakPreview" workbookViewId="0">
      <selection activeCell="C14" sqref="C14"/>
    </sheetView>
  </sheetViews>
  <sheetFormatPr baseColWidth="8" defaultRowHeight="14.4" outlineLevelRow="0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8"/>
    <col width="9.140625" customWidth="1" min="9" max="9"/>
    <col width="9.140625" customWidth="1" min="10" max="10"/>
    <col width="9.140625" customWidth="1" min="11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229" t="inlineStr">
        <is>
          <t>Ресурсная модель</t>
        </is>
      </c>
    </row>
    <row r="5">
      <c r="B5" s="146" t="n"/>
      <c r="C5" s="4" t="n"/>
      <c r="D5" s="4" t="n"/>
      <c r="E5" s="4" t="n"/>
    </row>
    <row r="6" ht="25.5" customHeight="1">
      <c r="B6" s="253" t="inlineStr">
        <is>
          <t>Наименование разрабатываемого показателя УНЦ — Демонтаж здания РПБ.</t>
        </is>
      </c>
    </row>
    <row r="7">
      <c r="B7" s="254" t="inlineStr">
        <is>
          <t>Единица измерения  — 1 м2</t>
        </is>
      </c>
    </row>
    <row r="8">
      <c r="B8" s="146" t="n"/>
      <c r="C8" s="4" t="n"/>
      <c r="D8" s="4" t="n"/>
      <c r="E8" s="4" t="n"/>
    </row>
    <row r="9" ht="51" customHeight="1">
      <c r="B9" s="258" t="inlineStr">
        <is>
          <t>Наименование</t>
        </is>
      </c>
      <c r="C9" s="258" t="inlineStr">
        <is>
          <t>Сметная стоимость в ценах на 01.01.2023
 (руб.)</t>
        </is>
      </c>
      <c r="D9" s="258" t="inlineStr">
        <is>
          <t>Удельный вес, 
(в СМР)</t>
        </is>
      </c>
      <c r="E9" s="258" t="inlineStr">
        <is>
          <t>Удельный вес, % 
(от всего по РМ)</t>
        </is>
      </c>
    </row>
    <row r="10">
      <c r="B10" s="24" t="inlineStr">
        <is>
          <t>Оплата труда рабочих</t>
        </is>
      </c>
      <c r="C10" s="143">
        <f>'Прил.5 Расчет СМР и ОБ'!J16</f>
        <v/>
      </c>
      <c r="D10" s="26">
        <f>C10/$C$23</f>
        <v/>
      </c>
      <c r="E10" s="26">
        <f>C10/$C$39</f>
        <v/>
      </c>
    </row>
    <row r="11">
      <c r="B11" s="24" t="inlineStr">
        <is>
          <t>Эксплуатация машин основных</t>
        </is>
      </c>
      <c r="C11" s="143">
        <f>'Прил.5 Расчет СМР и ОБ'!J33</f>
        <v/>
      </c>
      <c r="D11" s="26">
        <f>C11/$C$23</f>
        <v/>
      </c>
      <c r="E11" s="26">
        <f>C11/$C$39</f>
        <v/>
      </c>
    </row>
    <row r="12">
      <c r="B12" s="24" t="inlineStr">
        <is>
          <t>Эксплуатация машин прочих</t>
        </is>
      </c>
      <c r="C12" s="143">
        <f>'Прил.5 Расчет СМР и ОБ'!J97</f>
        <v/>
      </c>
      <c r="D12" s="26">
        <f>C12/$C$23</f>
        <v/>
      </c>
      <c r="E12" s="26">
        <f>C12/$C$39</f>
        <v/>
      </c>
    </row>
    <row r="13" ht="15.6" customHeight="1">
      <c r="B13" s="24" t="inlineStr">
        <is>
          <t>ЭКСПЛУАТАЦИЯ МАШИН, ВСЕГО:</t>
        </is>
      </c>
      <c r="C13" s="143">
        <f>C12+C11</f>
        <v/>
      </c>
      <c r="D13" s="26">
        <f>C13/$C$23</f>
        <v/>
      </c>
      <c r="E13" s="26">
        <f>C13/$C$39</f>
        <v/>
      </c>
      <c r="G13" s="202" t="n"/>
    </row>
    <row r="14" ht="15.6" customHeight="1">
      <c r="B14" s="24" t="inlineStr">
        <is>
          <t>в том числе зарплата машинистов</t>
        </is>
      </c>
      <c r="C14" s="143">
        <f>'Прил.5 Расчет СМР и ОБ'!J19</f>
        <v/>
      </c>
      <c r="D14" s="26">
        <f>C14/$C$23</f>
        <v/>
      </c>
      <c r="E14" s="26">
        <f>C14/$C$39</f>
        <v/>
      </c>
      <c r="G14" s="202" t="n"/>
    </row>
    <row r="15" ht="15.6" customHeight="1">
      <c r="B15" s="24" t="inlineStr">
        <is>
          <t>Материалы основные</t>
        </is>
      </c>
      <c r="C15" s="143">
        <f>'Прил.5 Расчет СМР и ОБ'!J106</f>
        <v/>
      </c>
      <c r="D15" s="26">
        <f>C15/$C$23</f>
        <v/>
      </c>
      <c r="E15" s="26">
        <f>C15/$C$39</f>
        <v/>
      </c>
      <c r="G15" s="202" t="n"/>
    </row>
    <row r="16">
      <c r="B16" s="24" t="inlineStr">
        <is>
          <t>Материалы прочие</t>
        </is>
      </c>
      <c r="C16" s="143">
        <f>'Прил.5 Расчет СМР и ОБ'!J107</f>
        <v/>
      </c>
      <c r="D16" s="26">
        <f>C16/$C$23</f>
        <v/>
      </c>
      <c r="E16" s="26">
        <f>C16/$C$39</f>
        <v/>
      </c>
      <c r="G16" s="145" t="n"/>
    </row>
    <row r="17">
      <c r="B17" s="24" t="inlineStr">
        <is>
          <t>МАТЕРИАЛЫ, ВСЕГО:</t>
        </is>
      </c>
      <c r="C17" s="143">
        <f>C16+C15</f>
        <v/>
      </c>
      <c r="D17" s="26">
        <f>C17/$C$23</f>
        <v/>
      </c>
      <c r="E17" s="26">
        <f>C17/$C$39</f>
        <v/>
      </c>
    </row>
    <row r="18">
      <c r="B18" s="24" t="inlineStr">
        <is>
          <t>ИТОГО</t>
        </is>
      </c>
      <c r="C18" s="143">
        <f>C17+C13+C10</f>
        <v/>
      </c>
      <c r="D18" s="26" t="n"/>
      <c r="E18" s="24" t="n"/>
    </row>
    <row r="19">
      <c r="B19" s="24" t="inlineStr">
        <is>
          <t>Сметная прибыль, руб.</t>
        </is>
      </c>
      <c r="C19" s="143">
        <f>ROUND(C20*(C10+C14),2)</f>
        <v/>
      </c>
      <c r="D19" s="26">
        <f>C19/$C$23</f>
        <v/>
      </c>
      <c r="E19" s="26">
        <f>C19/$C$39</f>
        <v/>
      </c>
    </row>
    <row r="20">
      <c r="B20" s="24" t="inlineStr">
        <is>
          <t>Сметная прибыль, %</t>
        </is>
      </c>
      <c r="C20" s="26">
        <f>'Прил.5 Расчет СМР и ОБ'!D113</f>
        <v/>
      </c>
      <c r="D20" s="26" t="n"/>
      <c r="E20" s="24" t="n"/>
    </row>
    <row r="21">
      <c r="B21" s="24" t="inlineStr">
        <is>
          <t>Накладные расходы, руб.</t>
        </is>
      </c>
      <c r="C21" s="143">
        <f>ROUND(C22*(C10+C14),2)</f>
        <v/>
      </c>
      <c r="D21" s="26">
        <f>C21/$C$23</f>
        <v/>
      </c>
      <c r="E21" s="26">
        <f>C21/$C$39</f>
        <v/>
      </c>
    </row>
    <row r="22">
      <c r="B22" s="24" t="inlineStr">
        <is>
          <t>Накладные расходы, %</t>
        </is>
      </c>
      <c r="C22" s="26">
        <f>'Прил.5 Расчет СМР и ОБ'!D111</f>
        <v/>
      </c>
      <c r="D22" s="26" t="n"/>
      <c r="E22" s="24" t="n"/>
    </row>
    <row r="23">
      <c r="B23" s="24" t="inlineStr">
        <is>
          <t>ВСЕГО СМР с НР и СП</t>
        </is>
      </c>
      <c r="C23" s="143">
        <f>C18+C19+C21</f>
        <v/>
      </c>
      <c r="D23" s="26">
        <f>C23/$C$23</f>
        <v/>
      </c>
      <c r="E23" s="26">
        <f>C23/$C$39</f>
        <v/>
      </c>
    </row>
    <row r="24" ht="25.5" customHeight="1">
      <c r="B24" s="24" t="inlineStr">
        <is>
          <t>ВСЕГО стоимость оборудования, в том числе</t>
        </is>
      </c>
      <c r="C24" s="143">
        <f>'Прил.5 Расчет СМР и ОБ'!J103</f>
        <v/>
      </c>
      <c r="D24" s="26" t="n"/>
      <c r="E24" s="26">
        <f>C24/$C$39</f>
        <v/>
      </c>
    </row>
    <row r="25" ht="25.5" customHeight="1">
      <c r="B25" s="24" t="inlineStr">
        <is>
          <t>стоимость оборудования технологического</t>
        </is>
      </c>
      <c r="C25" s="143">
        <f>'Прил.5 Расчет СМР и ОБ'!J104</f>
        <v/>
      </c>
      <c r="D25" s="26" t="n"/>
      <c r="E25" s="26">
        <f>C25/$C$39</f>
        <v/>
      </c>
    </row>
    <row r="26">
      <c r="B26" s="24" t="inlineStr">
        <is>
          <t>ИТОГО (СМР + ОБОРУДОВАНИЕ)</t>
        </is>
      </c>
      <c r="C26" s="219">
        <f>C23+C24</f>
        <v/>
      </c>
      <c r="D26" s="26" t="n"/>
      <c r="E26" s="26">
        <f>C26/$C$39</f>
        <v/>
      </c>
      <c r="G26" s="144" t="n"/>
    </row>
    <row r="27" ht="33" customHeight="1">
      <c r="B27" s="24" t="inlineStr">
        <is>
          <t>ПРОЧ. ЗАТР., УЧТЕННЫЕ ПОКАЗАТЕЛЕМ,  в том числе</t>
        </is>
      </c>
      <c r="C27" s="24" t="n"/>
      <c r="D27" s="24" t="n"/>
      <c r="E27" s="24" t="n"/>
    </row>
    <row r="28" ht="25.5" customHeight="1">
      <c r="B28" s="24" t="inlineStr">
        <is>
          <t>Временные здания и сооружения - 3,9%</t>
        </is>
      </c>
      <c r="C28" s="219">
        <f>ROUND(C23*3.9%,2)</f>
        <v/>
      </c>
      <c r="D28" s="24" t="n"/>
      <c r="E28" s="26">
        <f>C28/$C$39</f>
        <v/>
      </c>
    </row>
    <row r="29" ht="38.25" customHeight="1">
      <c r="B29" s="24" t="inlineStr">
        <is>
          <t>Дополнительные затраты при производстве строительно-монтажных работ в зимнее время - 2,1%</t>
        </is>
      </c>
      <c r="C29" s="219">
        <f>ROUND((C23+C28)*2.1%,2)</f>
        <v/>
      </c>
      <c r="D29" s="24" t="n"/>
      <c r="E29" s="26">
        <f>C29/$C$39</f>
        <v/>
      </c>
    </row>
    <row r="30">
      <c r="B30" s="165" t="inlineStr">
        <is>
          <t>Пусконаладочные работы</t>
        </is>
      </c>
      <c r="C30" s="166" t="n">
        <v>0</v>
      </c>
      <c r="D30" s="24" t="n"/>
      <c r="E30" s="26">
        <f>C30/$C$39</f>
        <v/>
      </c>
    </row>
    <row r="31" ht="25.5" customHeight="1">
      <c r="B31" s="24" t="inlineStr">
        <is>
          <t>Затраты по перевозке работников к месту работы и обратно</t>
        </is>
      </c>
      <c r="C31" s="219" t="n">
        <v>0</v>
      </c>
      <c r="D31" s="24" t="n"/>
      <c r="E31" s="26">
        <f>C31/$C$39</f>
        <v/>
      </c>
    </row>
    <row r="32" ht="25.5" customHeight="1">
      <c r="B32" s="24" t="inlineStr">
        <is>
          <t>Затраты, связанные с осуществлением работ вахтовым методом</t>
        </is>
      </c>
      <c r="C32" s="219">
        <f>ROUND(C26*0%,2)</f>
        <v/>
      </c>
      <c r="D32" s="24" t="n"/>
      <c r="E32" s="26">
        <f>C32/$C$39</f>
        <v/>
      </c>
    </row>
    <row r="33" ht="51" customHeight="1">
      <c r="B33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9" t="n">
        <v>0</v>
      </c>
      <c r="D33" s="24" t="n"/>
      <c r="E33" s="26">
        <f>C33/$C$39</f>
        <v/>
      </c>
    </row>
    <row r="34" ht="76.7" customHeight="1">
      <c r="B34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9">
        <f>ROUND(C26*0%,2)</f>
        <v/>
      </c>
      <c r="D34" s="24" t="n"/>
      <c r="E34" s="26">
        <f>C34/$C$39</f>
        <v/>
      </c>
    </row>
    <row r="35" ht="25.5" customHeight="1">
      <c r="B35" s="24" t="inlineStr">
        <is>
          <t>Строительный контроль и содержание службы заказчика - 2,14%</t>
        </is>
      </c>
      <c r="C35" s="219">
        <f>ROUND((C26+C31+C32+C33+C34+C28+C30+C29)*2.14%,2)</f>
        <v/>
      </c>
      <c r="D35" s="24" t="n"/>
      <c r="E35" s="26">
        <f>C35/$C$39</f>
        <v/>
      </c>
      <c r="L35" s="144" t="n"/>
    </row>
    <row r="36">
      <c r="B36" s="24" t="inlineStr">
        <is>
          <t>Авторский надзор - 0,2%</t>
        </is>
      </c>
      <c r="C36" s="219">
        <f>ROUND((C26+C31+C32+C33+C34+C28+C30+C29)*0.2%,2)</f>
        <v/>
      </c>
      <c r="D36" s="24" t="n"/>
      <c r="E36" s="26">
        <f>C36/$C$39</f>
        <v/>
      </c>
      <c r="L36" s="144" t="n"/>
    </row>
    <row r="37" ht="38.25" customHeight="1">
      <c r="B37" s="24" t="inlineStr">
        <is>
          <t>ИТОГО (СМР+ОБОРУДОВАНИЕ+ПРОЧ. ЗАТР., УЧТЕННЫЕ ПОКАЗАТЕЛЕМ)</t>
        </is>
      </c>
      <c r="C37" s="143">
        <f>C26+C31+C32+C33+C34+C28+C30+C29+C35+C36</f>
        <v/>
      </c>
      <c r="D37" s="24" t="n"/>
      <c r="E37" s="26">
        <f>C37/$C$39</f>
        <v/>
      </c>
    </row>
    <row r="38" ht="13.7" customHeight="1">
      <c r="B38" s="24" t="inlineStr">
        <is>
          <t>Непредвиденные расходы</t>
        </is>
      </c>
      <c r="C38" s="143">
        <f>ROUND(C37*3%,2)</f>
        <v/>
      </c>
      <c r="D38" s="24" t="n"/>
      <c r="E38" s="26">
        <f>C38/$C$37</f>
        <v/>
      </c>
    </row>
    <row r="39">
      <c r="B39" s="24" t="inlineStr">
        <is>
          <t>ВСЕГО:</t>
        </is>
      </c>
      <c r="C39" s="143">
        <f>C38+C37</f>
        <v/>
      </c>
      <c r="D39" s="24" t="n"/>
      <c r="E39" s="26">
        <f>C39/$C$39</f>
        <v/>
      </c>
    </row>
    <row r="40">
      <c r="B40" s="24" t="inlineStr">
        <is>
          <t>ИТОГО ПОКАЗАТЕЛЬ НА ЕД. ИЗМ.</t>
        </is>
      </c>
      <c r="C40" s="143">
        <f>C39/'Прил.5 Расчет СМР и ОБ'!E117</f>
        <v/>
      </c>
      <c r="D40" s="24" t="n"/>
      <c r="E40" s="24" t="n"/>
    </row>
    <row r="41">
      <c r="B41" s="142" t="n"/>
      <c r="C41" s="4" t="n"/>
      <c r="D41" s="4" t="n"/>
      <c r="E41" s="4" t="n"/>
    </row>
    <row r="42">
      <c r="B42" s="142" t="inlineStr">
        <is>
          <t>Составил ____________________________  Д.Ю. Нефедова</t>
        </is>
      </c>
      <c r="C42" s="4" t="n"/>
      <c r="D42" s="4" t="n"/>
      <c r="E42" s="4" t="n"/>
    </row>
    <row r="43">
      <c r="B43" s="142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42" t="n"/>
      <c r="C44" s="4" t="n"/>
      <c r="D44" s="4" t="n"/>
      <c r="E44" s="4" t="n"/>
    </row>
    <row r="45">
      <c r="B45" s="142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54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4">
    <mergeCell ref="B46:C46"/>
    <mergeCell ref="B7:E7"/>
    <mergeCell ref="B6:E6"/>
    <mergeCell ref="B4:E4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showGridLines="1" showRowColHeaders="1" tabSelected="1" view="pageBreakPreview" topLeftCell="A102" workbookViewId="0">
      <selection activeCell="F120" sqref="F120"/>
    </sheetView>
  </sheetViews>
  <sheetFormatPr baseColWidth="8" defaultColWidth="9.140625" defaultRowHeight="14.4" outlineLevelRow="1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5.71093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76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153" t="inlineStr">
        <is>
          <t>Наименование разрабатываемого показателя УНЦ</t>
        </is>
      </c>
      <c r="B6" s="151" t="n"/>
      <c r="C6" s="151" t="n"/>
      <c r="D6" s="232" t="inlineStr">
        <is>
          <t>Демонтаж здания РПБ.</t>
        </is>
      </c>
    </row>
    <row r="7" ht="12.75" customFormat="1" customHeight="1" s="4">
      <c r="A7" s="232" t="inlineStr">
        <is>
          <t>Единица измерения  — 1 м2</t>
        </is>
      </c>
      <c r="I7" s="253" t="n"/>
      <c r="J7" s="253" t="n"/>
    </row>
    <row r="8" ht="13.7" customFormat="1" customHeight="1" s="4">
      <c r="A8" s="232" t="n"/>
    </row>
    <row r="9" ht="13.15" customFormat="1" customHeight="1" s="4"/>
    <row r="10" ht="27" customHeight="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1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1" t="n"/>
      <c r="M10" s="12" t="n"/>
      <c r="N10" s="12" t="n"/>
    </row>
    <row r="11" ht="28.5" customHeight="1">
      <c r="A11" s="323" t="n"/>
      <c r="B11" s="323" t="n"/>
      <c r="C11" s="323" t="n"/>
      <c r="D11" s="323" t="n"/>
      <c r="E11" s="323" t="n"/>
      <c r="F11" s="258" t="inlineStr">
        <is>
          <t>на ед. изм.</t>
        </is>
      </c>
      <c r="G11" s="258" t="inlineStr">
        <is>
          <t>общая</t>
        </is>
      </c>
      <c r="H11" s="323" t="n"/>
      <c r="I11" s="258" t="inlineStr">
        <is>
          <t>на ед. изм.</t>
        </is>
      </c>
      <c r="J11" s="258" t="inlineStr">
        <is>
          <t>общая</t>
        </is>
      </c>
      <c r="M11" s="12" t="n"/>
      <c r="N11" s="12" t="n"/>
    </row>
    <row r="12">
      <c r="A12" s="258" t="n">
        <v>1</v>
      </c>
      <c r="B12" s="258" t="n">
        <v>2</v>
      </c>
      <c r="C12" s="24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12" t="n"/>
      <c r="N12" s="12" t="n"/>
    </row>
    <row r="13">
      <c r="A13" s="258" t="n"/>
      <c r="B13" s="246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216" t="n"/>
      <c r="J13" s="216" t="n"/>
    </row>
    <row r="14" ht="25.9" customHeight="1">
      <c r="A14" s="258" t="n">
        <v>1</v>
      </c>
      <c r="B14" s="152" t="inlineStr">
        <is>
          <t>1-3-6</t>
        </is>
      </c>
      <c r="C14" s="24" t="inlineStr">
        <is>
          <t>Затраты труда рабочих-строителей среднего разряда (3,6)</t>
        </is>
      </c>
      <c r="D14" s="258" t="inlineStr">
        <is>
          <t>чел.-ч.</t>
        </is>
      </c>
      <c r="E14" s="132">
        <f>G14/F14</f>
        <v/>
      </c>
      <c r="F14" s="211" t="n">
        <v>9.18</v>
      </c>
      <c r="G14" s="211" t="n">
        <v>161895.59</v>
      </c>
      <c r="H14" s="212">
        <f>G14/G15</f>
        <v/>
      </c>
      <c r="I14" s="211">
        <f>'ФОТр.тек.'!E13</f>
        <v/>
      </c>
      <c r="J14" s="211">
        <f>ROUND(I14*E14,2)</f>
        <v/>
      </c>
    </row>
    <row r="15" ht="27.2" customFormat="1" customHeight="1" s="12">
      <c r="A15" s="258" t="n"/>
      <c r="B15" s="258" t="n"/>
      <c r="C15" s="10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32">
        <f>SUM(E14:E14)</f>
        <v/>
      </c>
      <c r="F15" s="263" t="n"/>
      <c r="G15" s="211">
        <f>SUM(G14:G14)</f>
        <v/>
      </c>
      <c r="H15" s="264" t="n">
        <v>1</v>
      </c>
      <c r="I15" s="216" t="n"/>
      <c r="J15" s="211">
        <f>SUM(J14:J14)</f>
        <v/>
      </c>
    </row>
    <row r="16" ht="40.5" customFormat="1" customHeight="1" s="12">
      <c r="A16" s="258" t="n"/>
      <c r="B16" s="258" t="n"/>
      <c r="C16" s="246" t="inlineStr">
        <is>
          <t>Итого по разделу "Затраты труда рабочих-строителей" 
(с коэффициентом на демонтаж 0,7)</t>
        </is>
      </c>
      <c r="D16" s="258" t="inlineStr">
        <is>
          <t>чел.-ч.</t>
        </is>
      </c>
      <c r="E16" s="262" t="n"/>
      <c r="F16" s="263" t="n"/>
      <c r="G16" s="211">
        <f>SUM(G15)*0.7</f>
        <v/>
      </c>
      <c r="H16" s="264" t="n">
        <v>1</v>
      </c>
      <c r="I16" s="216" t="n"/>
      <c r="J16" s="211">
        <f>SUM(J14)*0.7</f>
        <v/>
      </c>
    </row>
    <row r="17" ht="14.25" customFormat="1" customHeight="1" s="12">
      <c r="A17" s="258" t="n"/>
      <c r="B17" s="261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216" t="n"/>
      <c r="J17" s="216" t="n"/>
    </row>
    <row r="18" ht="14.25" customFormat="1" customHeight="1" s="12">
      <c r="A18" s="258" t="n">
        <v>2</v>
      </c>
      <c r="B18" s="258" t="n">
        <v>2</v>
      </c>
      <c r="C18" s="24" t="inlineStr">
        <is>
          <t>Затраты труда машинистов</t>
        </is>
      </c>
      <c r="D18" s="258" t="inlineStr">
        <is>
          <t>чел.-ч.</t>
        </is>
      </c>
      <c r="E18" s="132">
        <f>'Прил. 3'!F42</f>
        <v/>
      </c>
      <c r="F18" s="211">
        <f>G18/E18</f>
        <v/>
      </c>
      <c r="G18" s="211">
        <f>'Прил. 3'!H41</f>
        <v/>
      </c>
      <c r="H18" s="264" t="n">
        <v>1</v>
      </c>
      <c r="I18" s="211">
        <f>ROUND(F18*'Прил. 10'!D11,2)</f>
        <v/>
      </c>
      <c r="J18" s="211">
        <f>ROUND(I18*E18,2)</f>
        <v/>
      </c>
    </row>
    <row r="19" ht="36" customFormat="1" customHeight="1" s="12">
      <c r="A19" s="258" t="n"/>
      <c r="B19" s="258" t="n"/>
      <c r="C19" s="217" t="inlineStr">
        <is>
          <t>Затраты труда машинистов 
(с коэффициентом на демонтаж 0,7)</t>
        </is>
      </c>
      <c r="D19" s="218" t="n"/>
      <c r="E19" s="218" t="n"/>
      <c r="F19" s="218" t="n"/>
      <c r="G19" s="219">
        <f>G18*0.7</f>
        <v/>
      </c>
      <c r="H19" s="220">
        <f>H18</f>
        <v/>
      </c>
      <c r="I19" s="221" t="n"/>
      <c r="J19" s="219">
        <f>J18*0.7</f>
        <v/>
      </c>
    </row>
    <row r="20" ht="14.25" customFormat="1" customHeight="1" s="12">
      <c r="A20" s="258" t="n"/>
      <c r="B20" s="246" t="inlineStr">
        <is>
          <t>Машины и механизмы</t>
        </is>
      </c>
      <c r="C20" s="24" t="n"/>
      <c r="D20" s="258" t="n"/>
      <c r="E20" s="262" t="n"/>
      <c r="F20" s="263" t="n"/>
      <c r="G20" s="263" t="n"/>
      <c r="H20" s="264" t="n"/>
      <c r="I20" s="216" t="n"/>
      <c r="J20" s="216" t="n"/>
    </row>
    <row r="21" ht="14.25" customFormat="1" customHeight="1" s="12">
      <c r="A21" s="258" t="n"/>
      <c r="B21" s="261" t="inlineStr">
        <is>
          <t>Основные машины и механизмы</t>
        </is>
      </c>
      <c r="C21" s="320" t="n"/>
      <c r="D21" s="320" t="n"/>
      <c r="E21" s="320" t="n"/>
      <c r="F21" s="320" t="n"/>
      <c r="G21" s="320" t="n"/>
      <c r="H21" s="321" t="n"/>
      <c r="I21" s="216" t="n"/>
      <c r="J21" s="216" t="n"/>
    </row>
    <row r="22" ht="25.9" customFormat="1" customHeight="1" s="12">
      <c r="A22" s="258" t="n">
        <v>3</v>
      </c>
      <c r="B22" s="152" t="inlineStr">
        <is>
          <t>91.21.22-021</t>
        </is>
      </c>
      <c r="C22" s="24" t="inlineStr">
        <is>
          <t>Агрегаты для нанесения составов методом торкретирования, 3,2 м3/ч</t>
        </is>
      </c>
      <c r="D22" s="258" t="inlineStr">
        <is>
          <t>маш.-ч</t>
        </is>
      </c>
      <c r="E22" s="132" t="n">
        <v>613.37</v>
      </c>
      <c r="F22" s="263" t="n">
        <v>155.8</v>
      </c>
      <c r="G22" s="211">
        <f>ROUND(E22*F22,2)</f>
        <v/>
      </c>
      <c r="H22" s="212">
        <f>G22/$G$98</f>
        <v/>
      </c>
      <c r="I22" s="211">
        <f>ROUND(F22*'Прил. 10'!$D$12,2)</f>
        <v/>
      </c>
      <c r="J22" s="211">
        <f>ROUND(I22*E22,2)</f>
        <v/>
      </c>
    </row>
    <row r="23" ht="13.7" customFormat="1" customHeight="1" s="12">
      <c r="A23" s="258" t="n">
        <v>4</v>
      </c>
      <c r="B23" s="152" t="inlineStr">
        <is>
          <t>91.06.09-011</t>
        </is>
      </c>
      <c r="C23" s="24" t="inlineStr">
        <is>
          <t>Люльки</t>
        </is>
      </c>
      <c r="D23" s="258" t="inlineStr">
        <is>
          <t>маш.-ч</t>
        </is>
      </c>
      <c r="E23" s="132" t="n">
        <v>808.4</v>
      </c>
      <c r="F23" s="263" t="n">
        <v>53.87</v>
      </c>
      <c r="G23" s="211">
        <f>ROUND(E23*F23,2)</f>
        <v/>
      </c>
      <c r="H23" s="212">
        <f>G23/$G$98</f>
        <v/>
      </c>
      <c r="I23" s="211">
        <f>ROUND(F23*'Прил. 10'!$D$12,2)</f>
        <v/>
      </c>
      <c r="J23" s="211">
        <f>ROUND(I23*E23,2)</f>
        <v/>
      </c>
    </row>
    <row r="24" ht="25.9" customFormat="1" customHeight="1" s="12">
      <c r="A24" s="258" t="n">
        <v>5</v>
      </c>
      <c r="B24" s="152" t="inlineStr">
        <is>
          <t>91.05.06-009</t>
        </is>
      </c>
      <c r="C24" s="24" t="inlineStr">
        <is>
          <t>Краны на гусеничном ходу, грузоподъемность 50-63 т</t>
        </is>
      </c>
      <c r="D24" s="258" t="inlineStr">
        <is>
          <t>маш.-ч</t>
        </is>
      </c>
      <c r="E24" s="132" t="n">
        <v>89.53</v>
      </c>
      <c r="F24" s="263" t="n">
        <v>290.01</v>
      </c>
      <c r="G24" s="211">
        <f>ROUND(E24*F24,2)</f>
        <v/>
      </c>
      <c r="H24" s="212">
        <f>G24/$G$98</f>
        <v/>
      </c>
      <c r="I24" s="211">
        <f>ROUND(F24*'Прил. 10'!$D$12,2)</f>
        <v/>
      </c>
      <c r="J24" s="211">
        <f>ROUND(I24*E24,2)</f>
        <v/>
      </c>
    </row>
    <row r="25" ht="38.85" customFormat="1" customHeight="1" s="12">
      <c r="A25" s="258" t="n">
        <v>6</v>
      </c>
      <c r="B25" s="152" t="inlineStr">
        <is>
          <t>91.04.01-077</t>
        </is>
      </c>
      <c r="C25" s="24" t="inlineStr">
        <is>
          <t>Установки и агрегаты буровые на базе автомобилей глубина бурения до 200 м, грузоподъемность до 4 т</t>
        </is>
      </c>
      <c r="D25" s="258" t="inlineStr">
        <is>
          <t>маш.-ч</t>
        </is>
      </c>
      <c r="E25" s="132" t="n">
        <v>83.16</v>
      </c>
      <c r="F25" s="263" t="n">
        <v>219.82</v>
      </c>
      <c r="G25" s="211">
        <f>ROUND(E25*F25,2)</f>
        <v/>
      </c>
      <c r="H25" s="212">
        <f>G25/$G$98</f>
        <v/>
      </c>
      <c r="I25" s="211">
        <f>ROUND(F25*'Прил. 10'!$D$12,2)</f>
        <v/>
      </c>
      <c r="J25" s="211">
        <f>ROUND(I25*E25,2)</f>
        <v/>
      </c>
    </row>
    <row r="26" ht="25.9" customFormat="1" customHeight="1" s="12">
      <c r="A26" s="258" t="n">
        <v>7</v>
      </c>
      <c r="B26" s="152" t="inlineStr">
        <is>
          <t>91.14.02-001</t>
        </is>
      </c>
      <c r="C26" s="24" t="inlineStr">
        <is>
          <t>Автомобили бортовые, грузоподъемность до 5 т</t>
        </is>
      </c>
      <c r="D26" s="258" t="inlineStr">
        <is>
          <t>маш.-ч</t>
        </is>
      </c>
      <c r="E26" s="132" t="n">
        <v>208.87</v>
      </c>
      <c r="F26" s="263" t="n">
        <v>65.70999999999999</v>
      </c>
      <c r="G26" s="211">
        <f>ROUND(E26*F26,2)</f>
        <v/>
      </c>
      <c r="H26" s="212">
        <f>G26/$G$98</f>
        <v/>
      </c>
      <c r="I26" s="211">
        <f>ROUND(F26*'Прил. 10'!$D$12,2)</f>
        <v/>
      </c>
      <c r="J26" s="211">
        <f>ROUND(I26*E26,2)</f>
        <v/>
      </c>
    </row>
    <row r="27" ht="25.9" customFormat="1" customHeight="1" s="12">
      <c r="A27" s="258" t="n">
        <v>8</v>
      </c>
      <c r="B27" s="152" t="inlineStr">
        <is>
          <t>91.05.06-007</t>
        </is>
      </c>
      <c r="C27" s="261" t="inlineStr">
        <is>
          <t>Краны на гусеничном ходу, грузоподъемность 25 т</t>
        </is>
      </c>
      <c r="D27" s="258" t="inlineStr">
        <is>
          <t>маш.-ч</t>
        </is>
      </c>
      <c r="E27" s="132" t="n">
        <v>82.09</v>
      </c>
      <c r="F27" s="263" t="n">
        <v>120.04</v>
      </c>
      <c r="G27" s="211">
        <f>ROUND(E27*F27,2)</f>
        <v/>
      </c>
      <c r="H27" s="212">
        <f>G27/$G$98</f>
        <v/>
      </c>
      <c r="I27" s="211">
        <f>ROUND(F27*'Прил. 10'!$D$12,2)</f>
        <v/>
      </c>
      <c r="J27" s="211">
        <f>ROUND(I27*E27,2)</f>
        <v/>
      </c>
    </row>
    <row r="28" ht="25.9" customFormat="1" customHeight="1" s="12">
      <c r="A28" s="258" t="n">
        <v>9</v>
      </c>
      <c r="B28" s="152" t="inlineStr">
        <is>
          <t>91.05.05-014</t>
        </is>
      </c>
      <c r="C28" s="261" t="inlineStr">
        <is>
          <t>Краны на автомобильном ходу, грузоподъемность 10 т</t>
        </is>
      </c>
      <c r="D28" s="258" t="inlineStr">
        <is>
          <t>маш.-ч</t>
        </is>
      </c>
      <c r="E28" s="132" t="n">
        <v>81.31999999999999</v>
      </c>
      <c r="F28" s="263" t="n">
        <v>111.99</v>
      </c>
      <c r="G28" s="211">
        <f>ROUND(E28*F28,2)</f>
        <v/>
      </c>
      <c r="H28" s="212">
        <f>G28/$G$98</f>
        <v/>
      </c>
      <c r="I28" s="211">
        <f>ROUND(F28*'Прил. 10'!$D$12,2)</f>
        <v/>
      </c>
      <c r="J28" s="211">
        <f>ROUND(I28*E28,2)</f>
        <v/>
      </c>
    </row>
    <row r="29" ht="25.9" customFormat="1" customHeight="1" s="12">
      <c r="A29" s="258" t="n">
        <v>10</v>
      </c>
      <c r="B29" s="152" t="inlineStr">
        <is>
          <t>91.05.06-012</t>
        </is>
      </c>
      <c r="C29" s="261" t="inlineStr">
        <is>
          <t>Краны на гусеничном ходу, грузоподъемность до 16 т</t>
        </is>
      </c>
      <c r="D29" s="258" t="inlineStr">
        <is>
          <t>маш.-ч</t>
        </is>
      </c>
      <c r="E29" s="132" t="n">
        <v>70.59</v>
      </c>
      <c r="F29" s="263" t="n">
        <v>96.89</v>
      </c>
      <c r="G29" s="211">
        <f>ROUND(E29*F29,2)</f>
        <v/>
      </c>
      <c r="H29" s="212">
        <f>G29/$G$98</f>
        <v/>
      </c>
      <c r="I29" s="211">
        <f>ROUND(F29*'Прил. 10'!$D$12,2)</f>
        <v/>
      </c>
      <c r="J29" s="211">
        <f>ROUND(I29*E29,2)</f>
        <v/>
      </c>
    </row>
    <row r="30" ht="25.9" customFormat="1" customHeight="1" s="12">
      <c r="A30" s="258" t="n">
        <v>11</v>
      </c>
      <c r="B30" s="152" t="inlineStr">
        <is>
          <t>91.05.06-010</t>
        </is>
      </c>
      <c r="C30" s="261" t="inlineStr">
        <is>
          <t>Краны на гусеничном ходу, грузоподъемность 100 т</t>
        </is>
      </c>
      <c r="D30" s="258" t="inlineStr">
        <is>
          <t>маш.-ч</t>
        </is>
      </c>
      <c r="E30" s="132" t="n">
        <v>12.06</v>
      </c>
      <c r="F30" s="263" t="n">
        <v>533.27</v>
      </c>
      <c r="G30" s="211">
        <f>ROUND(E30*F30,2)</f>
        <v/>
      </c>
      <c r="H30" s="212">
        <f>G30/$G$98</f>
        <v/>
      </c>
      <c r="I30" s="211">
        <f>ROUND(F30*'Прил. 10'!$D$12,2)</f>
        <v/>
      </c>
      <c r="J30" s="211">
        <f>ROUND(I30*E30,2)</f>
        <v/>
      </c>
    </row>
    <row r="31" ht="25.9" customFormat="1" customHeight="1" s="12">
      <c r="A31" s="258" t="n">
        <v>12</v>
      </c>
      <c r="B31" s="152" t="inlineStr">
        <is>
          <t>91.17.04-233</t>
        </is>
      </c>
      <c r="C31" s="261" t="inlineStr">
        <is>
          <t>Установки для сварки ручной дуговой (постоянного тока)</t>
        </is>
      </c>
      <c r="D31" s="258" t="inlineStr">
        <is>
          <t>маш.-ч</t>
        </is>
      </c>
      <c r="E31" s="132" t="n">
        <v>620.96</v>
      </c>
      <c r="F31" s="263" t="n">
        <v>8.1</v>
      </c>
      <c r="G31" s="211">
        <f>ROUND(E31*F31,2)</f>
        <v/>
      </c>
      <c r="H31" s="212">
        <f>G31/$G$98</f>
        <v/>
      </c>
      <c r="I31" s="211">
        <f>ROUND(F31*'Прил. 10'!$D$12,2)</f>
        <v/>
      </c>
      <c r="J31" s="211">
        <f>ROUND(I31*E31,2)</f>
        <v/>
      </c>
    </row>
    <row r="32" ht="14.25" customFormat="1" customHeight="1" s="12">
      <c r="A32" s="258" t="n"/>
      <c r="B32" s="258" t="n"/>
      <c r="C32" s="261" t="inlineStr">
        <is>
          <t>Итого основные машины и механизмы</t>
        </is>
      </c>
      <c r="D32" s="258" t="n"/>
      <c r="E32" s="132" t="n"/>
      <c r="F32" s="211" t="n"/>
      <c r="G32" s="211">
        <f>SUM(G22:G31)</f>
        <v/>
      </c>
      <c r="H32" s="264">
        <f>G32/G98</f>
        <v/>
      </c>
      <c r="I32" s="159" t="n"/>
      <c r="J32" s="211">
        <f>SUM(J22:J31)</f>
        <v/>
      </c>
    </row>
    <row r="33" ht="27.75" customFormat="1" customHeight="1" s="12">
      <c r="A33" s="258" t="n"/>
      <c r="B33" s="258" t="n"/>
      <c r="C33" s="217" t="inlineStr">
        <is>
          <t>Итого основные машины и механизмы 
(с коэффициентом на демонтаж 0,7)</t>
        </is>
      </c>
      <c r="D33" s="258" t="n"/>
      <c r="E33" s="222" t="n"/>
      <c r="F33" s="262" t="n"/>
      <c r="G33" s="211">
        <f>G32*0.7</f>
        <v/>
      </c>
      <c r="H33" s="212">
        <f>G33/G99</f>
        <v/>
      </c>
      <c r="I33" s="211" t="n"/>
      <c r="J33" s="211">
        <f>J32*0.7</f>
        <v/>
      </c>
    </row>
    <row r="34" hidden="1" outlineLevel="1" ht="25.5" customFormat="1" customHeight="1" s="12">
      <c r="A34" s="258" t="n">
        <v>13</v>
      </c>
      <c r="B34" s="152" t="inlineStr">
        <is>
          <t>020129</t>
        </is>
      </c>
      <c r="C34" s="261" t="inlineStr">
        <is>
          <t>Краны башенные при работе на других видах строительства 8 т</t>
        </is>
      </c>
      <c r="D34" s="258" t="inlineStr">
        <is>
          <t>маш.час</t>
        </is>
      </c>
      <c r="E34" s="132" t="n">
        <v>48.45</v>
      </c>
      <c r="F34" s="263" t="n">
        <v>86.40000000000001</v>
      </c>
      <c r="G34" s="211">
        <f>ROUND(E34*F34,2)</f>
        <v/>
      </c>
      <c r="H34" s="212">
        <f>G34/$G$98</f>
        <v/>
      </c>
      <c r="I34" s="211">
        <f>ROUND(F34*'Прил. 10'!$D$12,2)</f>
        <v/>
      </c>
      <c r="J34" s="211">
        <f>ROUND(I34*E34,2)</f>
        <v/>
      </c>
    </row>
    <row r="35" hidden="1" outlineLevel="1" ht="25.9" customFormat="1" customHeight="1" s="12">
      <c r="A35" s="258" t="n">
        <v>14</v>
      </c>
      <c r="B35" s="152" t="inlineStr">
        <is>
          <t>021245</t>
        </is>
      </c>
      <c r="C35" s="261" t="inlineStr">
        <is>
          <t>Краны на гусеничном ходу при работе на других видах строительства 40 т</t>
        </is>
      </c>
      <c r="D35" s="258" t="inlineStr">
        <is>
          <t>маш.час</t>
        </is>
      </c>
      <c r="E35" s="132" t="n">
        <v>23.8</v>
      </c>
      <c r="F35" s="263" t="n">
        <v>175.56</v>
      </c>
      <c r="G35" s="211">
        <f>ROUND(E35*F35,2)</f>
        <v/>
      </c>
      <c r="H35" s="212">
        <f>G35/$G$98</f>
        <v/>
      </c>
      <c r="I35" s="211">
        <f>ROUND(F35*'Прил. 10'!$D$12,2)</f>
        <v/>
      </c>
      <c r="J35" s="211">
        <f>ROUND(I35*E35,2)</f>
        <v/>
      </c>
    </row>
    <row r="36" hidden="1" outlineLevel="1" ht="13.7" customFormat="1" customHeight="1" s="12">
      <c r="A36" s="258" t="n">
        <v>15</v>
      </c>
      <c r="B36" s="152" t="inlineStr">
        <is>
          <t>110501</t>
        </is>
      </c>
      <c r="C36" s="261" t="inlineStr">
        <is>
          <t>Глиномешалки, 4 м3</t>
        </is>
      </c>
      <c r="D36" s="258" t="inlineStr">
        <is>
          <t>маш.час</t>
        </is>
      </c>
      <c r="E36" s="132" t="n">
        <v>134.82</v>
      </c>
      <c r="F36" s="263" t="n">
        <v>26.5</v>
      </c>
      <c r="G36" s="211">
        <f>ROUND(E36*F36,2)</f>
        <v/>
      </c>
      <c r="H36" s="212">
        <f>G36/$G$98</f>
        <v/>
      </c>
      <c r="I36" s="211">
        <f>ROUND(F36*'Прил. 10'!$D$12,2)</f>
        <v/>
      </c>
      <c r="J36" s="211">
        <f>ROUND(I36*E36,2)</f>
        <v/>
      </c>
    </row>
    <row r="37" hidden="1" outlineLevel="1" ht="25.9" customFormat="1" customHeight="1" s="12">
      <c r="A37" s="258" t="n">
        <v>16</v>
      </c>
      <c r="B37" s="152" t="inlineStr">
        <is>
          <t>041000</t>
        </is>
      </c>
      <c r="C37" s="261" t="inlineStr">
        <is>
          <t>Преобразователи сварочные с номинальным сварочным током 315-500 А</t>
        </is>
      </c>
      <c r="D37" s="258" t="inlineStr">
        <is>
          <t>маш.час</t>
        </is>
      </c>
      <c r="E37" s="132" t="n">
        <v>264.99</v>
      </c>
      <c r="F37" s="263" t="n">
        <v>12.31</v>
      </c>
      <c r="G37" s="211">
        <f>ROUND(E37*F37,2)</f>
        <v/>
      </c>
      <c r="H37" s="212">
        <f>G37/$G$98</f>
        <v/>
      </c>
      <c r="I37" s="211">
        <f>ROUND(F37*'Прил. 10'!$D$12,2)</f>
        <v/>
      </c>
      <c r="J37" s="211">
        <f>ROUND(I37*E37,2)</f>
        <v/>
      </c>
    </row>
    <row r="38" hidden="1" outlineLevel="1" ht="38.85" customFormat="1" customHeight="1" s="12">
      <c r="A38" s="258" t="n">
        <v>17</v>
      </c>
      <c r="B38" s="152" t="inlineStr">
        <is>
          <t>270301</t>
        </is>
      </c>
      <c r="C38" s="261" t="inlineStr">
        <is>
          <t>Насосы грязевые, подача 23,4-65,3 м3/ч, давление нагнетания 15,7-5,88 МПа (160-60 кгс/см2)</t>
        </is>
      </c>
      <c r="D38" s="258" t="inlineStr">
        <is>
          <t>маш.час</t>
        </is>
      </c>
      <c r="E38" s="132" t="n">
        <v>83.58</v>
      </c>
      <c r="F38" s="263" t="n">
        <v>32.71</v>
      </c>
      <c r="G38" s="211">
        <f>ROUND(E38*F38,2)</f>
        <v/>
      </c>
      <c r="H38" s="212">
        <f>G38/$G$98</f>
        <v/>
      </c>
      <c r="I38" s="211">
        <f>ROUND(F38*'Прил. 10'!$D$12,2)</f>
        <v/>
      </c>
      <c r="J38" s="211">
        <f>ROUND(I38*E38,2)</f>
        <v/>
      </c>
    </row>
    <row r="39" hidden="1" outlineLevel="1" ht="38.85" customFormat="1" customHeight="1" s="12">
      <c r="A39" s="258" t="n">
        <v>18</v>
      </c>
      <c r="B39" s="152" t="inlineStr">
        <is>
          <t>021102</t>
        </is>
      </c>
      <c r="C39" s="261" t="inlineStr">
        <is>
          <t>Краны на автомобильном ходу при работе на монтаже технологического оборудования 10 т</t>
        </is>
      </c>
      <c r="D39" s="258" t="inlineStr">
        <is>
          <t>маш.час</t>
        </is>
      </c>
      <c r="E39" s="132" t="n">
        <v>15.52</v>
      </c>
      <c r="F39" s="263" t="n">
        <v>134.65</v>
      </c>
      <c r="G39" s="211">
        <f>ROUND(E39*F39,2)</f>
        <v/>
      </c>
      <c r="H39" s="212">
        <f>G39/$G$98</f>
        <v/>
      </c>
      <c r="I39" s="211">
        <f>ROUND(F39*'Прил. 10'!$D$12,2)</f>
        <v/>
      </c>
      <c r="J39" s="211">
        <f>ROUND(I39*E39,2)</f>
        <v/>
      </c>
    </row>
    <row r="40" hidden="1" outlineLevel="1" ht="13.7" customFormat="1" customHeight="1" s="12">
      <c r="A40" s="258" t="n">
        <v>19</v>
      </c>
      <c r="B40" s="152" t="inlineStr">
        <is>
          <t>330901</t>
        </is>
      </c>
      <c r="C40" s="261" t="inlineStr">
        <is>
          <t>Ножницы электрические</t>
        </is>
      </c>
      <c r="D40" s="258" t="inlineStr">
        <is>
          <t>маш.час</t>
        </is>
      </c>
      <c r="E40" s="132" t="n">
        <v>44.85</v>
      </c>
      <c r="F40" s="263" t="n">
        <v>33.59</v>
      </c>
      <c r="G40" s="211">
        <f>ROUND(E40*F40,2)</f>
        <v/>
      </c>
      <c r="H40" s="212">
        <f>G40/$G$98</f>
        <v/>
      </c>
      <c r="I40" s="211">
        <f>ROUND(F40*'Прил. 10'!$D$12,2)</f>
        <v/>
      </c>
      <c r="J40" s="211">
        <f>ROUND(I40*E40,2)</f>
        <v/>
      </c>
    </row>
    <row r="41" hidden="1" outlineLevel="1" ht="13.7" customFormat="1" customHeight="1" s="12">
      <c r="A41" s="258" t="n">
        <v>20</v>
      </c>
      <c r="B41" s="152" t="inlineStr">
        <is>
          <t>121011</t>
        </is>
      </c>
      <c r="C41" s="261" t="inlineStr">
        <is>
          <t>Котлы битумные передвижные 400 л</t>
        </is>
      </c>
      <c r="D41" s="258" t="inlineStr">
        <is>
          <t>маш.час</t>
        </is>
      </c>
      <c r="E41" s="132" t="n">
        <v>48.08</v>
      </c>
      <c r="F41" s="263" t="n">
        <v>30</v>
      </c>
      <c r="G41" s="211">
        <f>ROUND(E41*F41,2)</f>
        <v/>
      </c>
      <c r="H41" s="212">
        <f>G41/$G$98</f>
        <v/>
      </c>
      <c r="I41" s="211">
        <f>ROUND(F41*'Прил. 10'!$D$12,2)</f>
        <v/>
      </c>
      <c r="J41" s="211">
        <f>ROUND(I41*E41,2)</f>
        <v/>
      </c>
    </row>
    <row r="42" hidden="1" outlineLevel="1" ht="51.6" customFormat="1" customHeight="1" s="12">
      <c r="A42" s="258" t="n">
        <v>21</v>
      </c>
      <c r="B42" s="152" t="inlineStr">
        <is>
          <t>050101</t>
        </is>
      </c>
      <c r="C42" s="261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42" s="258" t="inlineStr">
        <is>
          <t>маш.час</t>
        </is>
      </c>
      <c r="E42" s="132" t="n">
        <v>14.82</v>
      </c>
      <c r="F42" s="263" t="n">
        <v>90</v>
      </c>
      <c r="G42" s="211">
        <f>ROUND(E42*F42,2)</f>
        <v/>
      </c>
      <c r="H42" s="212">
        <f>G42/$G$98</f>
        <v/>
      </c>
      <c r="I42" s="211">
        <f>ROUND(F42*'Прил. 10'!$D$12,2)</f>
        <v/>
      </c>
      <c r="J42" s="211">
        <f>ROUND(I42*E42,2)</f>
        <v/>
      </c>
    </row>
    <row r="43" hidden="1" outlineLevel="1" ht="25.9" customFormat="1" customHeight="1" s="12">
      <c r="A43" s="258" t="n">
        <v>22</v>
      </c>
      <c r="B43" s="152" t="inlineStr">
        <is>
          <t>020403</t>
        </is>
      </c>
      <c r="C43" s="261" t="inlineStr">
        <is>
          <t>Краны козловые при работе на монтаже технологического оборудования 32 т</t>
        </is>
      </c>
      <c r="D43" s="258" t="inlineStr">
        <is>
          <t>маш.час</t>
        </is>
      </c>
      <c r="E43" s="132" t="n">
        <v>9.359999999999999</v>
      </c>
      <c r="F43" s="263" t="n">
        <v>120.52</v>
      </c>
      <c r="G43" s="211">
        <f>ROUND(E43*F43,2)</f>
        <v/>
      </c>
      <c r="H43" s="212">
        <f>G43/$G$98</f>
        <v/>
      </c>
      <c r="I43" s="211">
        <f>ROUND(F43*'Прил. 10'!$D$12,2)</f>
        <v/>
      </c>
      <c r="J43" s="211">
        <f>ROUND(I43*E43,2)</f>
        <v/>
      </c>
    </row>
    <row r="44" hidden="1" outlineLevel="1" ht="38.85" customFormat="1" customHeight="1" s="12">
      <c r="A44" s="258" t="n">
        <v>23</v>
      </c>
      <c r="B44" s="152" t="inlineStr">
        <is>
          <t>101401</t>
        </is>
      </c>
      <c r="C44" s="261" t="inlineStr">
        <is>
          <t>Насосы для нагнетания воды, содержащей твердые частицы, подача 45 м3/ч, напор до 55 м</t>
        </is>
      </c>
      <c r="D44" s="258" t="inlineStr">
        <is>
          <t>маш.час</t>
        </is>
      </c>
      <c r="E44" s="132" t="n">
        <v>83.16</v>
      </c>
      <c r="F44" s="263" t="n">
        <v>9.73</v>
      </c>
      <c r="G44" s="211">
        <f>ROUND(E44*F44,2)</f>
        <v/>
      </c>
      <c r="H44" s="212">
        <f>G44/$G$98</f>
        <v/>
      </c>
      <c r="I44" s="211">
        <f>ROUND(F44*'Прил. 10'!$D$12,2)</f>
        <v/>
      </c>
      <c r="J44" s="211">
        <f>ROUND(I44*E44,2)</f>
        <v/>
      </c>
    </row>
    <row r="45" hidden="1" outlineLevel="1" ht="38.85" customFormat="1" customHeight="1" s="12">
      <c r="A45" s="258" t="n">
        <v>24</v>
      </c>
      <c r="B45" s="152" t="inlineStr">
        <is>
          <t>040202</t>
        </is>
      </c>
      <c r="C45" s="261" t="inlineStr">
        <is>
          <t>Агрегаты сварочные передвижные с номинальным сварочным током 250-400 А с дизельным двигателем</t>
        </is>
      </c>
      <c r="D45" s="258" t="inlineStr">
        <is>
          <t>маш.час</t>
        </is>
      </c>
      <c r="E45" s="132" t="n">
        <v>55.58</v>
      </c>
      <c r="F45" s="263" t="n">
        <v>14</v>
      </c>
      <c r="G45" s="211">
        <f>ROUND(E45*F45,2)</f>
        <v/>
      </c>
      <c r="H45" s="212">
        <f>G45/$G$98</f>
        <v/>
      </c>
      <c r="I45" s="211">
        <f>ROUND(F45*'Прил. 10'!$D$12,2)</f>
        <v/>
      </c>
      <c r="J45" s="211">
        <f>ROUND(I45*E45,2)</f>
        <v/>
      </c>
    </row>
    <row r="46" hidden="1" outlineLevel="1" ht="25.9" customFormat="1" customHeight="1" s="12">
      <c r="A46" s="258" t="n">
        <v>25</v>
      </c>
      <c r="B46" s="152" t="inlineStr">
        <is>
          <t>020121</t>
        </is>
      </c>
      <c r="C46" s="261" t="inlineStr">
        <is>
          <t>Краны башенные при работе на монтаже технологического оборудования 25-75 т</t>
        </is>
      </c>
      <c r="D46" s="258" t="inlineStr">
        <is>
          <t>маш.час</t>
        </is>
      </c>
      <c r="E46" s="132" t="n">
        <v>2.28</v>
      </c>
      <c r="F46" s="263" t="n">
        <v>312.21</v>
      </c>
      <c r="G46" s="211">
        <f>ROUND(E46*F46,2)</f>
        <v/>
      </c>
      <c r="H46" s="212">
        <f>G46/$G$98</f>
        <v/>
      </c>
      <c r="I46" s="211">
        <f>ROUND(F46*'Прил. 10'!$D$12,2)</f>
        <v/>
      </c>
      <c r="J46" s="211">
        <f>ROUND(I46*E46,2)</f>
        <v/>
      </c>
    </row>
    <row r="47" hidden="1" outlineLevel="1" ht="25.9" customFormat="1" customHeight="1" s="12">
      <c r="A47" s="258" t="n">
        <v>26</v>
      </c>
      <c r="B47" s="152" t="inlineStr">
        <is>
          <t>030405</t>
        </is>
      </c>
      <c r="C47" s="261" t="inlineStr">
        <is>
          <t>Лебедки электрические тяговым усилием до 49,05 кН (5 т)</t>
        </is>
      </c>
      <c r="D47" s="258" t="inlineStr">
        <is>
          <t>маш.час</t>
        </is>
      </c>
      <c r="E47" s="132" t="n">
        <v>85.17</v>
      </c>
      <c r="F47" s="263" t="n">
        <v>8.199999999999999</v>
      </c>
      <c r="G47" s="211">
        <f>ROUND(E47*F47,2)</f>
        <v/>
      </c>
      <c r="H47" s="212">
        <f>G47/$G$98</f>
        <v/>
      </c>
      <c r="I47" s="211">
        <f>ROUND(F47*'Прил. 10'!$D$12,2)</f>
        <v/>
      </c>
      <c r="J47" s="211">
        <f>ROUND(I47*E47,2)</f>
        <v/>
      </c>
    </row>
    <row r="48" hidden="1" outlineLevel="1" ht="25.9" customFormat="1" customHeight="1" s="12">
      <c r="A48" s="258" t="n">
        <v>27</v>
      </c>
      <c r="B48" s="152" t="inlineStr">
        <is>
          <t>070150</t>
        </is>
      </c>
      <c r="C48" s="261" t="inlineStr">
        <is>
          <t>Бульдозеры при работе на других видах строительства 96 кВт (130 л.с.)</t>
        </is>
      </c>
      <c r="D48" s="258" t="inlineStr">
        <is>
          <t>маш.час</t>
        </is>
      </c>
      <c r="E48" s="132" t="n">
        <v>6.79</v>
      </c>
      <c r="F48" s="263" t="n">
        <v>94.05</v>
      </c>
      <c r="G48" s="211">
        <f>ROUND(E48*F48,2)</f>
        <v/>
      </c>
      <c r="H48" s="212">
        <f>G48/$G$98</f>
        <v/>
      </c>
      <c r="I48" s="211">
        <f>ROUND(F48*'Прил. 10'!$D$12,2)</f>
        <v/>
      </c>
      <c r="J48" s="211">
        <f>ROUND(I48*E48,2)</f>
        <v/>
      </c>
    </row>
    <row r="49" hidden="1" outlineLevel="1" ht="25.9" customFormat="1" customHeight="1" s="12">
      <c r="A49" s="258" t="n">
        <v>28</v>
      </c>
      <c r="B49" s="152" t="inlineStr">
        <is>
          <t>021143</t>
        </is>
      </c>
      <c r="C49" s="261" t="inlineStr">
        <is>
          <t>Краны на автомобильном ходу при работе на других видах строительства 16 т</t>
        </is>
      </c>
      <c r="D49" s="258" t="inlineStr">
        <is>
          <t>маш.час</t>
        </is>
      </c>
      <c r="E49" s="132" t="n">
        <v>5.5</v>
      </c>
      <c r="F49" s="263" t="n">
        <v>115.4</v>
      </c>
      <c r="G49" s="211">
        <f>ROUND(E49*F49,2)</f>
        <v/>
      </c>
      <c r="H49" s="212">
        <f>G49/$G$98</f>
        <v/>
      </c>
      <c r="I49" s="211">
        <f>ROUND(F49*'Прил. 10'!$D$12,2)</f>
        <v/>
      </c>
      <c r="J49" s="211">
        <f>ROUND(I49*E49,2)</f>
        <v/>
      </c>
    </row>
    <row r="50" hidden="1" outlineLevel="1" ht="38.85" customFormat="1" customHeight="1" s="12">
      <c r="A50" s="258" t="n">
        <v>29</v>
      </c>
      <c r="B50" s="152" t="inlineStr">
        <is>
          <t>060247</t>
        </is>
      </c>
      <c r="C50" s="261" t="inlineStr">
        <is>
          <t>Экскаваторы одноковшовые дизельные на гусеничном ходу при работе на других видах строительства 0,5 м3</t>
        </is>
      </c>
      <c r="D50" s="258" t="inlineStr">
        <is>
          <t>маш.час</t>
        </is>
      </c>
      <c r="E50" s="132" t="n">
        <v>5.62</v>
      </c>
      <c r="F50" s="263" t="n">
        <v>100</v>
      </c>
      <c r="G50" s="211">
        <f>ROUND(E50*F50,2)</f>
        <v/>
      </c>
      <c r="H50" s="212">
        <f>G50/$G$98</f>
        <v/>
      </c>
      <c r="I50" s="211">
        <f>ROUND(F50*'Прил. 10'!$D$12,2)</f>
        <v/>
      </c>
      <c r="J50" s="211">
        <f>ROUND(I50*E50,2)</f>
        <v/>
      </c>
    </row>
    <row r="51" hidden="1" outlineLevel="1" ht="25.9" customFormat="1" customHeight="1" s="12">
      <c r="A51" s="258" t="n">
        <v>30</v>
      </c>
      <c r="B51" s="152" t="inlineStr">
        <is>
          <t>110221</t>
        </is>
      </c>
      <c r="C51" s="261" t="inlineStr">
        <is>
          <t>Автобетононасосы: производительность 160 м3/ч</t>
        </is>
      </c>
      <c r="D51" s="258" t="inlineStr">
        <is>
          <t>маш.-ч</t>
        </is>
      </c>
      <c r="E51" s="132" t="n">
        <v>0.5659999999999999</v>
      </c>
      <c r="F51" s="263" t="n">
        <v>978.63</v>
      </c>
      <c r="G51" s="211">
        <f>ROUND(E51*F51,2)</f>
        <v/>
      </c>
      <c r="H51" s="212">
        <f>G51/$G$98</f>
        <v/>
      </c>
      <c r="I51" s="211">
        <f>ROUND(F51*'Прил. 10'!$D$12,2)</f>
        <v/>
      </c>
      <c r="J51" s="211">
        <f>ROUND(I51*E51,2)</f>
        <v/>
      </c>
    </row>
    <row r="52" hidden="1" outlineLevel="1" ht="25.9" customFormat="1" customHeight="1" s="12">
      <c r="A52" s="258" t="n">
        <v>31</v>
      </c>
      <c r="B52" s="152" t="inlineStr">
        <is>
          <t>400002</t>
        </is>
      </c>
      <c r="C52" s="261" t="inlineStr">
        <is>
          <t>Автомобили бортовые, грузоподъемность до 8 т</t>
        </is>
      </c>
      <c r="D52" s="258" t="inlineStr">
        <is>
          <t>маш.час</t>
        </is>
      </c>
      <c r="E52" s="132" t="n">
        <v>5.09</v>
      </c>
      <c r="F52" s="263" t="n">
        <v>107.3</v>
      </c>
      <c r="G52" s="211">
        <f>ROUND(E52*F52,2)</f>
        <v/>
      </c>
      <c r="H52" s="212">
        <f>G52/$G$98</f>
        <v/>
      </c>
      <c r="I52" s="211">
        <f>ROUND(F52*'Прил. 10'!$D$12,2)</f>
        <v/>
      </c>
      <c r="J52" s="211">
        <f>ROUND(I52*E52,2)</f>
        <v/>
      </c>
    </row>
    <row r="53" hidden="1" outlineLevel="1" ht="13.7" customFormat="1" customHeight="1" s="12">
      <c r="A53" s="258" t="n">
        <v>32</v>
      </c>
      <c r="B53" s="152" t="inlineStr">
        <is>
          <t>030101</t>
        </is>
      </c>
      <c r="C53" s="261" t="inlineStr">
        <is>
          <t>Автопогрузчики 5 т</t>
        </is>
      </c>
      <c r="D53" s="258" t="inlineStr">
        <is>
          <t>маш.час</t>
        </is>
      </c>
      <c r="E53" s="132" t="n">
        <v>5.99</v>
      </c>
      <c r="F53" s="263" t="n">
        <v>89.98999999999999</v>
      </c>
      <c r="G53" s="211">
        <f>ROUND(E53*F53,2)</f>
        <v/>
      </c>
      <c r="H53" s="212">
        <f>G53/$G$98</f>
        <v/>
      </c>
      <c r="I53" s="211">
        <f>ROUND(F53*'Прил. 10'!$D$12,2)</f>
        <v/>
      </c>
      <c r="J53" s="211">
        <f>ROUND(I53*E53,2)</f>
        <v/>
      </c>
    </row>
    <row r="54" hidden="1" outlineLevel="1" ht="25.9" customFormat="1" customHeight="1" s="12">
      <c r="A54" s="258" t="n">
        <v>33</v>
      </c>
      <c r="B54" s="152" t="inlineStr">
        <is>
          <t>030954</t>
        </is>
      </c>
      <c r="C54" s="261" t="inlineStr">
        <is>
          <t>Подъемники грузоподъемностью до 500 кг одномачтовые, высота подъема 45 м</t>
        </is>
      </c>
      <c r="D54" s="258" t="inlineStr">
        <is>
          <t>маш.час</t>
        </is>
      </c>
      <c r="E54" s="132" t="n">
        <v>13.39</v>
      </c>
      <c r="F54" s="263" t="n">
        <v>31.26</v>
      </c>
      <c r="G54" s="211">
        <f>ROUND(E54*F54,2)</f>
        <v/>
      </c>
      <c r="H54" s="212">
        <f>G54/$G$98</f>
        <v/>
      </c>
      <c r="I54" s="211">
        <f>ROUND(F54*'Прил. 10'!$D$12,2)</f>
        <v/>
      </c>
      <c r="J54" s="211">
        <f>ROUND(I54*E54,2)</f>
        <v/>
      </c>
    </row>
    <row r="55" hidden="1" outlineLevel="1" ht="25.9" customFormat="1" customHeight="1" s="12">
      <c r="A55" s="258" t="n">
        <v>34</v>
      </c>
      <c r="B55" s="152" t="inlineStr">
        <is>
          <t>140401</t>
        </is>
      </c>
      <c r="C55" s="261" t="inlineStr">
        <is>
          <t>Вибропогружатели высокочастотные для погружения свай до 1,5 т</t>
        </is>
      </c>
      <c r="D55" s="258" t="inlineStr">
        <is>
          <t>маш.час</t>
        </is>
      </c>
      <c r="E55" s="132" t="n">
        <v>9.81</v>
      </c>
      <c r="F55" s="263" t="n">
        <v>35</v>
      </c>
      <c r="G55" s="211">
        <f>ROUND(E55*F55,2)</f>
        <v/>
      </c>
      <c r="H55" s="212">
        <f>G55/$G$98</f>
        <v/>
      </c>
      <c r="I55" s="211">
        <f>ROUND(F55*'Прил. 10'!$D$12,2)</f>
        <v/>
      </c>
      <c r="J55" s="211">
        <f>ROUND(I55*E55,2)</f>
        <v/>
      </c>
    </row>
    <row r="56" hidden="1" outlineLevel="1" ht="25.9" customFormat="1" customHeight="1" s="12">
      <c r="A56" s="258" t="n">
        <v>35</v>
      </c>
      <c r="B56" s="152" t="inlineStr">
        <is>
          <t>030403</t>
        </is>
      </c>
      <c r="C56" s="261" t="inlineStr">
        <is>
          <t>Лебедки электрические тяговым усилием 19,62 кН (2 т)</t>
        </is>
      </c>
      <c r="D56" s="258" t="inlineStr">
        <is>
          <t>маш.час</t>
        </is>
      </c>
      <c r="E56" s="132" t="n">
        <v>51.17</v>
      </c>
      <c r="F56" s="263" t="n">
        <v>6.66</v>
      </c>
      <c r="G56" s="211">
        <f>ROUND(E56*F56,2)</f>
        <v/>
      </c>
      <c r="H56" s="212">
        <f>G56/$G$98</f>
        <v/>
      </c>
      <c r="I56" s="211">
        <f>ROUND(F56*'Прил. 10'!$D$12,2)</f>
        <v/>
      </c>
      <c r="J56" s="211">
        <f>ROUND(I56*E56,2)</f>
        <v/>
      </c>
    </row>
    <row r="57" hidden="1" outlineLevel="1" ht="38.85" customFormat="1" customHeight="1" s="12">
      <c r="A57" s="258" t="n">
        <v>36</v>
      </c>
      <c r="B57" s="152" t="inlineStr">
        <is>
          <t>340101</t>
        </is>
      </c>
      <c r="C57" s="261" t="inlineStr">
        <is>
          <t>Агрегаты окрасочные высокого давления для окраски поверхностей конструкций мощностью 1 кВт</t>
        </is>
      </c>
      <c r="D57" s="258" t="inlineStr">
        <is>
          <t>маш.час</t>
        </is>
      </c>
      <c r="E57" s="132" t="n">
        <v>42.57</v>
      </c>
      <c r="F57" s="263" t="n">
        <v>6.82</v>
      </c>
      <c r="G57" s="211">
        <f>ROUND(E57*F57,2)</f>
        <v/>
      </c>
      <c r="H57" s="212">
        <f>G57/$G$98</f>
        <v/>
      </c>
      <c r="I57" s="211">
        <f>ROUND(F57*'Прил. 10'!$D$12,2)</f>
        <v/>
      </c>
      <c r="J57" s="211">
        <f>ROUND(I57*E57,2)</f>
        <v/>
      </c>
    </row>
    <row r="58" hidden="1" outlineLevel="1" ht="13.7" customFormat="1" customHeight="1" s="12">
      <c r="A58" s="258" t="n">
        <v>37</v>
      </c>
      <c r="B58" s="152" t="inlineStr">
        <is>
          <t>110901</t>
        </is>
      </c>
      <c r="C58" s="261" t="inlineStr">
        <is>
          <t>Растворосмесители передвижные 65 л</t>
        </is>
      </c>
      <c r="D58" s="258" t="inlineStr">
        <is>
          <t>маш.час</t>
        </is>
      </c>
      <c r="E58" s="132" t="n">
        <v>21.34</v>
      </c>
      <c r="F58" s="263" t="n">
        <v>12.39</v>
      </c>
      <c r="G58" s="211">
        <f>ROUND(E58*F58,2)</f>
        <v/>
      </c>
      <c r="H58" s="212">
        <f>G58/$G$98</f>
        <v/>
      </c>
      <c r="I58" s="211">
        <f>ROUND(F58*'Прил. 10'!$D$12,2)</f>
        <v/>
      </c>
      <c r="J58" s="211">
        <f>ROUND(I58*E58,2)</f>
        <v/>
      </c>
    </row>
    <row r="59" hidden="1" outlineLevel="1" ht="25.9" customFormat="1" customHeight="1" s="12">
      <c r="A59" s="258" t="n">
        <v>38</v>
      </c>
      <c r="B59" s="152" t="inlineStr">
        <is>
          <t>030305</t>
        </is>
      </c>
      <c r="C59" s="261" t="inlineStr">
        <is>
          <t>Лебедки ручные и рычажные тяговым усилием 31,39 кН (3,2 т)</t>
        </is>
      </c>
      <c r="D59" s="258" t="inlineStr">
        <is>
          <t>маш.час</t>
        </is>
      </c>
      <c r="E59" s="132" t="n">
        <v>82.97</v>
      </c>
      <c r="F59" s="263" t="n">
        <v>3.12</v>
      </c>
      <c r="G59" s="211">
        <f>ROUND(E59*F59,2)</f>
        <v/>
      </c>
      <c r="H59" s="212">
        <f>G59/$G$98</f>
        <v/>
      </c>
      <c r="I59" s="211">
        <f>ROUND(F59*'Прил. 10'!$D$12,2)</f>
        <v/>
      </c>
      <c r="J59" s="211">
        <f>ROUND(I59*E59,2)</f>
        <v/>
      </c>
    </row>
    <row r="60" hidden="1" outlineLevel="1" ht="25.9" customFormat="1" customHeight="1" s="12">
      <c r="A60" s="258" t="n">
        <v>39</v>
      </c>
      <c r="B60" s="152" t="inlineStr">
        <is>
          <t>040801</t>
        </is>
      </c>
      <c r="C60" s="261" t="inlineStr">
        <is>
          <t>Выпрямители сварочные многопостовые с количеством постов до 30</t>
        </is>
      </c>
      <c r="D60" s="258" t="inlineStr">
        <is>
          <t>маш.час</t>
        </is>
      </c>
      <c r="E60" s="132" t="n">
        <v>7.08</v>
      </c>
      <c r="F60" s="263" t="n">
        <v>34.09</v>
      </c>
      <c r="G60" s="211">
        <f>ROUND(E60*F60,2)</f>
        <v/>
      </c>
      <c r="H60" s="212">
        <f>G60/$G$98</f>
        <v/>
      </c>
      <c r="I60" s="211">
        <f>ROUND(F60*'Прил. 10'!$D$12,2)</f>
        <v/>
      </c>
      <c r="J60" s="211">
        <f>ROUND(I60*E60,2)</f>
        <v/>
      </c>
    </row>
    <row r="61" hidden="1" outlineLevel="1" ht="13.7" customFormat="1" customHeight="1" s="12">
      <c r="A61" s="258" t="n">
        <v>40</v>
      </c>
      <c r="B61" s="152" t="inlineStr">
        <is>
          <t>400101</t>
        </is>
      </c>
      <c r="C61" s="261" t="inlineStr">
        <is>
          <t>Тягачи седельные, грузоподъемность 12 т</t>
        </is>
      </c>
      <c r="D61" s="258" t="inlineStr">
        <is>
          <t>маш.час</t>
        </is>
      </c>
      <c r="E61" s="132" t="n">
        <v>1.66</v>
      </c>
      <c r="F61" s="263" t="n">
        <v>127.82</v>
      </c>
      <c r="G61" s="211">
        <f>ROUND(E61*F61,2)</f>
        <v/>
      </c>
      <c r="H61" s="212">
        <f>G61/$G$98</f>
        <v/>
      </c>
      <c r="I61" s="211">
        <f>ROUND(F61*'Прил. 10'!$D$12,2)</f>
        <v/>
      </c>
      <c r="J61" s="211">
        <f>ROUND(I61*E61,2)</f>
        <v/>
      </c>
    </row>
    <row r="62" hidden="1" outlineLevel="1" ht="25.9" customFormat="1" customHeight="1" s="12">
      <c r="A62" s="258" t="n">
        <v>41</v>
      </c>
      <c r="B62" s="152" t="inlineStr">
        <is>
          <t>150702</t>
        </is>
      </c>
      <c r="C62" s="261" t="inlineStr">
        <is>
          <t>Трубоукладчики для труб диаметром до 700 мм грузоподъемностью 12,5 т</t>
        </is>
      </c>
      <c r="D62" s="258" t="inlineStr">
        <is>
          <t>маш.час</t>
        </is>
      </c>
      <c r="E62" s="132" t="n">
        <v>1.36</v>
      </c>
      <c r="F62" s="263" t="n">
        <v>152.5</v>
      </c>
      <c r="G62" s="211">
        <f>ROUND(E62*F62,2)</f>
        <v/>
      </c>
      <c r="H62" s="212">
        <f>G62/$G$98</f>
        <v/>
      </c>
      <c r="I62" s="211">
        <f>ROUND(F62*'Прил. 10'!$D$12,2)</f>
        <v/>
      </c>
      <c r="J62" s="211">
        <f>ROUND(I62*E62,2)</f>
        <v/>
      </c>
    </row>
    <row r="63" hidden="1" outlineLevel="1" ht="13.7" customFormat="1" customHeight="1" s="12">
      <c r="A63" s="258" t="n">
        <v>42</v>
      </c>
      <c r="B63" s="152" t="inlineStr">
        <is>
          <t>040504</t>
        </is>
      </c>
      <c r="C63" s="261" t="inlineStr">
        <is>
          <t>Аппарат для газовой сварки и резки</t>
        </is>
      </c>
      <c r="D63" s="258" t="inlineStr">
        <is>
          <t>маш.час</t>
        </is>
      </c>
      <c r="E63" s="132" t="n">
        <v>167.29</v>
      </c>
      <c r="F63" s="263" t="n">
        <v>1.2</v>
      </c>
      <c r="G63" s="211">
        <f>ROUND(E63*F63,2)</f>
        <v/>
      </c>
      <c r="H63" s="212">
        <f>G63/$G$98</f>
        <v/>
      </c>
      <c r="I63" s="211">
        <f>ROUND(F63*'Прил. 10'!$D$12,2)</f>
        <v/>
      </c>
      <c r="J63" s="211">
        <f>ROUND(I63*E63,2)</f>
        <v/>
      </c>
    </row>
    <row r="64" hidden="1" outlineLevel="1" ht="25.9" customFormat="1" customHeight="1" s="12">
      <c r="A64" s="258" t="n">
        <v>43</v>
      </c>
      <c r="B64" s="152" t="inlineStr">
        <is>
          <t>030402</t>
        </is>
      </c>
      <c r="C64" s="261" t="inlineStr">
        <is>
          <t>Лебедки электрические тяговым усилием до 12,26 кН (1,25 т)</t>
        </is>
      </c>
      <c r="D64" s="258" t="inlineStr">
        <is>
          <t>маш.час</t>
        </is>
      </c>
      <c r="E64" s="132" t="n">
        <v>56.85</v>
      </c>
      <c r="F64" s="263" t="n">
        <v>3.28</v>
      </c>
      <c r="G64" s="211">
        <f>ROUND(E64*F64,2)</f>
        <v/>
      </c>
      <c r="H64" s="212">
        <f>G64/$G$98</f>
        <v/>
      </c>
      <c r="I64" s="211">
        <f>ROUND(F64*'Прил. 10'!$D$12,2)</f>
        <v/>
      </c>
      <c r="J64" s="211">
        <f>ROUND(I64*E64,2)</f>
        <v/>
      </c>
    </row>
    <row r="65" hidden="1" outlineLevel="1" ht="51.6" customFormat="1" customHeight="1" s="12">
      <c r="A65" s="258" t="n">
        <v>44</v>
      </c>
      <c r="B65" s="152" t="inlineStr">
        <is>
          <t>041400</t>
        </is>
      </c>
      <c r="C65" s="26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5" s="258" t="inlineStr">
        <is>
          <t>маш.час</t>
        </is>
      </c>
      <c r="E65" s="132" t="n">
        <v>25.99</v>
      </c>
      <c r="F65" s="263" t="n">
        <v>6.7</v>
      </c>
      <c r="G65" s="211">
        <f>ROUND(E65*F65,2)</f>
        <v/>
      </c>
      <c r="H65" s="212">
        <f>G65/$G$98</f>
        <v/>
      </c>
      <c r="I65" s="211">
        <f>ROUND(F65*'Прил. 10'!$D$12,2)</f>
        <v/>
      </c>
      <c r="J65" s="211">
        <f>ROUND(I65*E65,2)</f>
        <v/>
      </c>
    </row>
    <row r="66" hidden="1" outlineLevel="1" ht="13.7" customFormat="1" customHeight="1" s="12">
      <c r="A66" s="258" t="n">
        <v>45</v>
      </c>
      <c r="B66" s="152" t="inlineStr">
        <is>
          <t>134041</t>
        </is>
      </c>
      <c r="C66" s="261" t="inlineStr">
        <is>
          <t>Шуруповерт</t>
        </is>
      </c>
      <c r="D66" s="258" t="inlineStr">
        <is>
          <t>маш.час</t>
        </is>
      </c>
      <c r="E66" s="132" t="n">
        <v>57.48</v>
      </c>
      <c r="F66" s="263" t="n">
        <v>3</v>
      </c>
      <c r="G66" s="211">
        <f>ROUND(E66*F66,2)</f>
        <v/>
      </c>
      <c r="H66" s="212">
        <f>G66/$G$98</f>
        <v/>
      </c>
      <c r="I66" s="211">
        <f>ROUND(F66*'Прил. 10'!$D$12,2)</f>
        <v/>
      </c>
      <c r="J66" s="211">
        <f>ROUND(I66*E66,2)</f>
        <v/>
      </c>
    </row>
    <row r="67" hidden="1" outlineLevel="1" ht="13.7" customFormat="1" customHeight="1" s="12">
      <c r="A67" s="258" t="n">
        <v>46</v>
      </c>
      <c r="B67" s="152" t="inlineStr">
        <is>
          <t>330301</t>
        </is>
      </c>
      <c r="C67" s="261" t="inlineStr">
        <is>
          <t>Машины шлифовальные электрические</t>
        </is>
      </c>
      <c r="D67" s="258" t="inlineStr">
        <is>
          <t>маш.час</t>
        </is>
      </c>
      <c r="E67" s="132" t="n">
        <v>33.05</v>
      </c>
      <c r="F67" s="263" t="n">
        <v>5.13</v>
      </c>
      <c r="G67" s="211">
        <f>ROUND(E67*F67,2)</f>
        <v/>
      </c>
      <c r="H67" s="212">
        <f>G67/$G$98</f>
        <v/>
      </c>
      <c r="I67" s="211">
        <f>ROUND(F67*'Прил. 10'!$D$12,2)</f>
        <v/>
      </c>
      <c r="J67" s="211">
        <f>ROUND(I67*E67,2)</f>
        <v/>
      </c>
    </row>
    <row r="68" hidden="1" outlineLevel="1" ht="13.7" customFormat="1" customHeight="1" s="12">
      <c r="A68" s="258" t="n">
        <v>47</v>
      </c>
      <c r="B68" s="152" t="inlineStr">
        <is>
          <t>330206</t>
        </is>
      </c>
      <c r="C68" s="261" t="inlineStr">
        <is>
          <t>Дрели электрические</t>
        </is>
      </c>
      <c r="D68" s="258" t="inlineStr">
        <is>
          <t>маш.час</t>
        </is>
      </c>
      <c r="E68" s="132" t="n">
        <v>86.26000000000001</v>
      </c>
      <c r="F68" s="263" t="n">
        <v>1.95</v>
      </c>
      <c r="G68" s="211">
        <f>ROUND(E68*F68,2)</f>
        <v/>
      </c>
      <c r="H68" s="212">
        <f>G68/$G$98</f>
        <v/>
      </c>
      <c r="I68" s="211">
        <f>ROUND(F68*'Прил. 10'!$D$12,2)</f>
        <v/>
      </c>
      <c r="J68" s="211">
        <f>ROUND(I68*E68,2)</f>
        <v/>
      </c>
    </row>
    <row r="69" hidden="1" outlineLevel="1" ht="25.9" customFormat="1" customHeight="1" s="12">
      <c r="A69" s="258" t="n">
        <v>48</v>
      </c>
      <c r="B69" s="152" t="inlineStr">
        <is>
          <t>031812</t>
        </is>
      </c>
      <c r="C69" s="261" t="inlineStr">
        <is>
          <t>Погрузчики одноковшовые универсальные фронтальные пневмоколесные 3 т</t>
        </is>
      </c>
      <c r="D69" s="258" t="inlineStr">
        <is>
          <t>маш.час</t>
        </is>
      </c>
      <c r="E69" s="132" t="n">
        <v>1.5</v>
      </c>
      <c r="F69" s="263" t="n">
        <v>90.40000000000001</v>
      </c>
      <c r="G69" s="211">
        <f>ROUND(E69*F69,2)</f>
        <v/>
      </c>
      <c r="H69" s="212">
        <f>G69/$G$98</f>
        <v/>
      </c>
      <c r="I69" s="211">
        <f>ROUND(F69*'Прил. 10'!$D$12,2)</f>
        <v/>
      </c>
      <c r="J69" s="211">
        <f>ROUND(I69*E69,2)</f>
        <v/>
      </c>
    </row>
    <row r="70" hidden="1" outlineLevel="1" ht="13.7" customFormat="1" customHeight="1" s="12">
      <c r="A70" s="258" t="n">
        <v>49</v>
      </c>
      <c r="B70" s="152" t="inlineStr">
        <is>
          <t>350481</t>
        </is>
      </c>
      <c r="C70" s="261" t="inlineStr">
        <is>
          <t>Пресс-ножницы комбинированные</t>
        </is>
      </c>
      <c r="D70" s="258" t="inlineStr">
        <is>
          <t>маш.час</t>
        </is>
      </c>
      <c r="E70" s="132" t="n">
        <v>8.550000000000001</v>
      </c>
      <c r="F70" s="263" t="n">
        <v>15.4</v>
      </c>
      <c r="G70" s="211">
        <f>ROUND(E70*F70,2)</f>
        <v/>
      </c>
      <c r="H70" s="212">
        <f>G70/$G$98</f>
        <v/>
      </c>
      <c r="I70" s="211">
        <f>ROUND(F70*'Прил. 10'!$D$12,2)</f>
        <v/>
      </c>
      <c r="J70" s="211">
        <f>ROUND(I70*E70,2)</f>
        <v/>
      </c>
    </row>
    <row r="71" hidden="1" outlineLevel="1" ht="13.7" customFormat="1" customHeight="1" s="12">
      <c r="A71" s="258" t="n">
        <v>50</v>
      </c>
      <c r="B71" s="152" t="inlineStr">
        <is>
          <t>331451</t>
        </is>
      </c>
      <c r="C71" s="261" t="inlineStr">
        <is>
          <t>Перфораторы электрические</t>
        </is>
      </c>
      <c r="D71" s="258" t="inlineStr">
        <is>
          <t>маш.час</t>
        </is>
      </c>
      <c r="E71" s="132" t="n">
        <v>54.08</v>
      </c>
      <c r="F71" s="263" t="n">
        <v>2.08</v>
      </c>
      <c r="G71" s="211">
        <f>ROUND(E71*F71,2)</f>
        <v/>
      </c>
      <c r="H71" s="212">
        <f>G71/$G$98</f>
        <v/>
      </c>
      <c r="I71" s="211">
        <f>ROUND(F71*'Прил. 10'!$D$12,2)</f>
        <v/>
      </c>
      <c r="J71" s="211">
        <f>ROUND(I71*E71,2)</f>
        <v/>
      </c>
    </row>
    <row r="72" hidden="1" outlineLevel="1" ht="13.7" customFormat="1" customHeight="1" s="12">
      <c r="A72" s="258" t="n">
        <v>51</v>
      </c>
      <c r="B72" s="152" t="inlineStr">
        <is>
          <t>340312</t>
        </is>
      </c>
      <c r="C72" s="261" t="inlineStr">
        <is>
          <t>Машины мозаично-шлифовальные</t>
        </is>
      </c>
      <c r="D72" s="258" t="inlineStr">
        <is>
          <t>маш.час</t>
        </is>
      </c>
      <c r="E72" s="132" t="n">
        <v>69.54000000000001</v>
      </c>
      <c r="F72" s="263" t="n">
        <v>1.5</v>
      </c>
      <c r="G72" s="211">
        <f>ROUND(E72*F72,2)</f>
        <v/>
      </c>
      <c r="H72" s="212">
        <f>G72/$G$98</f>
        <v/>
      </c>
      <c r="I72" s="211">
        <f>ROUND(F72*'Прил. 10'!$D$12,2)</f>
        <v/>
      </c>
      <c r="J72" s="211">
        <f>ROUND(I72*E72,2)</f>
        <v/>
      </c>
    </row>
    <row r="73" hidden="1" outlineLevel="1" ht="38.85" customFormat="1" customHeight="1" s="12">
      <c r="A73" s="258" t="n">
        <v>52</v>
      </c>
      <c r="B73" s="152" t="inlineStr">
        <is>
          <t>110221</t>
        </is>
      </c>
      <c r="C73" s="261" t="inlineStr">
        <is>
          <t>Автобетононасосы: производительность 160 м3/ч (см.тех.часть к сб. ФЕР6 п.1.6.40, 556-ПОС3)</t>
        </is>
      </c>
      <c r="D73" s="258" t="inlineStr">
        <is>
          <t>маш.-ч</t>
        </is>
      </c>
      <c r="E73" s="132" t="n">
        <v>0.08749999999999999</v>
      </c>
      <c r="F73" s="263" t="n">
        <v>978.63</v>
      </c>
      <c r="G73" s="211">
        <f>ROUND(E73*F73,2)</f>
        <v/>
      </c>
      <c r="H73" s="212">
        <f>G73/$G$98</f>
        <v/>
      </c>
      <c r="I73" s="211">
        <f>ROUND(F73*'Прил. 10'!$D$12,2)</f>
        <v/>
      </c>
      <c r="J73" s="211">
        <f>ROUND(I73*E73,2)</f>
        <v/>
      </c>
    </row>
    <row r="74" hidden="1" outlineLevel="1" ht="25.9" customFormat="1" customHeight="1" s="12">
      <c r="A74" s="258" t="n">
        <v>53</v>
      </c>
      <c r="B74" s="152" t="inlineStr">
        <is>
          <t>91.14.03-002</t>
        </is>
      </c>
      <c r="C74" s="261" t="inlineStr">
        <is>
          <t>Автомобили-самосвалы, грузоподъемность до 10 т</t>
        </is>
      </c>
      <c r="D74" s="258" t="inlineStr">
        <is>
          <t>маш.-ч</t>
        </is>
      </c>
      <c r="E74" s="258" t="n">
        <v>0.76</v>
      </c>
      <c r="F74" s="263" t="n">
        <v>87.48999999999999</v>
      </c>
      <c r="G74" s="211">
        <f>ROUND(E74*F74,2)</f>
        <v/>
      </c>
      <c r="H74" s="212">
        <f>G74/$G$98</f>
        <v/>
      </c>
      <c r="I74" s="211">
        <f>ROUND(F74*'Прил. 10'!$D$12,2)</f>
        <v/>
      </c>
      <c r="J74" s="211">
        <f>ROUND(I74*E74,2)</f>
        <v/>
      </c>
    </row>
    <row r="75" hidden="1" outlineLevel="1" ht="51.6" customFormat="1" customHeight="1" s="12">
      <c r="A75" s="258" t="n">
        <v>54</v>
      </c>
      <c r="B75" s="152" t="inlineStr">
        <is>
          <t>101208</t>
        </is>
      </c>
      <c r="C75" s="261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D75" s="258" t="inlineStr">
        <is>
          <t>маш.час</t>
        </is>
      </c>
      <c r="E75" s="132" t="n">
        <v>8.5</v>
      </c>
      <c r="F75" s="263" t="n">
        <v>7.77</v>
      </c>
      <c r="G75" s="211">
        <f>ROUND(E75*F75,2)</f>
        <v/>
      </c>
      <c r="H75" s="212">
        <f>G75/$G$98</f>
        <v/>
      </c>
      <c r="I75" s="211">
        <f>ROUND(F75*'Прил. 10'!$D$12,2)</f>
        <v/>
      </c>
      <c r="J75" s="211">
        <f>ROUND(I75*E75,2)</f>
        <v/>
      </c>
    </row>
    <row r="76" hidden="1" outlineLevel="1" ht="25.9" customFormat="1" customHeight="1" s="12">
      <c r="A76" s="258" t="n">
        <v>55</v>
      </c>
      <c r="B76" s="152" t="inlineStr">
        <is>
          <t>330210</t>
        </is>
      </c>
      <c r="C76" s="261" t="inlineStr">
        <is>
          <t>Установки для сверления отверстий в железобетоне диаметром до 160 мм</t>
        </is>
      </c>
      <c r="D76" s="258" t="inlineStr">
        <is>
          <t>маш.час</t>
        </is>
      </c>
      <c r="E76" s="132" t="n">
        <v>1.68</v>
      </c>
      <c r="F76" s="263" t="n">
        <v>34.55</v>
      </c>
      <c r="G76" s="211">
        <f>ROUND(E76*F76,2)</f>
        <v/>
      </c>
      <c r="H76" s="212">
        <f>G76/$G$98</f>
        <v/>
      </c>
      <c r="I76" s="211">
        <f>ROUND(F76*'Прил. 10'!$D$12,2)</f>
        <v/>
      </c>
      <c r="J76" s="211">
        <f>ROUND(I76*E76,2)</f>
        <v/>
      </c>
    </row>
    <row r="77" hidden="1" outlineLevel="1" ht="25.9" customFormat="1" customHeight="1" s="12">
      <c r="A77" s="258" t="n">
        <v>56</v>
      </c>
      <c r="B77" s="152" t="inlineStr">
        <is>
          <t>122801</t>
        </is>
      </c>
      <c r="C77" s="261" t="inlineStr">
        <is>
          <t>Виброплита с двигателем внутреннего сгорания</t>
        </is>
      </c>
      <c r="D77" s="258" t="inlineStr">
        <is>
          <t>маш.час</t>
        </is>
      </c>
      <c r="E77" s="132" t="n">
        <v>0.78</v>
      </c>
      <c r="F77" s="263" t="n">
        <v>60</v>
      </c>
      <c r="G77" s="211">
        <f>ROUND(E77*F77,2)</f>
        <v/>
      </c>
      <c r="H77" s="212">
        <f>G77/$G$98</f>
        <v/>
      </c>
      <c r="I77" s="211">
        <f>ROUND(F77*'Прил. 10'!$D$12,2)</f>
        <v/>
      </c>
      <c r="J77" s="211">
        <f>ROUND(I77*E77,2)</f>
        <v/>
      </c>
    </row>
    <row r="78" hidden="1" outlineLevel="1" ht="13.7" customFormat="1" customHeight="1" s="12">
      <c r="A78" s="258" t="n">
        <v>57</v>
      </c>
      <c r="B78" s="152" t="inlineStr">
        <is>
          <t>111301</t>
        </is>
      </c>
      <c r="C78" s="261" t="inlineStr">
        <is>
          <t>Вибратор поверхностный</t>
        </is>
      </c>
      <c r="D78" s="258" t="inlineStr">
        <is>
          <t>маш.час</t>
        </is>
      </c>
      <c r="E78" s="132" t="n">
        <v>62.3</v>
      </c>
      <c r="F78" s="263" t="n">
        <v>0.5</v>
      </c>
      <c r="G78" s="211">
        <f>ROUND(E78*F78,2)</f>
        <v/>
      </c>
      <c r="H78" s="212">
        <f>G78/$G$98</f>
        <v/>
      </c>
      <c r="I78" s="211">
        <f>ROUND(F78*'Прил. 10'!$D$12,2)</f>
        <v/>
      </c>
      <c r="J78" s="211">
        <f>ROUND(I78*E78,2)</f>
        <v/>
      </c>
    </row>
    <row r="79" hidden="1" outlineLevel="1" ht="13.7" customFormat="1" customHeight="1" s="12">
      <c r="A79" s="258" t="n">
        <v>58</v>
      </c>
      <c r="B79" s="152" t="inlineStr">
        <is>
          <t>111100</t>
        </is>
      </c>
      <c r="C79" s="261" t="inlineStr">
        <is>
          <t>Вибратор глубинный</t>
        </is>
      </c>
      <c r="D79" s="258" t="inlineStr">
        <is>
          <t>маш.час</t>
        </is>
      </c>
      <c r="E79" s="132" t="n">
        <v>16.19</v>
      </c>
      <c r="F79" s="263" t="n">
        <v>1.9</v>
      </c>
      <c r="G79" s="211">
        <f>ROUND(E79*F79,2)</f>
        <v/>
      </c>
      <c r="H79" s="212">
        <f>G79/$G$98</f>
        <v/>
      </c>
      <c r="I79" s="211">
        <f>ROUND(F79*'Прил. 10'!$D$12,2)</f>
        <v/>
      </c>
      <c r="J79" s="211">
        <f>ROUND(I79*E79,2)</f>
        <v/>
      </c>
    </row>
    <row r="80" hidden="1" outlineLevel="1" ht="25.9" customFormat="1" customHeight="1" s="12">
      <c r="A80" s="258" t="n">
        <v>59</v>
      </c>
      <c r="B80" s="152" t="inlineStr">
        <is>
          <t>030404</t>
        </is>
      </c>
      <c r="C80" s="261" t="inlineStr">
        <is>
          <t>Лебедки электрические тяговым усилием до 31,39 кН (3,2 т)</t>
        </is>
      </c>
      <c r="D80" s="258" t="inlineStr">
        <is>
          <t>маш.час</t>
        </is>
      </c>
      <c r="E80" s="132" t="n">
        <v>4.3</v>
      </c>
      <c r="F80" s="263" t="n">
        <v>6.9</v>
      </c>
      <c r="G80" s="211">
        <f>ROUND(E80*F80,2)</f>
        <v/>
      </c>
      <c r="H80" s="212">
        <f>G80/$G$98</f>
        <v/>
      </c>
      <c r="I80" s="211">
        <f>ROUND(F80*'Прил. 10'!$D$12,2)</f>
        <v/>
      </c>
      <c r="J80" s="211">
        <f>ROUND(I80*E80,2)</f>
        <v/>
      </c>
    </row>
    <row r="81" hidden="1" outlineLevel="1" ht="25.9" customFormat="1" customHeight="1" s="12">
      <c r="A81" s="258" t="n">
        <v>60</v>
      </c>
      <c r="B81" s="152" t="inlineStr">
        <is>
          <t>331100</t>
        </is>
      </c>
      <c r="C81" s="261" t="inlineStr">
        <is>
          <t>Трамбовки пневматические при работе от передвижных компрессорных станций</t>
        </is>
      </c>
      <c r="D81" s="258" t="inlineStr">
        <is>
          <t>маш.час</t>
        </is>
      </c>
      <c r="E81" s="132" t="n">
        <v>38.41</v>
      </c>
      <c r="F81" s="263" t="n">
        <v>0.55</v>
      </c>
      <c r="G81" s="211">
        <f>ROUND(E81*F81,2)</f>
        <v/>
      </c>
      <c r="H81" s="212">
        <f>G81/$G$98</f>
        <v/>
      </c>
      <c r="I81" s="211">
        <f>ROUND(F81*'Прил. 10'!$D$12,2)</f>
        <v/>
      </c>
      <c r="J81" s="211">
        <f>ROUND(I81*E81,2)</f>
        <v/>
      </c>
    </row>
    <row r="82" hidden="1" outlineLevel="1" ht="25.9" customFormat="1" customHeight="1" s="12">
      <c r="A82" s="258" t="n">
        <v>61</v>
      </c>
      <c r="B82" s="152" t="inlineStr">
        <is>
          <t>400111</t>
        </is>
      </c>
      <c r="C82" s="261" t="inlineStr">
        <is>
          <t>Полуприцепы общего назначения, грузоподъемность 12 т</t>
        </is>
      </c>
      <c r="D82" s="258" t="inlineStr">
        <is>
          <t>маш.час</t>
        </is>
      </c>
      <c r="E82" s="132" t="n">
        <v>1.66</v>
      </c>
      <c r="F82" s="263" t="n">
        <v>12</v>
      </c>
      <c r="G82" s="211">
        <f>ROUND(E82*F82,2)</f>
        <v/>
      </c>
      <c r="H82" s="212">
        <f>G82/$G$98</f>
        <v/>
      </c>
      <c r="I82" s="211">
        <f>ROUND(F82*'Прил. 10'!$D$12,2)</f>
        <v/>
      </c>
      <c r="J82" s="211">
        <f>ROUND(I82*E82,2)</f>
        <v/>
      </c>
    </row>
    <row r="83" hidden="1" outlineLevel="1" ht="25.9" customFormat="1" customHeight="1" s="12">
      <c r="A83" s="258" t="n">
        <v>62</v>
      </c>
      <c r="B83" s="152" t="inlineStr">
        <is>
          <t>030401</t>
        </is>
      </c>
      <c r="C83" s="261" t="inlineStr">
        <is>
          <t>Лебедки электрические тяговым усилием до 5,79 кН (0,59 т)</t>
        </is>
      </c>
      <c r="D83" s="258" t="inlineStr">
        <is>
          <t>маш.час</t>
        </is>
      </c>
      <c r="E83" s="132" t="n">
        <v>11.68</v>
      </c>
      <c r="F83" s="263" t="n">
        <v>1.7</v>
      </c>
      <c r="G83" s="211">
        <f>ROUND(E83*F83,2)</f>
        <v/>
      </c>
      <c r="H83" s="212">
        <f>G83/$G$98</f>
        <v/>
      </c>
      <c r="I83" s="211">
        <f>ROUND(F83*'Прил. 10'!$D$12,2)</f>
        <v/>
      </c>
      <c r="J83" s="211">
        <f>ROUND(I83*E83,2)</f>
        <v/>
      </c>
    </row>
    <row r="84" hidden="1" outlineLevel="1" ht="51.6" customFormat="1" customHeight="1" s="12">
      <c r="A84" s="258" t="n">
        <v>63</v>
      </c>
      <c r="B84" s="152" t="inlineStr">
        <is>
          <t>042900</t>
        </is>
      </c>
      <c r="C84" s="261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84" s="258" t="inlineStr">
        <is>
          <t>маш.час</t>
        </is>
      </c>
      <c r="E84" s="132" t="n">
        <v>0.32</v>
      </c>
      <c r="F84" s="263" t="n">
        <v>29.67</v>
      </c>
      <c r="G84" s="211">
        <f>ROUND(E84*F84,2)</f>
        <v/>
      </c>
      <c r="H84" s="212">
        <f>G84/$G$98</f>
        <v/>
      </c>
      <c r="I84" s="211">
        <f>ROUND(F84*'Прил. 10'!$D$12,2)</f>
        <v/>
      </c>
      <c r="J84" s="211">
        <f>ROUND(I84*E84,2)</f>
        <v/>
      </c>
    </row>
    <row r="85" hidden="1" outlineLevel="1" ht="25.9" customFormat="1" customHeight="1" s="12">
      <c r="A85" s="258" t="n">
        <v>64</v>
      </c>
      <c r="B85" s="152" t="inlineStr">
        <is>
          <t>332101</t>
        </is>
      </c>
      <c r="C85" s="261" t="inlineStr">
        <is>
          <t>Установки для изготовления бандажей, диафрагм, пряжек</t>
        </is>
      </c>
      <c r="D85" s="258" t="inlineStr">
        <is>
          <t>маш.час</t>
        </is>
      </c>
      <c r="E85" s="132" t="n">
        <v>3.39</v>
      </c>
      <c r="F85" s="263" t="n">
        <v>2.16</v>
      </c>
      <c r="G85" s="211">
        <f>ROUND(E85*F85,2)</f>
        <v/>
      </c>
      <c r="H85" s="212">
        <f>G85/$G$98</f>
        <v/>
      </c>
      <c r="I85" s="211">
        <f>ROUND(F85*'Прил. 10'!$D$12,2)</f>
        <v/>
      </c>
      <c r="J85" s="211">
        <f>ROUND(I85*E85,2)</f>
        <v/>
      </c>
    </row>
    <row r="86" hidden="1" outlineLevel="1" ht="13.7" customFormat="1" customHeight="1" s="12">
      <c r="A86" s="258" t="n">
        <v>65</v>
      </c>
      <c r="B86" s="152" t="inlineStr">
        <is>
          <t>331531</t>
        </is>
      </c>
      <c r="C86" s="261" t="inlineStr">
        <is>
          <t>Пила дисковая электрическая</t>
        </is>
      </c>
      <c r="D86" s="258" t="inlineStr">
        <is>
          <t>маш.час</t>
        </is>
      </c>
      <c r="E86" s="132" t="n">
        <v>4.79</v>
      </c>
      <c r="F86" s="263" t="n">
        <v>0.95</v>
      </c>
      <c r="G86" s="211">
        <f>ROUND(E86*F86,2)</f>
        <v/>
      </c>
      <c r="H86" s="212">
        <f>G86/$G$98</f>
        <v/>
      </c>
      <c r="I86" s="211">
        <f>ROUND(F86*'Прил. 10'!$D$12,2)</f>
        <v/>
      </c>
      <c r="J86" s="211">
        <f>ROUND(I86*E86,2)</f>
        <v/>
      </c>
    </row>
    <row r="87" hidden="1" outlineLevel="1" ht="13.7" customFormat="1" customHeight="1" s="12">
      <c r="A87" s="258" t="n">
        <v>66</v>
      </c>
      <c r="B87" s="152" t="inlineStr">
        <is>
          <t>331532</t>
        </is>
      </c>
      <c r="C87" s="261" t="inlineStr">
        <is>
          <t>Пила цепная электрическая</t>
        </is>
      </c>
      <c r="D87" s="258" t="inlineStr">
        <is>
          <t>маш.час</t>
        </is>
      </c>
      <c r="E87" s="132" t="n">
        <v>1.33</v>
      </c>
      <c r="F87" s="263" t="n">
        <v>3.27</v>
      </c>
      <c r="G87" s="211">
        <f>ROUND(E87*F87,2)</f>
        <v/>
      </c>
      <c r="H87" s="212">
        <f>G87/$G$98</f>
        <v/>
      </c>
      <c r="I87" s="211">
        <f>ROUND(F87*'Прил. 10'!$D$12,2)</f>
        <v/>
      </c>
      <c r="J87" s="211">
        <f>ROUND(I87*E87,2)</f>
        <v/>
      </c>
    </row>
    <row r="88" hidden="1" outlineLevel="1" ht="25.9" customFormat="1" customHeight="1" s="12">
      <c r="A88" s="258" t="n">
        <v>67</v>
      </c>
      <c r="B88" s="152" t="inlineStr">
        <is>
          <t>100602</t>
        </is>
      </c>
      <c r="C88" s="261" t="inlineStr">
        <is>
          <t>Молотки бурильные легкие при работе от передвижных компрессорных станций</t>
        </is>
      </c>
      <c r="D88" s="258" t="inlineStr">
        <is>
          <t>маш.час</t>
        </is>
      </c>
      <c r="E88" s="132" t="n">
        <v>0.93</v>
      </c>
      <c r="F88" s="263" t="n">
        <v>2.99</v>
      </c>
      <c r="G88" s="211">
        <f>ROUND(E88*F88,2)</f>
        <v/>
      </c>
      <c r="H88" s="212">
        <f>G88/$G$98</f>
        <v/>
      </c>
      <c r="I88" s="211">
        <f>ROUND(F88*'Прил. 10'!$D$12,2)</f>
        <v/>
      </c>
      <c r="J88" s="211">
        <f>ROUND(I88*E88,2)</f>
        <v/>
      </c>
    </row>
    <row r="89" hidden="1" outlineLevel="1" ht="25.9" customFormat="1" customHeight="1" s="12">
      <c r="A89" s="258" t="n">
        <v>68</v>
      </c>
      <c r="B89" s="152" t="inlineStr">
        <is>
          <t>020128</t>
        </is>
      </c>
      <c r="C89" s="261" t="inlineStr">
        <is>
          <t>Краны башенные при работе на других видах строительства 5 т</t>
        </is>
      </c>
      <c r="D89" s="258" t="inlineStr">
        <is>
          <t>маш.час</t>
        </is>
      </c>
      <c r="E89" s="132" t="n">
        <v>0.02</v>
      </c>
      <c r="F89" s="263" t="n">
        <v>83.43000000000001</v>
      </c>
      <c r="G89" s="211">
        <f>ROUND(E89*F89,2)</f>
        <v/>
      </c>
      <c r="H89" s="212">
        <f>G89/$G$98</f>
        <v/>
      </c>
      <c r="I89" s="211">
        <f>ROUND(F89*'Прил. 10'!$D$12,2)</f>
        <v/>
      </c>
      <c r="J89" s="211">
        <f>ROUND(I89*E89,2)</f>
        <v/>
      </c>
    </row>
    <row r="90" hidden="1" outlineLevel="1" ht="25.9" customFormat="1" customHeight="1" s="12">
      <c r="A90" s="258" t="n">
        <v>69</v>
      </c>
      <c r="B90" s="152" t="inlineStr">
        <is>
          <t>030203</t>
        </is>
      </c>
      <c r="C90" s="261" t="inlineStr">
        <is>
          <t>Домкраты гидравлические грузоподъемностью 63-100 т</t>
        </is>
      </c>
      <c r="D90" s="258" t="inlineStr">
        <is>
          <t>маш.час</t>
        </is>
      </c>
      <c r="E90" s="132" t="n">
        <v>1.72</v>
      </c>
      <c r="F90" s="263" t="n">
        <v>0.9</v>
      </c>
      <c r="G90" s="211">
        <f>ROUND(E90*F90,2)</f>
        <v/>
      </c>
      <c r="H90" s="212">
        <f>G90/$G$98</f>
        <v/>
      </c>
      <c r="I90" s="211">
        <f>ROUND(F90*'Прил. 10'!$D$12,2)</f>
        <v/>
      </c>
      <c r="J90" s="211">
        <f>ROUND(I90*E90,2)</f>
        <v/>
      </c>
    </row>
    <row r="91" hidden="1" outlineLevel="1" ht="25.9" customFormat="1" customHeight="1" s="12">
      <c r="A91" s="258" t="n">
        <v>70</v>
      </c>
      <c r="B91" s="152" t="inlineStr">
        <is>
          <t>021140</t>
        </is>
      </c>
      <c r="C91" s="261" t="inlineStr">
        <is>
          <t>Краны на автомобильном ходу при работе на других видах строительства 6,3 т</t>
        </is>
      </c>
      <c r="D91" s="258" t="inlineStr">
        <is>
          <t>маш.час</t>
        </is>
      </c>
      <c r="E91" s="132" t="n">
        <v>0.01</v>
      </c>
      <c r="F91" s="263" t="n">
        <v>88.01000000000001</v>
      </c>
      <c r="G91" s="211">
        <f>ROUND(E91*F91,2)</f>
        <v/>
      </c>
      <c r="H91" s="212">
        <f>G91/$G$98</f>
        <v/>
      </c>
      <c r="I91" s="211">
        <f>ROUND(F91*'Прил. 10'!$D$12,2)</f>
        <v/>
      </c>
      <c r="J91" s="211">
        <f>ROUND(I91*E91,2)</f>
        <v/>
      </c>
    </row>
    <row r="92" hidden="1" outlineLevel="1" ht="13.7" customFormat="1" customHeight="1" s="12">
      <c r="A92" s="258" t="n">
        <v>71</v>
      </c>
      <c r="B92" s="152" t="inlineStr">
        <is>
          <t>350451</t>
        </is>
      </c>
      <c r="C92" s="261" t="inlineStr">
        <is>
          <t>Пресс гидравлический с электроприводом</t>
        </is>
      </c>
      <c r="D92" s="258" t="inlineStr">
        <is>
          <t>маш.час</t>
        </is>
      </c>
      <c r="E92" s="132" t="n">
        <v>0.77</v>
      </c>
      <c r="F92" s="263" t="n">
        <v>1.11</v>
      </c>
      <c r="G92" s="211">
        <f>ROUND(E92*F92,2)</f>
        <v/>
      </c>
      <c r="H92" s="212">
        <f>G92/$G$98</f>
        <v/>
      </c>
      <c r="I92" s="211">
        <f>ROUND(F92*'Прил. 10'!$D$12,2)</f>
        <v/>
      </c>
      <c r="J92" s="211">
        <f>ROUND(I92*E92,2)</f>
        <v/>
      </c>
    </row>
    <row r="93" hidden="1" outlineLevel="1" ht="13.7" customFormat="1" customHeight="1" s="12">
      <c r="A93" s="258" t="n">
        <v>72</v>
      </c>
      <c r="B93" s="152" t="inlineStr">
        <is>
          <t>331002</t>
        </is>
      </c>
      <c r="C93" s="261" t="inlineStr">
        <is>
          <t>Станок сверлильный</t>
        </is>
      </c>
      <c r="D93" s="258" t="inlineStr">
        <is>
          <t>маш.час</t>
        </is>
      </c>
      <c r="E93" s="132" t="n">
        <v>0.2</v>
      </c>
      <c r="F93" s="263" t="n">
        <v>2.36</v>
      </c>
      <c r="G93" s="211">
        <f>ROUND(E93*F93,2)</f>
        <v/>
      </c>
      <c r="H93" s="212">
        <f>G93/$G$98</f>
        <v/>
      </c>
      <c r="I93" s="211">
        <f>ROUND(F93*'Прил. 10'!$D$12,2)</f>
        <v/>
      </c>
      <c r="J93" s="211">
        <f>ROUND(I93*E93,2)</f>
        <v/>
      </c>
    </row>
    <row r="94" hidden="1" outlineLevel="1" ht="13.7" customFormat="1" customHeight="1" s="12">
      <c r="A94" s="258" t="n">
        <v>73</v>
      </c>
      <c r="B94" s="152" t="inlineStr">
        <is>
          <t>339904</t>
        </is>
      </c>
      <c r="C94" s="261" t="inlineStr">
        <is>
          <t>Плиткорез MAKITA RH 4101</t>
        </is>
      </c>
      <c r="D94" s="258" t="inlineStr">
        <is>
          <t>маш.час</t>
        </is>
      </c>
      <c r="E94" s="132" t="n">
        <v>0.03</v>
      </c>
      <c r="F94" s="263" t="n">
        <v>9.970000000000001</v>
      </c>
      <c r="G94" s="211">
        <f>ROUND(E94*F94,2)</f>
        <v/>
      </c>
      <c r="H94" s="212">
        <f>G94/$G$98</f>
        <v/>
      </c>
      <c r="I94" s="211">
        <f>ROUND(F94*'Прил. 10'!$D$12,2)</f>
        <v/>
      </c>
      <c r="J94" s="211">
        <f>ROUND(I94*E94,2)</f>
        <v/>
      </c>
    </row>
    <row r="95" hidden="1" outlineLevel="1" ht="25.9" customFormat="1" customHeight="1" s="12">
      <c r="A95" s="258" t="n">
        <v>74</v>
      </c>
      <c r="B95" s="152" t="inlineStr">
        <is>
          <t>030952</t>
        </is>
      </c>
      <c r="C95" s="261" t="inlineStr">
        <is>
          <t>Подъемники грузоподъемностью до 500 кг одномачтовые, высота подъема 25 м</t>
        </is>
      </c>
      <c r="D95" s="258" t="inlineStr">
        <is>
          <t>маш.час</t>
        </is>
      </c>
      <c r="E95" s="132" t="n">
        <v>0.01</v>
      </c>
      <c r="F95" s="263" t="n">
        <v>27.66</v>
      </c>
      <c r="G95" s="211">
        <f>ROUND(E95*F95,2)</f>
        <v/>
      </c>
      <c r="H95" s="212">
        <f>G95/$G$98</f>
        <v/>
      </c>
      <c r="I95" s="211">
        <f>ROUND(F95*'Прил. 10'!$D$12,2)</f>
        <v/>
      </c>
      <c r="J95" s="211">
        <f>ROUND(I95*E95,2)</f>
        <v/>
      </c>
    </row>
    <row r="96" collapsed="1" ht="14.25" customFormat="1" customHeight="1" s="12">
      <c r="A96" s="258" t="n"/>
      <c r="B96" s="258" t="n"/>
      <c r="C96" s="261" t="inlineStr">
        <is>
          <t>Итого прочие машины и механизмы</t>
        </is>
      </c>
      <c r="D96" s="258" t="n"/>
      <c r="E96" s="262" t="n"/>
      <c r="F96" s="211" t="n"/>
      <c r="G96" s="159">
        <f>SUM(G34:G95)</f>
        <v/>
      </c>
      <c r="H96" s="212">
        <f>G96/G98</f>
        <v/>
      </c>
      <c r="I96" s="211" t="n"/>
      <c r="J96" s="159">
        <f>SUM(J34:J95)</f>
        <v/>
      </c>
    </row>
    <row r="97" ht="26.25" customFormat="1" customHeight="1" s="12">
      <c r="A97" s="258" t="n"/>
      <c r="B97" s="258" t="n"/>
      <c r="C97" s="217" t="inlineStr">
        <is>
          <t>Итого прочие машины и механизмы 
(с коэффициентом на демонтаж 0,7)</t>
        </is>
      </c>
      <c r="D97" s="258" t="n"/>
      <c r="E97" s="262" t="n"/>
      <c r="F97" s="211" t="n"/>
      <c r="G97" s="211">
        <f>G96*0.7</f>
        <v/>
      </c>
      <c r="H97" s="212">
        <f>G97/G99</f>
        <v/>
      </c>
      <c r="I97" s="211" t="n"/>
      <c r="J97" s="211">
        <f>J96*0.7</f>
        <v/>
      </c>
    </row>
    <row r="98" ht="25.5" customFormat="1" customHeight="1" s="12">
      <c r="A98" s="258" t="n"/>
      <c r="B98" s="258" t="n"/>
      <c r="C98" s="246" t="inlineStr">
        <is>
          <t>Итого по разделу «Машины и механизмы»</t>
        </is>
      </c>
      <c r="D98" s="258" t="n"/>
      <c r="E98" s="262" t="n"/>
      <c r="F98" s="211" t="n"/>
      <c r="G98" s="211">
        <f>G96+G32</f>
        <v/>
      </c>
      <c r="H98" s="227" t="n">
        <v>1</v>
      </c>
      <c r="I98" s="228" t="n"/>
      <c r="J98" s="226">
        <f>J96+J32</f>
        <v/>
      </c>
    </row>
    <row r="99" ht="42" customFormat="1" customHeight="1" s="12">
      <c r="A99" s="258" t="n"/>
      <c r="B99" s="258" t="n"/>
      <c r="C99" s="223" t="inlineStr">
        <is>
          <t>Итого по разделу «Машины и механизмы»  
(с коэффициентом на демонтаж 0,7)</t>
        </is>
      </c>
      <c r="D99" s="260" t="n"/>
      <c r="E99" s="225" t="n"/>
      <c r="F99" s="226" t="n"/>
      <c r="G99" s="226">
        <f>G33+G97</f>
        <v/>
      </c>
      <c r="H99" s="227" t="n">
        <v>1</v>
      </c>
      <c r="I99" s="228" t="n"/>
      <c r="J99" s="226">
        <f>J33+J97</f>
        <v/>
      </c>
    </row>
    <row r="100" ht="14.25" customFormat="1" customHeight="1" s="12">
      <c r="A100" s="258" t="n"/>
      <c r="B100" s="246" t="inlineStr">
        <is>
          <t>Оборудование</t>
        </is>
      </c>
      <c r="C100" s="320" t="n"/>
      <c r="D100" s="320" t="n"/>
      <c r="E100" s="320" t="n"/>
      <c r="F100" s="320" t="n"/>
      <c r="G100" s="320" t="n"/>
      <c r="H100" s="321" t="n"/>
      <c r="I100" s="216" t="n"/>
      <c r="J100" s="216" t="n"/>
    </row>
    <row r="101">
      <c r="A101" s="258" t="n"/>
      <c r="B101" s="167" t="n"/>
      <c r="C101" s="168" t="inlineStr">
        <is>
          <t>Итого основное оборудование</t>
        </is>
      </c>
      <c r="D101" s="167" t="n"/>
      <c r="E101" s="169" t="n"/>
      <c r="F101" s="170" t="n"/>
      <c r="G101" s="171" t="n">
        <v>0</v>
      </c>
      <c r="H101" s="172" t="n">
        <v>0</v>
      </c>
      <c r="I101" s="173" t="n"/>
      <c r="J101" s="171" t="n">
        <v>0</v>
      </c>
    </row>
    <row r="102">
      <c r="A102" s="258" t="n"/>
      <c r="B102" s="258" t="n"/>
      <c r="C102" s="261" t="inlineStr">
        <is>
          <t>Итого прочее оборудование</t>
        </is>
      </c>
      <c r="D102" s="258" t="n"/>
      <c r="E102" s="132" t="n"/>
      <c r="F102" s="263" t="n"/>
      <c r="G102" s="211" t="n">
        <v>0</v>
      </c>
      <c r="H102" s="264" t="n">
        <v>0</v>
      </c>
      <c r="I102" s="159" t="n"/>
      <c r="J102" s="211" t="n">
        <v>0</v>
      </c>
    </row>
    <row r="103">
      <c r="A103" s="258" t="n"/>
      <c r="B103" s="258" t="n"/>
      <c r="C103" s="246" t="inlineStr">
        <is>
          <t>Итого по разделу «Оборудование»</t>
        </is>
      </c>
      <c r="D103" s="258" t="n"/>
      <c r="E103" s="262" t="n"/>
      <c r="F103" s="263" t="n"/>
      <c r="G103" s="211">
        <f>G102+G101</f>
        <v/>
      </c>
      <c r="H103" s="264">
        <f>H102+H101</f>
        <v/>
      </c>
      <c r="I103" s="159" t="n"/>
      <c r="J103" s="211">
        <f>J102+J101</f>
        <v/>
      </c>
    </row>
    <row r="104" ht="25.5" customHeight="1">
      <c r="A104" s="258" t="n"/>
      <c r="B104" s="258" t="n"/>
      <c r="C104" s="261" t="inlineStr">
        <is>
          <t>в том числе технологическое оборудование</t>
        </is>
      </c>
      <c r="D104" s="258" t="n"/>
      <c r="E104" s="222" t="n"/>
      <c r="F104" s="263" t="n"/>
      <c r="G104" s="211">
        <f>G103</f>
        <v/>
      </c>
      <c r="H104" s="264" t="n"/>
      <c r="I104" s="159" t="n"/>
      <c r="J104" s="211">
        <f>J103</f>
        <v/>
      </c>
    </row>
    <row r="105" ht="14.25" customFormat="1" customHeight="1" s="12">
      <c r="A105" s="258" t="n"/>
      <c r="B105" s="246" t="inlineStr">
        <is>
          <t>Материалы</t>
        </is>
      </c>
      <c r="C105" s="320" t="n"/>
      <c r="D105" s="320" t="n"/>
      <c r="E105" s="320" t="n"/>
      <c r="F105" s="320" t="n"/>
      <c r="G105" s="320" t="n"/>
      <c r="H105" s="321" t="n"/>
      <c r="I105" s="216" t="n"/>
      <c r="J105" s="216" t="n"/>
    </row>
    <row r="106" ht="13.7" customFormat="1" customHeight="1" s="12">
      <c r="A106" s="258" t="n"/>
      <c r="B106" s="258" t="n"/>
      <c r="C106" s="261" t="inlineStr">
        <is>
          <t>Итого основные материалы</t>
        </is>
      </c>
      <c r="D106" s="258" t="n"/>
      <c r="E106" s="132" t="n"/>
      <c r="F106" s="263" t="n"/>
      <c r="G106" s="211" t="n">
        <v>0</v>
      </c>
      <c r="H106" s="212" t="n">
        <v>0</v>
      </c>
      <c r="I106" s="211" t="n"/>
      <c r="J106" s="211" t="n">
        <v>0</v>
      </c>
    </row>
    <row r="107" ht="14.25" customFormat="1" customHeight="1" s="12">
      <c r="A107" s="258" t="n"/>
      <c r="B107" s="258" t="n"/>
      <c r="C107" s="261" t="inlineStr">
        <is>
          <t>Итого прочие материалы</t>
        </is>
      </c>
      <c r="D107" s="258" t="n"/>
      <c r="E107" s="262" t="n"/>
      <c r="F107" s="263" t="n"/>
      <c r="G107" s="211" t="n">
        <v>0</v>
      </c>
      <c r="H107" s="212" t="n">
        <v>0</v>
      </c>
      <c r="I107" s="211" t="n"/>
      <c r="J107" s="211" t="n">
        <v>0</v>
      </c>
    </row>
    <row r="108" ht="14.25" customFormat="1" customHeight="1" s="12">
      <c r="A108" s="258" t="n"/>
      <c r="B108" s="258" t="n"/>
      <c r="C108" s="246" t="inlineStr">
        <is>
          <t>Итого по разделу «Материалы»</t>
        </is>
      </c>
      <c r="D108" s="258" t="n"/>
      <c r="E108" s="262" t="n"/>
      <c r="F108" s="263" t="n"/>
      <c r="G108" s="211">
        <f>G107+G106</f>
        <v/>
      </c>
      <c r="H108" s="212" t="n">
        <v>0</v>
      </c>
      <c r="I108" s="211" t="n"/>
      <c r="J108" s="211">
        <f>J107+J106</f>
        <v/>
      </c>
    </row>
    <row r="109" ht="14.25" customFormat="1" customHeight="1" s="12">
      <c r="A109" s="258" t="n"/>
      <c r="B109" s="258" t="n"/>
      <c r="C109" s="261" t="inlineStr">
        <is>
          <t>ИТОГО ПО РМ</t>
        </is>
      </c>
      <c r="D109" s="258" t="n"/>
      <c r="E109" s="262" t="n"/>
      <c r="F109" s="263" t="n"/>
      <c r="G109" s="211">
        <f>G15+G98+G108</f>
        <v/>
      </c>
      <c r="H109" s="264" t="n"/>
      <c r="I109" s="211" t="n"/>
      <c r="J109" s="211">
        <f>J15+J98+J108</f>
        <v/>
      </c>
    </row>
    <row r="110" ht="25.5" customFormat="1" customHeight="1" s="12">
      <c r="A110" s="258" t="n"/>
      <c r="B110" s="258" t="n"/>
      <c r="C110" s="261" t="inlineStr">
        <is>
          <t>ИТОГО ПО РМ
(с коэффициентом на демонтаж 0,7)</t>
        </is>
      </c>
      <c r="D110" s="258" t="n"/>
      <c r="E110" s="262" t="n"/>
      <c r="F110" s="263" t="n"/>
      <c r="G110" s="211">
        <f>G52+G99</f>
        <v/>
      </c>
      <c r="H110" s="212" t="n"/>
      <c r="I110" s="211" t="n"/>
      <c r="J110" s="211">
        <f>J15*0.7+J98*0.7+J108</f>
        <v/>
      </c>
    </row>
    <row r="111" ht="14.25" customFormat="1" customHeight="1" s="12">
      <c r="A111" s="258" t="n"/>
      <c r="B111" s="258" t="n"/>
      <c r="C111" s="261" t="inlineStr">
        <is>
          <t>Накладные расходы</t>
        </is>
      </c>
      <c r="D111" s="164">
        <f>ROUND(G111/(G$18+$G$15),2)</f>
        <v/>
      </c>
      <c r="E111" s="262" t="n"/>
      <c r="F111" s="263" t="n"/>
      <c r="G111" s="211">
        <f>215296+9.64</f>
        <v/>
      </c>
      <c r="H111" s="264" t="n"/>
      <c r="I111" s="211" t="n"/>
      <c r="J111" s="211">
        <f>ROUND(D111*(J15+J18),2)</f>
        <v/>
      </c>
    </row>
    <row r="112" ht="35.25" customFormat="1" customHeight="1" s="12">
      <c r="A112" s="258" t="n"/>
      <c r="B112" s="258" t="n"/>
      <c r="C112" s="261" t="inlineStr">
        <is>
          <t>Накладные расходы 
(с коэффициентом на демонтаж 0,7)</t>
        </is>
      </c>
      <c r="D112" s="213">
        <f>ROUND(G112/(G$19+$G$16),2)</f>
        <v/>
      </c>
      <c r="E112" s="262" t="n"/>
      <c r="F112" s="263" t="n"/>
      <c r="G112" s="211">
        <f>G111*0.7</f>
        <v/>
      </c>
      <c r="H112" s="264" t="n"/>
      <c r="I112" s="211" t="n"/>
      <c r="J112" s="211">
        <f>ROUND(D112*(J16+J19),2)</f>
        <v/>
      </c>
    </row>
    <row r="113" ht="14.25" customFormat="1" customHeight="1" s="12">
      <c r="A113" s="258" t="n"/>
      <c r="B113" s="258" t="n"/>
      <c r="C113" s="261" t="inlineStr">
        <is>
          <t>Сметная прибыль</t>
        </is>
      </c>
      <c r="D113" s="164">
        <f>ROUND(G113/(G$15+G$18),2)</f>
        <v/>
      </c>
      <c r="E113" s="262" t="n"/>
      <c r="F113" s="263" t="n"/>
      <c r="G113" s="211">
        <f>127050+6.26</f>
        <v/>
      </c>
      <c r="H113" s="264" t="n"/>
      <c r="I113" s="211" t="n"/>
      <c r="J113" s="211">
        <f>ROUND(D113*(J15+J18),2)</f>
        <v/>
      </c>
    </row>
    <row r="114" ht="30.75" customFormat="1" customHeight="1" s="12">
      <c r="A114" s="258" t="n"/>
      <c r="B114" s="258" t="n"/>
      <c r="C114" s="261" t="inlineStr">
        <is>
          <t>Сметная прибыль 
(с коэффициентом на демонтаж 0,7)</t>
        </is>
      </c>
      <c r="D114" s="213">
        <f>ROUND(G114/(G$16+G$19),2)</f>
        <v/>
      </c>
      <c r="E114" s="262" t="n"/>
      <c r="F114" s="263" t="n"/>
      <c r="G114" s="211">
        <f>G113*0.7</f>
        <v/>
      </c>
      <c r="H114" s="264" t="n"/>
      <c r="I114" s="211" t="n"/>
      <c r="J114" s="211">
        <f>ROUND(D114*(J16+J19),2)</f>
        <v/>
      </c>
    </row>
    <row r="115" ht="29.25" customFormat="1" customHeight="1" s="12">
      <c r="A115" s="258" t="n"/>
      <c r="B115" s="258" t="n"/>
      <c r="C115" s="261" t="inlineStr">
        <is>
          <t>Итого СМР (с НР и СП) 
(с коэффициентом на демонтаж 0,7)</t>
        </is>
      </c>
      <c r="D115" s="258" t="n"/>
      <c r="E115" s="262" t="n"/>
      <c r="F115" s="263" t="n"/>
      <c r="G115" s="211">
        <f>G110+G112+G114</f>
        <v/>
      </c>
      <c r="H115" s="264" t="n"/>
      <c r="I115" s="211" t="n"/>
      <c r="J115" s="211">
        <f>ROUND((J110+J112+J114),2)</f>
        <v/>
      </c>
    </row>
    <row r="116" ht="29.25" customFormat="1" customHeight="1" s="12">
      <c r="A116" s="258" t="n"/>
      <c r="B116" s="258" t="n"/>
      <c r="C116" s="261" t="inlineStr">
        <is>
          <t>ВСЕГО СМР + ОБОРУДОВАНИЕ 
(с коэффициентом на демонтаж 0,7)</t>
        </is>
      </c>
      <c r="D116" s="258" t="n"/>
      <c r="E116" s="262" t="n"/>
      <c r="F116" s="263" t="n"/>
      <c r="G116" s="211">
        <f>G115</f>
        <v/>
      </c>
      <c r="H116" s="264" t="n"/>
      <c r="I116" s="211" t="n"/>
      <c r="J116" s="211">
        <f>J115</f>
        <v/>
      </c>
    </row>
    <row r="117" ht="34.5" customFormat="1" customHeight="1" s="12">
      <c r="A117" s="258" t="n"/>
      <c r="B117" s="258" t="n"/>
      <c r="C117" s="261" t="inlineStr">
        <is>
          <t>ИТОГО ПОКАЗАТЕЛЬ НА ЕД. ИЗМ.</t>
        </is>
      </c>
      <c r="D117" s="258" t="inlineStr">
        <is>
          <t>м2</t>
        </is>
      </c>
      <c r="E117" s="262" t="n">
        <v>363.6</v>
      </c>
      <c r="F117" s="263" t="n"/>
      <c r="G117" s="211">
        <f>G116/E117</f>
        <v/>
      </c>
      <c r="H117" s="264" t="n"/>
      <c r="I117" s="211" t="n"/>
      <c r="J117" s="211">
        <f>J116/E117</f>
        <v/>
      </c>
    </row>
    <row r="118">
      <c r="A118" s="12" t="n"/>
      <c r="B118" s="12" t="n"/>
      <c r="C118" s="12" t="n"/>
      <c r="E118" s="12" t="n"/>
      <c r="I118" s="12" t="n"/>
    </row>
    <row r="119" ht="14.25" customFormat="1" customHeight="1" s="12">
      <c r="A119" s="4" t="inlineStr">
        <is>
          <t>Составил ______________________     Д.Ю. Нефедова</t>
        </is>
      </c>
      <c r="B119" s="12" t="n"/>
      <c r="C119" s="12" t="n"/>
      <c r="E119" s="12" t="n"/>
      <c r="I119" s="12" t="n"/>
    </row>
    <row r="120" ht="14.25" customFormat="1" customHeight="1" s="12">
      <c r="A120" s="30" t="inlineStr">
        <is>
          <t xml:space="preserve">                         (подпись, инициалы, фамилия)</t>
        </is>
      </c>
      <c r="B120" s="12" t="n"/>
      <c r="C120" s="12" t="n"/>
      <c r="E120" s="12" t="n"/>
      <c r="I120" s="12" t="n"/>
    </row>
    <row r="121" ht="14.25" customFormat="1" customHeight="1" s="12">
      <c r="A121" s="4" t="n"/>
      <c r="B121" s="12" t="n"/>
      <c r="C121" s="12" t="n"/>
      <c r="E121" s="12" t="n"/>
      <c r="I121" s="12" t="n"/>
    </row>
    <row r="122" ht="14.25" customFormat="1" customHeight="1" s="12">
      <c r="A122" s="4" t="inlineStr">
        <is>
          <t>Проверил ______________________        А.В. Костянецкая</t>
        </is>
      </c>
      <c r="B122" s="12" t="n"/>
      <c r="C122" s="12" t="n"/>
      <c r="E122" s="12" t="n"/>
      <c r="I122" s="12" t="n"/>
    </row>
    <row r="123" ht="14.25" customFormat="1" customHeight="1" s="12">
      <c r="A123" s="30" t="inlineStr">
        <is>
          <t xml:space="preserve">                        (подпись, инициалы, фамилия)</t>
        </is>
      </c>
      <c r="B123" s="12" t="n"/>
      <c r="C123" s="12" t="n"/>
      <c r="E123" s="12" t="n"/>
      <c r="I123" s="12" t="n"/>
    </row>
  </sheetData>
  <mergeCells count="18">
    <mergeCell ref="D10:D11"/>
    <mergeCell ref="B17:H17"/>
    <mergeCell ref="B13:H13"/>
    <mergeCell ref="F10:G10"/>
    <mergeCell ref="A7:H7"/>
    <mergeCell ref="B21:H21"/>
    <mergeCell ref="B105:H105"/>
    <mergeCell ref="I10:J10"/>
    <mergeCell ref="A10:A11"/>
    <mergeCell ref="D6:J6"/>
    <mergeCell ref="B100:H100"/>
    <mergeCell ref="A4:J4"/>
    <mergeCell ref="H2:J2"/>
    <mergeCell ref="C10:C11"/>
    <mergeCell ref="B10:B11"/>
    <mergeCell ref="E10:E11"/>
    <mergeCell ref="A8:H8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F33" sqref="F33"/>
    </sheetView>
  </sheetViews>
  <sheetFormatPr baseColWidth="8" defaultRowHeight="14.4" outlineLevelRow="0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9" t="inlineStr">
        <is>
          <t>Приложение №6</t>
        </is>
      </c>
    </row>
    <row r="2" ht="21.75" customHeight="1">
      <c r="A2" s="269" t="n"/>
      <c r="B2" s="269" t="n"/>
      <c r="C2" s="269" t="n"/>
      <c r="D2" s="269" t="n"/>
      <c r="E2" s="269" t="n"/>
      <c r="F2" s="269" t="n"/>
      <c r="G2" s="269" t="n"/>
    </row>
    <row r="3">
      <c r="A3" s="229" t="inlineStr">
        <is>
          <t>Расчет стоимости оборудования</t>
        </is>
      </c>
    </row>
    <row r="4" ht="30.75" customHeight="1">
      <c r="A4" s="232" t="inlineStr">
        <is>
          <t>Наименование разрабатываемого показателя УНЦ — Здания РПБ.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8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4" t="n"/>
      <c r="B9" s="261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58" t="n"/>
      <c r="B10" s="246" t="n"/>
      <c r="C10" s="261" t="inlineStr">
        <is>
          <t>ИТОГО ИНЖЕНЕРНОЕ ОБОРУДОВАНИЕ</t>
        </is>
      </c>
      <c r="D10" s="246" t="n"/>
      <c r="E10" s="102" t="n"/>
      <c r="F10" s="263" t="n"/>
      <c r="G10" s="263" t="n">
        <v>0</v>
      </c>
    </row>
    <row r="11">
      <c r="A11" s="258" t="n"/>
      <c r="B11" s="261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>
      <c r="A12" s="258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211" t="n">
        <v>0</v>
      </c>
    </row>
    <row r="13" ht="19.5" customHeight="1">
      <c r="A13" s="258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211">
        <f>G10+G12</f>
        <v/>
      </c>
    </row>
    <row r="14">
      <c r="A14" s="27" t="n"/>
      <c r="B14" s="149" t="n"/>
      <c r="C14" s="27" t="n"/>
      <c r="D14" s="27" t="n"/>
      <c r="E14" s="27" t="n"/>
      <c r="F14" s="27" t="n"/>
      <c r="G14" s="27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7" t="n"/>
      <c r="E15" s="27" t="n"/>
      <c r="F15" s="27" t="n"/>
      <c r="G15" s="27" t="n"/>
    </row>
    <row r="16">
      <c r="A16" s="30" t="inlineStr">
        <is>
          <t xml:space="preserve">                         (подпись, инициалы, фамилия)</t>
        </is>
      </c>
      <c r="B16" s="12" t="n"/>
      <c r="C16" s="12" t="n"/>
      <c r="D16" s="27" t="n"/>
      <c r="E16" s="27" t="n"/>
      <c r="F16" s="27" t="n"/>
      <c r="G16" s="27" t="n"/>
    </row>
    <row r="17">
      <c r="A17" s="4" t="n"/>
      <c r="B17" s="12" t="n"/>
      <c r="C17" s="12" t="n"/>
      <c r="D17" s="27" t="n"/>
      <c r="E17" s="27" t="n"/>
      <c r="F17" s="27" t="n"/>
      <c r="G17" s="27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7" t="n"/>
      <c r="E18" s="27" t="n"/>
      <c r="F18" s="27" t="n"/>
      <c r="G18" s="27" t="n"/>
    </row>
    <row r="19">
      <c r="A19" s="30" t="inlineStr">
        <is>
          <t xml:space="preserve">                        (подпись, инициалы, фамилия)</t>
        </is>
      </c>
      <c r="B19" s="12" t="n"/>
      <c r="C19" s="12" t="n"/>
      <c r="D19" s="27" t="n"/>
      <c r="E19" s="27" t="n"/>
      <c r="F19" s="27" t="n"/>
      <c r="G19" s="2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C13" sqref="C13"/>
    </sheetView>
  </sheetViews>
  <sheetFormatPr baseColWidth="8" defaultColWidth="8.85546875" defaultRowHeight="14.4" outlineLevelRow="0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25.9" customHeight="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</f>
        <v/>
      </c>
    </row>
    <row r="6" ht="19.9" customHeight="1">
      <c r="A6" s="232" t="inlineStr">
        <is>
          <t>Единица измерения  — 1 м2</t>
        </is>
      </c>
      <c r="D6" s="232" t="n"/>
    </row>
    <row r="7">
      <c r="A7" s="4" t="n"/>
      <c r="B7" s="4" t="n"/>
      <c r="C7" s="4" t="n"/>
      <c r="D7" s="4" t="n"/>
    </row>
    <row r="8" ht="14.45" customHeight="1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25.9" customHeight="1">
      <c r="A11" s="258" t="inlineStr">
        <is>
          <t>М7-04</t>
        </is>
      </c>
      <c r="B11" s="258" t="inlineStr">
        <is>
          <t>УНЦ на демонтаж зданий и  сооружений</t>
        </is>
      </c>
      <c r="C11" s="143">
        <f>D5</f>
        <v/>
      </c>
      <c r="D11" s="3">
        <f>'Прил.4 РМ'!C40/1000</f>
        <v/>
      </c>
      <c r="E11" s="142" t="n"/>
    </row>
    <row r="12">
      <c r="A12" s="27" t="n"/>
      <c r="B12" s="149" t="n"/>
      <c r="C12" s="27" t="n"/>
      <c r="D12" s="27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7" t="n"/>
    </row>
    <row r="14">
      <c r="A14" s="30" t="inlineStr">
        <is>
          <t xml:space="preserve">                         (подпись, инициалы, фамилия)</t>
        </is>
      </c>
      <c r="B14" s="12" t="n"/>
      <c r="C14" s="12" t="n"/>
      <c r="D14" s="27" t="n"/>
    </row>
    <row r="15">
      <c r="A15" s="4" t="n"/>
      <c r="B15" s="12" t="n"/>
      <c r="C15" s="12" t="n"/>
      <c r="D15" s="27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7" t="n"/>
    </row>
    <row r="17">
      <c r="A17" s="30" t="inlineStr">
        <is>
          <t xml:space="preserve">                        (подпись, инициалы, фамилия)</t>
        </is>
      </c>
      <c r="B17" s="12" t="n"/>
      <c r="C17" s="12" t="n"/>
      <c r="D17" s="2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C15" sqref="C15"/>
    </sheetView>
  </sheetViews>
  <sheetFormatPr baseColWidth="8" defaultRowHeight="14.4" outlineLevelRow="0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2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43" t="n">
        <v>6.26</v>
      </c>
    </row>
    <row r="15" ht="89.4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0" t="n">
        <v>0.039</v>
      </c>
    </row>
    <row r="16" ht="78.7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0" t="n">
        <v>0.021</v>
      </c>
    </row>
    <row r="17" ht="31.7" customHeight="1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30" t="n">
        <v>0.0214</v>
      </c>
    </row>
    <row r="18" ht="31.7" customHeight="1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30" t="n">
        <v>0.002</v>
      </c>
    </row>
    <row r="19" ht="24" customHeight="1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30" t="n">
        <v>0.03</v>
      </c>
    </row>
    <row r="20" ht="18.75" customHeight="1">
      <c r="B20" s="129" t="n"/>
    </row>
    <row r="21" ht="18.75" customHeight="1">
      <c r="B21" s="129" t="n"/>
    </row>
    <row r="22" ht="18.75" customHeight="1">
      <c r="B22" s="129" t="n"/>
    </row>
    <row r="23" ht="18.75" customHeight="1">
      <c r="B23" s="129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0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0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showGridLines="1" showRowColHeaders="1" tabSelected="0" view="pageBreakPreview" workbookViewId="0">
      <selection activeCell="F29" sqref="F29"/>
    </sheetView>
  </sheetViews>
  <sheetFormatPr baseColWidth="8" defaultRowHeight="14.4" outlineLevelRow="0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4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3" t="inlineStr">
        <is>
          <t>Составлен в уровне цен на 01.01.2023 г.</t>
        </is>
      </c>
      <c r="B4" s="114" t="n"/>
      <c r="C4" s="114" t="n"/>
      <c r="D4" s="114" t="n"/>
      <c r="E4" s="114" t="n"/>
      <c r="F4" s="114" t="n"/>
      <c r="G4" s="114" t="n"/>
    </row>
    <row r="5" ht="15.75" customHeight="1">
      <c r="A5" s="115" t="inlineStr">
        <is>
          <t>№ пп.</t>
        </is>
      </c>
      <c r="B5" s="115" t="inlineStr">
        <is>
          <t>Наименование элемента</t>
        </is>
      </c>
      <c r="C5" s="115" t="inlineStr">
        <is>
          <t>Обозначение</t>
        </is>
      </c>
      <c r="D5" s="115" t="inlineStr">
        <is>
          <t>Формула</t>
        </is>
      </c>
      <c r="E5" s="115" t="inlineStr">
        <is>
          <t>Величина элемента</t>
        </is>
      </c>
      <c r="F5" s="115" t="inlineStr">
        <is>
          <t>Наименования обосновывающих документов</t>
        </is>
      </c>
      <c r="G5" s="114" t="n"/>
    </row>
    <row r="6" ht="15.75" customHeight="1">
      <c r="A6" s="115" t="n">
        <v>1</v>
      </c>
      <c r="B6" s="115" t="n">
        <v>2</v>
      </c>
      <c r="C6" s="115" t="n">
        <v>3</v>
      </c>
      <c r="D6" s="115" t="n">
        <v>4</v>
      </c>
      <c r="E6" s="115" t="n">
        <v>5</v>
      </c>
      <c r="F6" s="115" t="n">
        <v>6</v>
      </c>
      <c r="G6" s="114" t="n"/>
    </row>
    <row r="7" ht="110.25" customHeight="1">
      <c r="A7" s="116" t="inlineStr">
        <is>
          <t>1.1</t>
        </is>
      </c>
      <c r="B7" s="1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119" t="n">
        <v>47872.94</v>
      </c>
      <c r="F7" s="1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4" t="n"/>
    </row>
    <row r="8" ht="31.7" customHeight="1">
      <c r="A8" s="116" t="inlineStr">
        <is>
          <t>1.2</t>
        </is>
      </c>
      <c r="B8" s="117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19">
        <f>1973/12</f>
        <v/>
      </c>
      <c r="F8" s="117" t="inlineStr">
        <is>
          <t>Производственный календарь 2023 год
(40-часов.неделя)</t>
        </is>
      </c>
      <c r="G8" s="120" t="n"/>
    </row>
    <row r="9" ht="15.75" customHeight="1">
      <c r="A9" s="116" t="inlineStr">
        <is>
          <t>1.3</t>
        </is>
      </c>
      <c r="B9" s="117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19" t="n">
        <v>1</v>
      </c>
      <c r="F9" s="117" t="n"/>
      <c r="G9" s="120" t="n"/>
    </row>
    <row r="10" ht="15.75" customHeight="1">
      <c r="A10" s="116" t="inlineStr">
        <is>
          <t>1.4</t>
        </is>
      </c>
      <c r="B10" s="117" t="inlineStr">
        <is>
          <t>Средний разряд работ</t>
        </is>
      </c>
      <c r="C10" s="243" t="n"/>
      <c r="D10" s="243" t="n"/>
      <c r="E10" s="121" t="n">
        <v>3.4</v>
      </c>
      <c r="F10" s="117" t="inlineStr">
        <is>
          <t>РТМ</t>
        </is>
      </c>
      <c r="G10" s="120" t="n"/>
    </row>
    <row r="11" ht="78.75" customHeight="1">
      <c r="A11" s="116" t="inlineStr">
        <is>
          <t>1.5</t>
        </is>
      </c>
      <c r="B11" s="117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22" t="n">
        <v>1.247</v>
      </c>
      <c r="F11" s="1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4" t="n"/>
    </row>
    <row r="12" ht="78.75" customHeight="1">
      <c r="A12" s="116" t="inlineStr">
        <is>
          <t>1.6</t>
        </is>
      </c>
      <c r="B12" s="123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24" t="n">
        <v>1.139</v>
      </c>
      <c r="F12" s="1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6" t="inlineStr">
        <is>
          <t>1.7</t>
        </is>
      </c>
      <c r="B13" s="126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27">
        <f>((E7*E9/E8)*E11)*E12</f>
        <v/>
      </c>
      <c r="F13" s="1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4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2025-01-24T12:12:19Z</dcterms:modified>
  <cp:lastModifiedBy>Антон Подгородников</cp:lastModifiedBy>
</cp:coreProperties>
</file>