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табл'!$A$1:$E$33</definedName>
    <definedName name="_xlnm.Print_Area" localSheetId="1">'Прил.2 Расч стоим'!$A$1:$J$41</definedName>
    <definedName name="_xlnm.Print_Area" localSheetId="4">'Прил.5 Расчет СМР и ОБ'!$A$1:$J$74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4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000000"/>
      <sz val="12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8" fillId="0" borderId="0" pivotButton="0" quotePrefix="0" xfId="0"/>
    <xf numFmtId="165" fontId="8" fillId="0" borderId="0" pivotButton="0" quotePrefix="0" xfId="0"/>
    <xf numFmtId="49" fontId="8" fillId="0" borderId="1" applyAlignment="1" pivotButton="0" quotePrefix="0" xfId="0">
      <alignment horizontal="center" vertical="center"/>
    </xf>
    <xf numFmtId="16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vertical="center" wrapText="1"/>
    </xf>
    <xf numFmtId="166" fontId="8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7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0" fontId="5" fillId="0" borderId="1" applyAlignment="1" pivotButton="0" quotePrefix="0" xfId="0">
      <alignment vertical="center" wrapText="1"/>
    </xf>
    <xf numFmtId="167" fontId="1" fillId="0" borderId="1" pivotButton="0" quotePrefix="0" xfId="0"/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7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4" fontId="6" fillId="0" borderId="1" applyAlignment="1" pivotButton="0" quotePrefix="0" xfId="0">
      <alignment vertical="center" wrapText="1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4" fontId="6" fillId="0" borderId="1" applyAlignment="1" pivotButton="0" quotePrefix="0" xfId="0">
      <alignment horizontal="right" vertical="center" wrapText="1"/>
    </xf>
    <xf numFmtId="10" fontId="6" fillId="0" borderId="4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left" vertical="center"/>
    </xf>
    <xf numFmtId="17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right" vertical="center" wrapText="1"/>
    </xf>
    <xf numFmtId="4" fontId="6" fillId="0" borderId="5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 wrapText="1"/>
    </xf>
    <xf numFmtId="2" fontId="10" fillId="0" borderId="1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vertical="top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justify" vertical="center" wrapText="1"/>
    </xf>
    <xf numFmtId="0" fontId="1" fillId="0" borderId="3" applyAlignment="1" pivotButton="0" quotePrefix="0" xfId="0">
      <alignment horizontal="justify" vertical="center" wrapText="1"/>
    </xf>
    <xf numFmtId="0" fontId="8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3" pivotButton="0" quotePrefix="0" xfId="0"/>
    <xf numFmtId="43" fontId="1" fillId="0" borderId="1" applyAlignment="1" pivotButton="0" quotePrefix="0" xfId="0">
      <alignment vertical="center" wrapText="1"/>
    </xf>
    <xf numFmtId="166" fontId="8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167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7" fontId="1" fillId="0" borderId="1" pivotButton="0" quotePrefix="0" xfId="0"/>
    <xf numFmtId="43" fontId="5" fillId="0" borderId="1" applyAlignment="1" pivotButton="0" quotePrefix="0" xfId="0">
      <alignment vertical="center" wrapText="1"/>
    </xf>
    <xf numFmtId="170" fontId="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17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2"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2"/>
  <sheetViews>
    <sheetView showGridLines="1" showRowColHeaders="1" tabSelected="1" view="pageBreakPreview" zoomScale="85" zoomScaleNormal="85" workbookViewId="0">
      <selection activeCell="B8" sqref="B8:E8"/>
    </sheetView>
  </sheetViews>
  <sheetFormatPr baseColWidth="8" defaultRowHeight="14.4" outlineLevelRow="0"/>
  <cols>
    <col width="9.140625" customWidth="1" style="104" min="1" max="1"/>
    <col width="30" customWidth="1" style="104" min="2" max="2"/>
    <col width="29.7109375" customWidth="1" style="104" min="3" max="3"/>
    <col width="29.7109375" customWidth="1" style="104" min="4" max="4"/>
    <col width="29.7109375" customWidth="1" style="104" min="5" max="5"/>
    <col width="9.140625" customWidth="1" style="104" min="6" max="6"/>
    <col width="9.140625" customWidth="1" style="104" min="7" max="7"/>
    <col width="9.140625" customWidth="1" style="104" min="8" max="8"/>
    <col width="9.140625" customWidth="1" style="104" min="9" max="9"/>
    <col width="9.140625" customWidth="1" style="104" min="10" max="10"/>
    <col width="9.140625" customWidth="1" style="104" min="11" max="11"/>
    <col width="9.140625" customWidth="1" style="104" min="12" max="12"/>
    <col width="9.140625" customWidth="1" style="104" min="13" max="13"/>
    <col width="10.42578125" customWidth="1" style="104" min="14" max="14"/>
    <col width="9.140625" customWidth="1" style="104" min="15" max="15"/>
  </cols>
  <sheetData>
    <row r="2" customFormat="1" s="147">
      <c r="B2" s="202" t="inlineStr">
        <is>
          <t>Приложение № 1</t>
        </is>
      </c>
      <c r="F2" s="99" t="n"/>
      <c r="G2" s="99" t="n"/>
    </row>
    <row r="3" customFormat="1" s="147">
      <c r="B3" s="235" t="inlineStr">
        <is>
          <t>Сравнительная таблица отбора объекта-представителя</t>
        </is>
      </c>
    </row>
    <row r="4" ht="15.75" customFormat="1" customHeight="1" s="147">
      <c r="B4" s="101" t="n"/>
      <c r="C4" s="101" t="n"/>
      <c r="D4" s="101" t="n"/>
      <c r="E4" s="101" t="n"/>
      <c r="F4" s="101" t="n"/>
      <c r="G4" s="101" t="n"/>
    </row>
    <row r="5" customFormat="1" s="147">
      <c r="B5" s="101" t="n"/>
      <c r="C5" s="101" t="n"/>
      <c r="D5" s="101" t="n"/>
      <c r="E5" s="101" t="n"/>
      <c r="F5" s="101" t="n"/>
      <c r="G5" s="101" t="n"/>
    </row>
    <row r="6" ht="15.75" customFormat="1" customHeight="1" s="147">
      <c r="B6" s="201" t="inlineStr">
        <is>
          <t>Наименование разрабатываемого показателя УНЦ — Демонтаж открытого склада</t>
        </is>
      </c>
      <c r="I6" s="102" t="n"/>
    </row>
    <row r="7" ht="31.7" customFormat="1" customHeight="1" s="147">
      <c r="B7" s="99" t="inlineStr">
        <is>
          <t xml:space="preserve">Сопоставимый уровень цен: </t>
        </is>
      </c>
      <c r="C7" s="99">
        <f>D22</f>
        <v/>
      </c>
      <c r="D7" s="99" t="n"/>
      <c r="E7" s="99" t="n"/>
      <c r="F7" s="99" t="n"/>
      <c r="G7" s="99" t="n"/>
    </row>
    <row r="8" ht="15.75" customFormat="1" customHeight="1" s="147">
      <c r="B8" s="203" t="inlineStr">
        <is>
          <t>Единица измерения  — м2</t>
        </is>
      </c>
      <c r="F8" s="99" t="n"/>
      <c r="G8" s="99" t="n"/>
      <c r="I8" s="102" t="n"/>
    </row>
    <row r="9" customFormat="1" s="147">
      <c r="B9" s="201" t="n"/>
      <c r="C9" s="201" t="n"/>
      <c r="D9" s="201" t="n"/>
      <c r="E9" s="201" t="n"/>
      <c r="F9" s="201" t="n"/>
      <c r="G9" s="201" t="n"/>
      <c r="I9" s="102" t="n"/>
    </row>
    <row r="10" customFormat="1" s="147">
      <c r="B10" s="201" t="n"/>
      <c r="C10" s="201" t="n"/>
      <c r="D10" s="201" t="n"/>
      <c r="E10" s="201" t="n"/>
      <c r="F10" s="201" t="n"/>
      <c r="G10" s="201" t="n"/>
      <c r="I10" s="102" t="n"/>
    </row>
    <row r="11" customFormat="1" s="147">
      <c r="A11" s="234" t="inlineStr">
        <is>
          <t>№ п/п</t>
        </is>
      </c>
      <c r="B11" s="234" t="inlineStr">
        <is>
          <t>Параметр</t>
        </is>
      </c>
      <c r="C11" s="234" t="inlineStr">
        <is>
          <t>Объект-представитель 1</t>
        </is>
      </c>
      <c r="D11" s="234" t="inlineStr">
        <is>
          <t>Объект-представитель 2</t>
        </is>
      </c>
      <c r="E11" s="234" t="inlineStr">
        <is>
          <t>Объект-представитель 3</t>
        </is>
      </c>
      <c r="F11" s="201" t="n"/>
      <c r="G11" s="201" t="n"/>
      <c r="I11" s="102" t="n"/>
    </row>
    <row r="12" ht="114" customHeight="1" s="145">
      <c r="A12" s="234" t="n">
        <v>1</v>
      </c>
      <c r="B12" s="142" t="inlineStr">
        <is>
          <t>Наименование объекта-представителя</t>
        </is>
      </c>
      <c r="C12" s="234" t="inlineStr">
        <is>
          <t>Строительство ПП 500 кВ Тобол с заходами ВЛ 500 кВ</t>
        </is>
      </c>
      <c r="D12" s="234" t="inlineStr">
        <is>
          <t>ПС 500 кВ Преображенская с заходами ВЛ 500 кВ Красноармейская-Газовая и ВЛ 220 кВ Бузулукская-Сорочинская</t>
        </is>
      </c>
      <c r="E12" s="234" t="inlineStr">
        <is>
          <t>Строительство ВЛ 220 кВ Зилово – Холбон (II этапы строительства) (ПС 220 кВ «Жирекен»)</t>
        </is>
      </c>
    </row>
    <row r="13" ht="31.7" customHeight="1" s="145">
      <c r="A13" s="234" t="n">
        <v>2</v>
      </c>
      <c r="B13" s="142" t="inlineStr">
        <is>
          <t>Наименование субъекта Российской Федерации</t>
        </is>
      </c>
      <c r="C13" s="234" t="inlineStr">
        <is>
          <t>Тюменская область</t>
        </is>
      </c>
      <c r="D13" s="234" t="inlineStr">
        <is>
          <t>Оренбургская область</t>
        </is>
      </c>
      <c r="E13" s="234" t="inlineStr">
        <is>
          <t>Забайкальский край</t>
        </is>
      </c>
    </row>
    <row r="14" ht="31.7" customHeight="1" s="145">
      <c r="A14" s="234" t="n">
        <v>3</v>
      </c>
      <c r="B14" s="142" t="inlineStr">
        <is>
          <t>Климатический район и подрайон</t>
        </is>
      </c>
      <c r="C14" s="234" t="inlineStr">
        <is>
          <t>IВ</t>
        </is>
      </c>
      <c r="D14" s="234" t="inlineStr">
        <is>
          <t>IIIА</t>
        </is>
      </c>
      <c r="E14" s="234" t="inlineStr">
        <is>
          <t>IД</t>
        </is>
      </c>
    </row>
    <row r="15" ht="31.7" customHeight="1" s="145">
      <c r="A15" s="234" t="n">
        <v>4</v>
      </c>
      <c r="B15" s="142" t="inlineStr">
        <is>
          <t>Мощность объекта (площадь м2)</t>
        </is>
      </c>
      <c r="C15" s="234" t="n">
        <v>297</v>
      </c>
      <c r="D15" s="234" t="n">
        <v>295.2</v>
      </c>
      <c r="E15" s="234" t="n">
        <v>1730</v>
      </c>
    </row>
    <row r="16" ht="141.75" customHeight="1" s="145">
      <c r="A16" s="234" t="n">
        <v>5</v>
      </c>
      <c r="B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234" t="inlineStr">
        <is>
          <t>Открытый склад материалов с ограждением. Основание площадки склада из щебня; фундамент ограждения –из монолитных буронабивных свай, ограждение из металлоконструкций</t>
        </is>
      </c>
      <c r="D16" s="234" t="inlineStr">
        <is>
          <t>Открытый склад масла размером 15,1х19,55(м) для 3-х резервуаров емкостью по 75(м3). Ограждение монолитное. Фундамент под резервуары из ФБМ и монолитного ж/б</t>
        </is>
      </c>
      <c r="E16" s="142" t="inlineStr">
        <is>
          <t xml:space="preserve"> Склад предназначен для складирования и хранения аварийного запаса материалов для ремонта и обслуживания опор ВЛ, фундаментов, оборудования и заземляющих устройств.</t>
        </is>
      </c>
      <c r="K16" s="105" t="n"/>
      <c r="L16" s="105" t="n"/>
    </row>
    <row r="17" ht="141.75" customHeight="1" s="145">
      <c r="A17" s="234" t="n">
        <v>6</v>
      </c>
      <c r="B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234" t="inlineStr">
        <is>
          <t>149,738/1 072,13 ФЕР1 квартал 2017 г.</t>
        </is>
      </c>
      <c r="D17" s="234" t="inlineStr">
        <is>
          <t>311,342/1 609,64  ТЕР 4 квартал 2016 г.</t>
        </is>
      </c>
      <c r="E17" s="234" t="inlineStr">
        <is>
          <t>65,21/643,96 ФЕР 1 квартал 2022 г.</t>
        </is>
      </c>
    </row>
    <row r="18" ht="31.7" customHeight="1" s="145">
      <c r="A18" s="106" t="inlineStr">
        <is>
          <t>6.1</t>
        </is>
      </c>
      <c r="B18" s="142" t="inlineStr">
        <is>
          <t>строительно-монтажные работы</t>
        </is>
      </c>
      <c r="C18" s="234" t="inlineStr">
        <is>
          <t>149,738/1072,13</t>
        </is>
      </c>
      <c r="D18" s="234" t="inlineStr">
        <is>
          <t>311,342/1 609,64</t>
        </is>
      </c>
      <c r="E18" s="234" t="inlineStr">
        <is>
          <t>63,21/632,20 (только освещение склада)</t>
        </is>
      </c>
    </row>
    <row r="19" ht="31.7" customHeight="1" s="145">
      <c r="A19" s="106" t="inlineStr">
        <is>
          <t>6.2</t>
        </is>
      </c>
      <c r="B19" s="142" t="inlineStr">
        <is>
          <t>оборудование и инвентарь</t>
        </is>
      </c>
      <c r="C19" s="234" t="n"/>
      <c r="D19" s="234" t="n"/>
      <c r="E19" s="234" t="inlineStr">
        <is>
          <t>1,96/11,41</t>
        </is>
      </c>
    </row>
    <row r="20">
      <c r="A20" s="106" t="inlineStr">
        <is>
          <t>6.3</t>
        </is>
      </c>
      <c r="B20" s="142" t="inlineStr">
        <is>
          <t>пусконаладочные работы</t>
        </is>
      </c>
      <c r="C20" s="234" t="n"/>
      <c r="D20" s="234" t="n"/>
      <c r="E20" s="234" t="n"/>
    </row>
    <row r="21" ht="31.7" customHeight="1" s="145">
      <c r="A21" s="106" t="inlineStr">
        <is>
          <t>6.4</t>
        </is>
      </c>
      <c r="B21" s="142" t="inlineStr">
        <is>
          <t>прочие и лимитированные затраты</t>
        </is>
      </c>
      <c r="C21" s="234" t="n"/>
      <c r="D21" s="234" t="n"/>
      <c r="E21" s="234" t="n"/>
      <c r="G21" s="107" t="n"/>
    </row>
    <row r="22" ht="22.7" customHeight="1" s="145">
      <c r="A22" s="199" t="n">
        <v>7</v>
      </c>
      <c r="B22" s="142" t="inlineStr">
        <is>
          <t>Сопоставимый уровень цен</t>
        </is>
      </c>
      <c r="C22" s="234" t="inlineStr">
        <is>
          <t>1 квартал 2022 г.</t>
        </is>
      </c>
      <c r="D22" s="234" t="inlineStr">
        <is>
          <t>1 квартал 2022 г.</t>
        </is>
      </c>
      <c r="E22" s="234" t="inlineStr">
        <is>
          <t>1 квартал 2022 г.</t>
        </is>
      </c>
    </row>
    <row r="23">
      <c r="A23" s="236" t="n"/>
      <c r="B23" s="236" t="n"/>
      <c r="C23" s="236" t="n"/>
      <c r="D23" s="236" t="n"/>
      <c r="E23" s="236" t="n"/>
    </row>
    <row r="24" ht="173.25" customHeight="1" s="145">
      <c r="A24" s="199" t="n">
        <v>8</v>
      </c>
      <c r="B24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4" s="237">
        <f>'Прил.2 Расч стоим'!J14</f>
        <v/>
      </c>
      <c r="D24" s="237">
        <f>'Прил.2 Расч стоим'!J23</f>
        <v/>
      </c>
      <c r="E24" s="237">
        <f>'Прил.2 Расч стоим'!J33</f>
        <v/>
      </c>
    </row>
    <row r="25" ht="63" customHeight="1" s="145">
      <c r="A25" s="199" t="n">
        <v>9</v>
      </c>
      <c r="B25" s="142" t="inlineStr">
        <is>
          <t>Приведенная сметная стоимость на единицу мощности, тыс. руб. (строка 8/строку 4)</t>
        </is>
      </c>
      <c r="C25" s="237">
        <f>C24/C15</f>
        <v/>
      </c>
      <c r="D25" s="237">
        <f>D24/D15</f>
        <v/>
      </c>
      <c r="E25" s="237">
        <f>E24/E15</f>
        <v/>
      </c>
    </row>
    <row r="26" ht="47.25" customHeight="1" s="145">
      <c r="A26" s="199" t="n">
        <v>10</v>
      </c>
      <c r="B26" s="142" t="inlineStr">
        <is>
          <t>Примечание</t>
        </is>
      </c>
      <c r="C26" s="234" t="inlineStr">
        <is>
          <t>Для хранения материалов строительных, не подходит в качестве аналога</t>
        </is>
      </c>
      <c r="D26" s="234" t="inlineStr">
        <is>
          <t>Объект представитель открытого склада</t>
        </is>
      </c>
      <c r="E26" s="234" t="inlineStr">
        <is>
          <t>Не может быть принята к рассмотрению, т.к. в смете только ЭТР</t>
        </is>
      </c>
      <c r="N26" s="238" t="n"/>
    </row>
    <row r="28" customFormat="1" s="147">
      <c r="B28" s="147" t="inlineStr">
        <is>
          <t>Составил ______________________         М.С. Колотиевская</t>
        </is>
      </c>
    </row>
    <row r="29" customFormat="1" s="147">
      <c r="B29" s="99" t="inlineStr">
        <is>
          <t xml:space="preserve">                         (подпись, инициалы, фамилия)</t>
        </is>
      </c>
    </row>
    <row r="30" customFormat="1" s="147"/>
    <row r="31" s="145">
      <c r="B31" s="147" t="inlineStr">
        <is>
          <t>Проверил ______________________         М.С. Колотиевская</t>
        </is>
      </c>
      <c r="C31" s="147" t="n"/>
      <c r="E31" s="147" t="n"/>
      <c r="F31" s="147" t="n"/>
      <c r="G31" s="147" t="n"/>
      <c r="H31" s="147" t="n"/>
      <c r="I31" s="147" t="n"/>
      <c r="J31" s="147" t="n"/>
    </row>
    <row r="32" s="145">
      <c r="B32" s="99" t="inlineStr">
        <is>
          <t xml:space="preserve">                        (подпись, инициалы, фамилия)</t>
        </is>
      </c>
      <c r="C32" s="147" t="n"/>
      <c r="E32" s="147" t="n"/>
      <c r="F32" s="147" t="n"/>
      <c r="G32" s="147" t="n"/>
      <c r="H32" s="147" t="n"/>
      <c r="I32" s="147" t="n"/>
      <c r="J32" s="147" t="n"/>
    </row>
  </sheetData>
  <mergeCells count="9">
    <mergeCell ref="B3:G3"/>
    <mergeCell ref="B8:E8"/>
    <mergeCell ref="A22:A23"/>
    <mergeCell ref="B22:B23"/>
    <mergeCell ref="D22:D23"/>
    <mergeCell ref="E22:E23"/>
    <mergeCell ref="B2:E2"/>
    <mergeCell ref="B6:G6"/>
    <mergeCell ref="C22:C23"/>
  </mergeCells>
  <printOptions gridLines="0" gridLinesSet="1"/>
  <pageMargins left="0.7" right="0.7" top="0.75" bottom="0.75" header="0.3" footer="0.3"/>
  <pageSetup orientation="portrait" paperSize="9" scale="57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2"/>
  <sheetViews>
    <sheetView showGridLines="1" showRowColHeaders="1" tabSelected="0" view="pageBreakPreview" zoomScale="70" zoomScaleNormal="85" workbookViewId="0">
      <selection activeCell="N14" sqref="N14"/>
    </sheetView>
  </sheetViews>
  <sheetFormatPr baseColWidth="8" defaultColWidth="9.140625" defaultRowHeight="14.4" outlineLevelRow="0"/>
  <cols>
    <col width="5.5703125" customWidth="1" style="145" min="1" max="1"/>
    <col width="9.140625" customWidth="1" style="145" min="2" max="2"/>
    <col width="28.140625" customWidth="1" style="145" min="3" max="3"/>
    <col width="13.85546875" customWidth="1" style="145" min="4" max="4"/>
    <col width="39" customWidth="1" style="145" min="5" max="5"/>
    <col width="14.5703125" customWidth="1" style="145" min="6" max="6"/>
    <col width="21.42578125" customWidth="1" style="145" min="7" max="7"/>
    <col width="19.5703125" customWidth="1" style="145" min="8" max="8"/>
    <col width="13" customWidth="1" style="145" min="9" max="9"/>
    <col width="20.85546875" customWidth="1" style="145" min="10" max="10"/>
    <col width="18" customWidth="1" style="145" min="11" max="11"/>
    <col width="9.140625" customWidth="1" style="145" min="12" max="12"/>
  </cols>
  <sheetData>
    <row r="3" ht="15.75" customHeight="1" s="145">
      <c r="B3" s="202" t="inlineStr">
        <is>
          <t>Приложение № 2</t>
        </is>
      </c>
      <c r="K3" s="99" t="n"/>
    </row>
    <row r="4" ht="15.75" customHeight="1" s="145">
      <c r="B4" s="235" t="inlineStr">
        <is>
          <t>Расчет стоимости основных видов работ для выбора объекта-представителя</t>
        </is>
      </c>
    </row>
    <row r="5" ht="15.75" customHeight="1" s="145">
      <c r="B5" s="101" t="n"/>
      <c r="C5" s="101" t="n"/>
      <c r="D5" s="101" t="n"/>
      <c r="E5" s="101" t="n"/>
      <c r="F5" s="101" t="n"/>
      <c r="G5" s="101" t="n"/>
      <c r="H5" s="101" t="n"/>
      <c r="I5" s="101" t="n"/>
      <c r="J5" s="101" t="n"/>
      <c r="K5" s="101" t="n"/>
    </row>
    <row r="6" ht="15.75" customHeight="1" s="145">
      <c r="B6" s="201" t="inlineStr">
        <is>
          <t>Наименование разрабатываемого показателя УНЦ -  Демонтаж открытого склада</t>
        </is>
      </c>
      <c r="L6" s="112" t="n"/>
    </row>
    <row r="7" ht="15.75" customHeight="1" s="145">
      <c r="B7" s="203" t="inlineStr">
        <is>
          <t>Единица измерения  — м2</t>
        </is>
      </c>
      <c r="L7" s="112" t="n"/>
    </row>
    <row r="8" ht="18.75" customHeight="1" s="145">
      <c r="B8" s="113" t="n"/>
      <c r="K8" s="114" t="n"/>
    </row>
    <row r="9" ht="15.75" customFormat="1" customHeight="1" s="147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Строительство ПП 500 кВ Тобол с заходами ВЛ 500 кВ</t>
        </is>
      </c>
      <c r="E9" s="239" t="n"/>
      <c r="F9" s="239" t="n"/>
      <c r="G9" s="239" t="n"/>
      <c r="H9" s="239" t="n"/>
      <c r="I9" s="239" t="n"/>
      <c r="J9" s="240" t="n"/>
    </row>
    <row r="10" ht="15.75" customFormat="1" customHeight="1" s="147">
      <c r="B10" s="241" t="n"/>
      <c r="C10" s="241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1 кв. 2017г., тыс. руб.</t>
        </is>
      </c>
      <c r="G10" s="239" t="n"/>
      <c r="H10" s="239" t="n"/>
      <c r="I10" s="239" t="n"/>
      <c r="J10" s="240" t="n"/>
    </row>
    <row r="11" ht="31.7" customFormat="1" customHeight="1" s="147">
      <c r="B11" s="236" t="n"/>
      <c r="C11" s="236" t="n"/>
      <c r="D11" s="236" t="n"/>
      <c r="E11" s="236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31.7" customFormat="1" customHeight="1" s="147">
      <c r="B12" s="234" t="n">
        <v>1</v>
      </c>
      <c r="C12" s="228" t="n"/>
      <c r="D12" s="119" t="inlineStr">
        <is>
          <t xml:space="preserve">03.1-03-01 </t>
        </is>
      </c>
      <c r="E12" s="227" t="inlineStr">
        <is>
          <t>Устройство площадки и ограждения от-крытого склада</t>
        </is>
      </c>
      <c r="F12" s="229" t="n">
        <v>1072.13</v>
      </c>
      <c r="G12" s="242" t="n"/>
      <c r="H12" s="242" t="n"/>
      <c r="I12" s="229" t="n"/>
      <c r="J12" s="230" t="n">
        <v>1072.13</v>
      </c>
    </row>
    <row r="13" ht="15.75" customFormat="1" customHeight="1" s="147">
      <c r="B13" s="243" t="inlineStr">
        <is>
          <t>Всего по объекту:</t>
        </is>
      </c>
      <c r="C13" s="239" t="n"/>
      <c r="D13" s="239" t="n"/>
      <c r="E13" s="240" t="n"/>
      <c r="F13" s="244" t="n">
        <v>1072.13</v>
      </c>
      <c r="G13" s="244" t="n">
        <v>0</v>
      </c>
      <c r="H13" s="244" t="n">
        <v>0</v>
      </c>
      <c r="I13" s="244" t="n">
        <v>0</v>
      </c>
      <c r="J13" s="244" t="n">
        <v>1072.13</v>
      </c>
    </row>
    <row r="14" ht="15.75" customFormat="1" customHeight="1" s="147">
      <c r="B14" s="243" t="inlineStr">
        <is>
          <t>Всего по объекту в сопоставимом уровне цен 1 кв. 2022г:</t>
        </is>
      </c>
      <c r="C14" s="239" t="n"/>
      <c r="D14" s="239" t="n"/>
      <c r="E14" s="240" t="n"/>
      <c r="F14" s="245" t="n">
        <v>1454.609768391</v>
      </c>
      <c r="G14" s="245" t="n">
        <v>0</v>
      </c>
      <c r="H14" s="245" t="n">
        <v>0</v>
      </c>
      <c r="I14" s="245" t="n">
        <v>0</v>
      </c>
      <c r="J14" s="245" t="n">
        <v>1454.609768391</v>
      </c>
    </row>
    <row r="15" ht="15.75" customFormat="1" customHeight="1" s="147">
      <c r="B15" s="201" t="n"/>
      <c r="C15" s="147" t="n"/>
      <c r="D15" s="147" t="n"/>
      <c r="E15" s="147" t="n"/>
      <c r="F15" s="147" t="n"/>
      <c r="G15" s="147" t="n"/>
      <c r="H15" s="147" t="n"/>
      <c r="I15" s="147" t="n"/>
      <c r="J15" s="147" t="n"/>
    </row>
    <row r="16" ht="15.75" customFormat="1" customHeight="1" s="147">
      <c r="B16" s="201" t="n"/>
      <c r="C16" s="147" t="n"/>
      <c r="D16" s="147" t="n"/>
      <c r="E16" s="147" t="n"/>
      <c r="F16" s="147" t="n"/>
      <c r="G16" s="147" t="n"/>
      <c r="H16" s="147" t="n"/>
      <c r="I16" s="147" t="n"/>
      <c r="J16" s="147" t="n"/>
    </row>
    <row r="17" ht="15.75" customFormat="1" customHeight="1" s="147">
      <c r="B17" s="201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18" t="n"/>
    </row>
    <row r="18" ht="51" customFormat="1" customHeight="1" s="147">
      <c r="B18" s="234" t="inlineStr">
        <is>
          <t>№ п/п</t>
        </is>
      </c>
      <c r="C18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234" t="inlineStr">
        <is>
          <t>ПС 500 кВ Преображенская с заходами ВЛ 500 кВ Красноармейская-Газовая и ВЛ 220 кВ Бузулукская-Сорочинская</t>
        </is>
      </c>
      <c r="E18" s="239" t="n"/>
      <c r="F18" s="239" t="n"/>
      <c r="G18" s="239" t="n"/>
      <c r="H18" s="239" t="n"/>
      <c r="I18" s="239" t="n"/>
      <c r="J18" s="240" t="n"/>
    </row>
    <row r="19" ht="15.75" customFormat="1" customHeight="1" s="147">
      <c r="B19" s="241" t="n"/>
      <c r="C19" s="241" t="n"/>
      <c r="D19" s="234" t="inlineStr">
        <is>
          <t>Номер сметы</t>
        </is>
      </c>
      <c r="E19" s="234" t="inlineStr">
        <is>
          <t>Наименование сметы</t>
        </is>
      </c>
      <c r="F19" s="234" t="inlineStr">
        <is>
          <t>Сметная стоимость в уровне цен 4 кв. 2016г., тыс. руб.</t>
        </is>
      </c>
      <c r="G19" s="239" t="n"/>
      <c r="H19" s="239" t="n"/>
      <c r="I19" s="239" t="n"/>
      <c r="J19" s="240" t="n"/>
    </row>
    <row r="20" ht="45" customFormat="1" customHeight="1" s="147">
      <c r="B20" s="236" t="n"/>
      <c r="C20" s="236" t="n"/>
      <c r="D20" s="236" t="n"/>
      <c r="E20" s="236" t="n"/>
      <c r="F20" s="234" t="inlineStr">
        <is>
          <t>Строительные работы</t>
        </is>
      </c>
      <c r="G20" s="234" t="inlineStr">
        <is>
          <t>Монтажные работы</t>
        </is>
      </c>
      <c r="H20" s="234" t="inlineStr">
        <is>
          <t>Оборудование</t>
        </is>
      </c>
      <c r="I20" s="234" t="inlineStr">
        <is>
          <t>Прочее</t>
        </is>
      </c>
      <c r="J20" s="234" t="inlineStr">
        <is>
          <t>Всего</t>
        </is>
      </c>
    </row>
    <row r="21" ht="15.75" customFormat="1" customHeight="1" s="147">
      <c r="B21" s="234" t="n">
        <v>1</v>
      </c>
      <c r="C21" s="228" t="n"/>
      <c r="D21" s="119" t="inlineStr">
        <is>
          <t>03-07-01-7</t>
        </is>
      </c>
      <c r="E21" s="227" t="inlineStr">
        <is>
          <t>Маслосклад на 3 бака.АС решения.</t>
        </is>
      </c>
      <c r="F21" s="229" t="n">
        <v>1609.64</v>
      </c>
      <c r="G21" s="242" t="n"/>
      <c r="H21" s="242" t="n"/>
      <c r="I21" s="229" t="n"/>
      <c r="J21" s="230" t="n">
        <v>1609.64</v>
      </c>
    </row>
    <row r="22" ht="15.75" customFormat="1" customHeight="1" s="147">
      <c r="B22" s="243" t="inlineStr">
        <is>
          <t>Всего по объекту:</t>
        </is>
      </c>
      <c r="C22" s="239" t="n"/>
      <c r="D22" s="239" t="n"/>
      <c r="E22" s="240" t="n"/>
      <c r="F22" s="120" t="n">
        <v>1609.64</v>
      </c>
      <c r="G22" s="120" t="n">
        <v>0</v>
      </c>
      <c r="H22" s="120" t="n">
        <v>0</v>
      </c>
      <c r="I22" s="120" t="n">
        <v>0</v>
      </c>
      <c r="J22" s="244" t="n">
        <v>1609.64</v>
      </c>
    </row>
    <row r="23" ht="15.75" customFormat="1" customHeight="1" s="147">
      <c r="B23" s="243" t="inlineStr">
        <is>
          <t>Всего по объекту в сопоставимом уровне цен 1 кв. 2022г:</t>
        </is>
      </c>
      <c r="C23" s="239" t="n"/>
      <c r="D23" s="239" t="n"/>
      <c r="E23" s="240" t="n"/>
      <c r="F23" s="245" t="n">
        <v>2214.1636857489</v>
      </c>
      <c r="G23" s="245" t="n">
        <v>0</v>
      </c>
      <c r="H23" s="245" t="n">
        <v>0</v>
      </c>
      <c r="I23" s="245" t="n">
        <v>0</v>
      </c>
      <c r="J23" s="245" t="n">
        <v>2214.1636857489</v>
      </c>
    </row>
    <row r="24" ht="15.75" customFormat="1" customHeight="1" s="147">
      <c r="B24" s="201" t="n"/>
      <c r="C24" s="147" t="n"/>
      <c r="D24" s="147" t="n"/>
      <c r="E24" s="147" t="n"/>
      <c r="F24" s="147" t="n"/>
      <c r="G24" s="147" t="n"/>
      <c r="H24" s="147" t="n"/>
      <c r="I24" s="147" t="n"/>
      <c r="J24" s="147" t="n"/>
    </row>
    <row r="25"/>
    <row r="26" ht="15.75" customFormat="1" customHeight="1" s="147">
      <c r="B26" s="201" t="n"/>
      <c r="C26" s="147" t="n"/>
      <c r="D26" s="147" t="n"/>
      <c r="E26" s="147" t="n"/>
      <c r="F26" s="147" t="n"/>
      <c r="G26" s="147" t="n"/>
      <c r="H26" s="147" t="n"/>
      <c r="I26" s="147" t="n"/>
      <c r="J26" s="147" t="n"/>
    </row>
    <row r="27" ht="15.75" customFormat="1" customHeight="1" s="147">
      <c r="B27" s="201" t="n"/>
      <c r="C27" s="147" t="n"/>
      <c r="D27" s="147" t="n"/>
      <c r="E27" s="147" t="n"/>
      <c r="F27" s="147" t="n"/>
      <c r="G27" s="147" t="n"/>
      <c r="H27" s="147" t="n"/>
      <c r="I27" s="147" t="n"/>
      <c r="J27" s="147" t="n"/>
      <c r="K27" s="118" t="n"/>
    </row>
    <row r="28" ht="15.75" customFormat="1" customHeight="1" s="147">
      <c r="B28" s="234" t="inlineStr">
        <is>
          <t>№ п/п</t>
        </is>
      </c>
      <c r="C28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234" t="inlineStr">
        <is>
          <t>Строительство ВЛ 220 кВ Зилово – Холбон (II этапы строительства) (ПС 220 кВ «Жирекен»)</t>
        </is>
      </c>
      <c r="E28" s="239" t="n"/>
      <c r="F28" s="239" t="n"/>
      <c r="G28" s="239" t="n"/>
      <c r="H28" s="239" t="n"/>
      <c r="I28" s="239" t="n"/>
      <c r="J28" s="240" t="n"/>
    </row>
    <row r="29" ht="15.75" customFormat="1" customHeight="1" s="147">
      <c r="B29" s="241" t="n"/>
      <c r="C29" s="241" t="n"/>
      <c r="D29" s="234" t="inlineStr">
        <is>
          <t>Номер сметы</t>
        </is>
      </c>
      <c r="E29" s="234" t="inlineStr">
        <is>
          <t>Наименование сметы</t>
        </is>
      </c>
      <c r="F29" s="234" t="inlineStr">
        <is>
          <t>Сметная стоимость в уровне цен 3 кв. 2020г., тыс. руб.</t>
        </is>
      </c>
      <c r="G29" s="239" t="n"/>
      <c r="H29" s="239" t="n"/>
      <c r="I29" s="239" t="n"/>
      <c r="J29" s="240" t="n"/>
    </row>
    <row r="30" ht="31.7" customFormat="1" customHeight="1" s="147">
      <c r="B30" s="236" t="n"/>
      <c r="C30" s="236" t="n"/>
      <c r="D30" s="236" t="n"/>
      <c r="E30" s="236" t="n"/>
      <c r="F30" s="234" t="inlineStr">
        <is>
          <t>Строительные работы</t>
        </is>
      </c>
      <c r="G30" s="234" t="inlineStr">
        <is>
          <t>Монтажные работы</t>
        </is>
      </c>
      <c r="H30" s="234" t="inlineStr">
        <is>
          <t>Оборудование</t>
        </is>
      </c>
      <c r="I30" s="234" t="inlineStr">
        <is>
          <t>Прочее</t>
        </is>
      </c>
      <c r="J30" s="234" t="inlineStr">
        <is>
          <t>Всего</t>
        </is>
      </c>
    </row>
    <row r="31" ht="15.75" customFormat="1" customHeight="1" s="147">
      <c r="B31" s="234" t="n"/>
      <c r="C31" s="228" t="n"/>
      <c r="D31" s="119" t="inlineStr">
        <is>
          <t xml:space="preserve">02.03-01-02 </t>
        </is>
      </c>
      <c r="E31" s="227" t="inlineStr">
        <is>
          <t>ЭТР. Открытый склад-навес</t>
        </is>
      </c>
      <c r="F31" s="229" t="n">
        <v>632.2</v>
      </c>
      <c r="G31" s="230" t="n"/>
      <c r="H31" s="230" t="n">
        <v>11.41</v>
      </c>
      <c r="I31" s="229" t="n"/>
      <c r="J31" s="230" t="n">
        <v>643.61</v>
      </c>
    </row>
    <row r="32" ht="15.75" customFormat="1" customHeight="1" s="147">
      <c r="B32" s="243" t="inlineStr">
        <is>
          <t>Всего по объекту:</t>
        </is>
      </c>
      <c r="C32" s="239" t="n"/>
      <c r="D32" s="239" t="n"/>
      <c r="E32" s="240" t="n"/>
      <c r="F32" s="244" t="n">
        <v>632.2</v>
      </c>
      <c r="G32" s="244" t="n">
        <v>0</v>
      </c>
      <c r="H32" s="244" t="n">
        <v>11.41</v>
      </c>
      <c r="I32" s="244" t="n">
        <v>0</v>
      </c>
      <c r="J32" s="244" t="n">
        <v>643.61</v>
      </c>
    </row>
    <row r="33" ht="15.75" customFormat="1" customHeight="1" s="147">
      <c r="B33" s="243" t="inlineStr">
        <is>
          <t>Всего по объекту в сопоставимом уровне цен 1 кв. 2022г:</t>
        </is>
      </c>
      <c r="C33" s="239" t="n"/>
      <c r="D33" s="239" t="n"/>
      <c r="E33" s="240" t="n"/>
      <c r="F33" s="245" t="n">
        <v>632.2</v>
      </c>
      <c r="G33" s="245" t="n">
        <v>0</v>
      </c>
      <c r="H33" s="245" t="n">
        <v>11.41</v>
      </c>
      <c r="I33" s="245" t="n">
        <v>0</v>
      </c>
      <c r="J33" s="245" t="n">
        <v>643.61</v>
      </c>
    </row>
    <row r="34" ht="15.75" customFormat="1" customHeight="1" s="147">
      <c r="B34" s="201" t="n"/>
    </row>
    <row r="35" ht="15.75" customFormat="1" customHeight="1" s="147"/>
    <row r="36" ht="15.75" customFormat="1" customHeight="1" s="147"/>
    <row r="37" ht="15.75" customFormat="1" customHeight="1" s="147">
      <c r="C37" s="147" t="inlineStr">
        <is>
          <t>Составил ______________________         М.С. Колотиевская</t>
        </is>
      </c>
    </row>
    <row r="38" ht="15.75" customFormat="1" customHeight="1" s="147">
      <c r="C38" s="99" t="inlineStr">
        <is>
          <t xml:space="preserve">                         (подпись, инициалы, фамилия)</t>
        </is>
      </c>
    </row>
    <row r="39" ht="15.75" customFormat="1" customHeight="1" s="147"/>
    <row r="40" ht="15.75" customHeight="1" s="145">
      <c r="B40" s="147" t="n"/>
      <c r="C40" s="147" t="inlineStr">
        <is>
          <t>Проверил ______________________         М.С. Колотиевская</t>
        </is>
      </c>
      <c r="D40" s="147" t="n"/>
      <c r="E40" s="147" t="n"/>
      <c r="F40" s="147" t="n"/>
      <c r="G40" s="147" t="n"/>
      <c r="H40" s="147" t="n"/>
      <c r="I40" s="147" t="n"/>
      <c r="J40" s="147" t="n"/>
    </row>
    <row r="41" ht="15.75" customHeight="1" s="145">
      <c r="B41" s="147" t="n"/>
      <c r="C41" s="99" t="inlineStr">
        <is>
          <t xml:space="preserve">                        (подпись, инициалы, фамилия)</t>
        </is>
      </c>
      <c r="D41" s="147" t="n"/>
      <c r="E41" s="147" t="n"/>
      <c r="F41" s="147" t="n"/>
      <c r="G41" s="147" t="n"/>
      <c r="H41" s="147" t="n"/>
      <c r="I41" s="147" t="n"/>
      <c r="J41" s="147" t="n"/>
    </row>
    <row r="42" ht="15.75" customHeight="1" s="145">
      <c r="B42" s="147" t="n"/>
      <c r="C42" s="147" t="n"/>
      <c r="D42" s="147" t="n"/>
      <c r="E42" s="147" t="n"/>
      <c r="F42" s="147" t="n"/>
      <c r="G42" s="147" t="n"/>
      <c r="H42" s="147" t="n"/>
      <c r="I42" s="147" t="n"/>
      <c r="J42" s="147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18:B20"/>
    <mergeCell ref="D29:D30"/>
    <mergeCell ref="B14:E14"/>
    <mergeCell ref="B23:E23"/>
    <mergeCell ref="D19:D20"/>
    <mergeCell ref="B3:J3"/>
    <mergeCell ref="D10:D11"/>
    <mergeCell ref="B13:E13"/>
    <mergeCell ref="B9:B11"/>
    <mergeCell ref="B28:B30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05"/>
  <sheetViews>
    <sheetView showGridLines="1" showRowColHeaders="1" tabSelected="0" view="pageBreakPreview" topLeftCell="A21" zoomScale="60" workbookViewId="0">
      <selection activeCell="A7" sqref="A7"/>
    </sheetView>
  </sheetViews>
  <sheetFormatPr baseColWidth="8" defaultColWidth="9.140625" defaultRowHeight="14.4" outlineLevelRow="0"/>
  <cols>
    <col width="9.140625" customWidth="1" style="145" min="1" max="1"/>
    <col width="12.5703125" customWidth="1" style="145" min="2" max="2"/>
    <col width="17" customWidth="1" style="145" min="3" max="3"/>
    <col width="52.140625" customWidth="1" style="145" min="4" max="4"/>
    <col width="16.28515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</cols>
  <sheetData>
    <row r="2" ht="15.75" customHeight="1" s="145">
      <c r="A2" s="202" t="inlineStr">
        <is>
          <t xml:space="preserve">Приложение № 3 </t>
        </is>
      </c>
    </row>
    <row r="3" ht="18.75" customHeight="1" s="145">
      <c r="A3" s="214" t="inlineStr">
        <is>
          <t>Объектная ресурсная ведомость</t>
        </is>
      </c>
    </row>
    <row r="4" ht="18.75" customHeight="1" s="145">
      <c r="A4" s="214" t="n"/>
      <c r="B4" s="214" t="n"/>
      <c r="C4" s="21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7" t="n"/>
      <c r="J4" s="147" t="n"/>
      <c r="K4" s="147" t="n"/>
      <c r="L4" s="147" t="n"/>
    </row>
    <row r="5" ht="18.75" customHeight="1" s="145">
      <c r="A5" s="113" t="n"/>
    </row>
    <row r="6" ht="15.75" customHeight="1" s="145">
      <c r="A6" s="203" t="inlineStr">
        <is>
          <t>Наименование разрабатываемого показателя УНЦ -  Демонтаж открытого склада</t>
        </is>
      </c>
    </row>
    <row r="7" ht="15.75" customFormat="1" customHeight="1" s="147">
      <c r="A7" s="18" t="n"/>
      <c r="B7" s="18" t="n"/>
      <c r="C7" s="18" t="n"/>
      <c r="D7" s="18" t="n"/>
      <c r="E7" s="18" t="n"/>
      <c r="F7" s="18" t="n"/>
      <c r="G7" s="18" t="n"/>
      <c r="H7" s="18" t="n"/>
    </row>
    <row r="8" ht="38.25" customFormat="1" customHeight="1" s="147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240" t="n"/>
    </row>
    <row r="9" ht="40.7" customFormat="1" customHeight="1" s="147">
      <c r="A9" s="236" t="n"/>
      <c r="B9" s="236" t="n"/>
      <c r="C9" s="236" t="n"/>
      <c r="D9" s="236" t="n"/>
      <c r="E9" s="236" t="n"/>
      <c r="F9" s="236" t="n"/>
      <c r="G9" s="234" t="inlineStr">
        <is>
          <t>на ед.изм.</t>
        </is>
      </c>
      <c r="H9" s="234" t="inlineStr">
        <is>
          <t>общая</t>
        </is>
      </c>
    </row>
    <row r="10" ht="15.75" customFormat="1" customHeight="1" s="147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17" t="n">
        <v>6</v>
      </c>
      <c r="H10" s="17" t="n">
        <v>7</v>
      </c>
    </row>
    <row r="11" ht="15.75" customFormat="1" customHeight="1" s="15">
      <c r="A11" s="211" t="inlineStr">
        <is>
          <t>Затраты труда рабочих</t>
        </is>
      </c>
      <c r="B11" s="239" t="n"/>
      <c r="C11" s="239" t="n"/>
      <c r="D11" s="239" t="n"/>
      <c r="E11" s="240" t="n"/>
      <c r="F11" s="211" t="n">
        <v>1329.458396</v>
      </c>
      <c r="G11" s="20" t="n"/>
      <c r="H11" s="20">
        <f>SUM(H12:H22)</f>
        <v/>
      </c>
    </row>
    <row r="12" ht="15.75" customFormat="1" customHeight="1" s="147">
      <c r="A12" s="212" t="n">
        <v>1</v>
      </c>
      <c r="B12" s="212" t="n"/>
      <c r="C12" s="213" t="inlineStr">
        <is>
          <t>1-100-38</t>
        </is>
      </c>
      <c r="D12" s="213" t="inlineStr">
        <is>
          <t>Затраты труда рабочих (ср 3,8)</t>
        </is>
      </c>
      <c r="E12" s="212" t="inlineStr">
        <is>
          <t>чел.-ч</t>
        </is>
      </c>
      <c r="F12" s="212" t="n">
        <v>977.151</v>
      </c>
      <c r="G12" s="217" t="n">
        <v>9.4</v>
      </c>
      <c r="H12" s="217">
        <f>ROUND(F12*G12,2)</f>
        <v/>
      </c>
    </row>
    <row r="13" ht="15.75" customFormat="1" customHeight="1" s="147">
      <c r="A13" s="212" t="n">
        <v>2</v>
      </c>
      <c r="B13" s="212" t="n"/>
      <c r="C13" s="213" t="inlineStr">
        <is>
          <t>1-100-34</t>
        </is>
      </c>
      <c r="D13" s="213" t="inlineStr">
        <is>
          <t>Затраты труда рабочих (ср 3,4)</t>
        </is>
      </c>
      <c r="E13" s="212" t="inlineStr">
        <is>
          <t>чел.-ч</t>
        </is>
      </c>
      <c r="F13" s="212" t="n">
        <v>116.861946</v>
      </c>
      <c r="G13" s="217" t="n">
        <v>8.970000000000001</v>
      </c>
      <c r="H13" s="217">
        <f>ROUND(F13*G13,2)</f>
        <v/>
      </c>
    </row>
    <row r="14" ht="15.75" customFormat="1" customHeight="1" s="147">
      <c r="A14" s="212" t="n">
        <v>3</v>
      </c>
      <c r="B14" s="212" t="n"/>
      <c r="C14" s="213" t="inlineStr">
        <is>
          <t>1-100-22</t>
        </is>
      </c>
      <c r="D14" s="213" t="inlineStr">
        <is>
          <t>Затраты труда рабочих (ср 2,2)</t>
        </is>
      </c>
      <c r="E14" s="212" t="inlineStr">
        <is>
          <t>чел.-ч</t>
        </is>
      </c>
      <c r="F14" s="212" t="n">
        <v>131.72835</v>
      </c>
      <c r="G14" s="217" t="n">
        <v>7.94</v>
      </c>
      <c r="H14" s="217">
        <f>ROUND(F14*G14,2)</f>
        <v/>
      </c>
    </row>
    <row r="15" ht="15.75" customFormat="1" customHeight="1" s="147">
      <c r="A15" s="212" t="n">
        <v>4</v>
      </c>
      <c r="B15" s="212" t="n"/>
      <c r="C15" s="213" t="inlineStr">
        <is>
          <t>1-100-30</t>
        </is>
      </c>
      <c r="D15" s="213" t="inlineStr">
        <is>
          <t>Затраты труда рабочих (ср 3)</t>
        </is>
      </c>
      <c r="E15" s="212" t="inlineStr">
        <is>
          <t>чел.-ч</t>
        </is>
      </c>
      <c r="F15" s="212" t="n">
        <v>41.7825</v>
      </c>
      <c r="G15" s="217" t="n">
        <v>8.529999999999999</v>
      </c>
      <c r="H15" s="217">
        <f>ROUND(F15*G15,2)</f>
        <v/>
      </c>
    </row>
    <row r="16" ht="15.75" customFormat="1" customHeight="1" s="147">
      <c r="A16" s="212" t="n">
        <v>5</v>
      </c>
      <c r="B16" s="212" t="n"/>
      <c r="C16" s="213" t="inlineStr">
        <is>
          <t>1-100-28</t>
        </is>
      </c>
      <c r="D16" s="213" t="inlineStr">
        <is>
          <t>Затраты труда рабочих (ср 2,8)</t>
        </is>
      </c>
      <c r="E16" s="212" t="inlineStr">
        <is>
          <t>чел.-ч</t>
        </is>
      </c>
      <c r="F16" s="212" t="n">
        <v>21.408</v>
      </c>
      <c r="G16" s="217" t="n">
        <v>8.380000000000001</v>
      </c>
      <c r="H16" s="217">
        <f>ROUND(F16*G16,2)</f>
        <v/>
      </c>
    </row>
    <row r="17" ht="15.75" customFormat="1" customHeight="1" s="147">
      <c r="A17" s="212" t="n">
        <v>6</v>
      </c>
      <c r="B17" s="212" t="n"/>
      <c r="C17" s="213" t="inlineStr">
        <is>
          <t>1-100-15</t>
        </is>
      </c>
      <c r="D17" s="213" t="inlineStr">
        <is>
          <t>Затраты труда рабочих (ср 1,5)</t>
        </is>
      </c>
      <c r="E17" s="212" t="inlineStr">
        <is>
          <t>чел.-ч</t>
        </is>
      </c>
      <c r="F17" s="212" t="n">
        <v>11.505</v>
      </c>
      <c r="G17" s="217" t="n">
        <v>7.5</v>
      </c>
      <c r="H17" s="217">
        <f>ROUND(F17*G17,2)</f>
        <v/>
      </c>
    </row>
    <row r="18" ht="15.75" customFormat="1" customHeight="1" s="147">
      <c r="A18" s="212" t="n">
        <v>7</v>
      </c>
      <c r="B18" s="212" t="n"/>
      <c r="C18" s="213" t="inlineStr">
        <is>
          <t>1-100-32</t>
        </is>
      </c>
      <c r="D18" s="213" t="inlineStr">
        <is>
          <t>Затраты труда рабочих (ср 3,2)</t>
        </is>
      </c>
      <c r="E18" s="212" t="inlineStr">
        <is>
          <t>чел.-ч</t>
        </is>
      </c>
      <c r="F18" s="212" t="n">
        <v>9.52</v>
      </c>
      <c r="G18" s="217" t="n">
        <v>8.74</v>
      </c>
      <c r="H18" s="217">
        <f>ROUND(F18*G18,2)</f>
        <v/>
      </c>
    </row>
    <row r="19" ht="15.75" customFormat="1" customHeight="1" s="147">
      <c r="A19" s="212" t="n">
        <v>8</v>
      </c>
      <c r="B19" s="212" t="n"/>
      <c r="C19" s="213" t="inlineStr">
        <is>
          <t>1-100-40</t>
        </is>
      </c>
      <c r="D19" s="213" t="inlineStr">
        <is>
          <t>Затраты труда рабочих (ср 4)</t>
        </is>
      </c>
      <c r="E19" s="212" t="inlineStr">
        <is>
          <t>чел.-ч</t>
        </is>
      </c>
      <c r="F19" s="212" t="n">
        <v>8.24</v>
      </c>
      <c r="G19" s="217" t="n">
        <v>9.619999999999999</v>
      </c>
      <c r="H19" s="217">
        <f>ROUND(F19*G19,2)</f>
        <v/>
      </c>
    </row>
    <row r="20" ht="15.75" customFormat="1" customHeight="1" s="147">
      <c r="A20" s="212" t="n">
        <v>9</v>
      </c>
      <c r="B20" s="212" t="n"/>
      <c r="C20" s="213" t="inlineStr">
        <is>
          <t>1-100-29</t>
        </is>
      </c>
      <c r="D20" s="213" t="inlineStr">
        <is>
          <t>Затраты труда рабочих (ср 2,9)</t>
        </is>
      </c>
      <c r="E20" s="212" t="inlineStr">
        <is>
          <t>чел.-ч</t>
        </is>
      </c>
      <c r="F20" s="212" t="n">
        <v>8.667999999999999</v>
      </c>
      <c r="G20" s="217" t="n">
        <v>8.460000000000001</v>
      </c>
      <c r="H20" s="217">
        <f>ROUND(F20*G20,2)</f>
        <v/>
      </c>
    </row>
    <row r="21" ht="15.75" customFormat="1" customHeight="1" s="147">
      <c r="A21" s="212" t="n">
        <v>10</v>
      </c>
      <c r="B21" s="212" t="n"/>
      <c r="C21" s="213" t="inlineStr">
        <is>
          <t>1-100-37</t>
        </is>
      </c>
      <c r="D21" s="213" t="inlineStr">
        <is>
          <t>Затраты труда рабочих (ср 3,7)</t>
        </is>
      </c>
      <c r="E21" s="212" t="inlineStr">
        <is>
          <t>чел.-ч</t>
        </is>
      </c>
      <c r="F21" s="212" t="n">
        <v>2.32368</v>
      </c>
      <c r="G21" s="217" t="n">
        <v>9.289999999999999</v>
      </c>
      <c r="H21" s="217">
        <f>ROUND(F21*G21,2)</f>
        <v/>
      </c>
    </row>
    <row r="22" ht="15.75" customFormat="1" customHeight="1" s="147">
      <c r="A22" s="212" t="n">
        <v>11</v>
      </c>
      <c r="B22" s="212" t="n"/>
      <c r="C22" s="213" t="inlineStr">
        <is>
          <t>1-100-20</t>
        </is>
      </c>
      <c r="D22" s="213" t="inlineStr">
        <is>
          <t>Затраты труда рабочих (ср 2)</t>
        </is>
      </c>
      <c r="E22" s="212" t="inlineStr">
        <is>
          <t>чел.-ч</t>
        </is>
      </c>
      <c r="F22" s="212" t="n">
        <v>0.26992</v>
      </c>
      <c r="G22" s="217" t="n">
        <v>7.8</v>
      </c>
      <c r="H22" s="217">
        <f>ROUND(F22*G22,2)</f>
        <v/>
      </c>
    </row>
    <row r="23" ht="15.75" customFormat="1" customHeight="1" s="15">
      <c r="A23" s="211" t="inlineStr">
        <is>
          <t>Затраты труда машинистов</t>
        </is>
      </c>
      <c r="B23" s="239" t="n"/>
      <c r="C23" s="239" t="n"/>
      <c r="D23" s="239" t="n"/>
      <c r="E23" s="240" t="n"/>
      <c r="F23" s="211" t="n">
        <v>171.7848664</v>
      </c>
      <c r="G23" s="20" t="n"/>
      <c r="H23" s="20">
        <f>SUM(H24:H24)</f>
        <v/>
      </c>
    </row>
    <row r="24" ht="15.75" customFormat="1" customHeight="1" s="147">
      <c r="A24" s="212" t="n">
        <v>12</v>
      </c>
      <c r="B24" s="212" t="n"/>
      <c r="C24" s="213" t="n">
        <v>2</v>
      </c>
      <c r="D24" s="213" t="inlineStr">
        <is>
          <t>Затраты труда машинистов</t>
        </is>
      </c>
      <c r="E24" s="212" t="inlineStr">
        <is>
          <t>чел.-ч</t>
        </is>
      </c>
      <c r="F24" s="212" t="n">
        <v>171.7848664</v>
      </c>
      <c r="G24" s="217" t="n">
        <v>13.19</v>
      </c>
      <c r="H24" s="217">
        <f>ROUND(F24*G24,2)</f>
        <v/>
      </c>
    </row>
    <row r="25" ht="15.75" customFormat="1" customHeight="1" s="15">
      <c r="A25" s="211" t="inlineStr">
        <is>
          <t>Машины и механизмы</t>
        </is>
      </c>
      <c r="B25" s="239" t="n"/>
      <c r="C25" s="239" t="n"/>
      <c r="D25" s="239" t="n"/>
      <c r="E25" s="240" t="n"/>
      <c r="F25" s="211" t="n"/>
      <c r="G25" s="20" t="n"/>
      <c r="H25" s="20">
        <f>SUM(H26:H48)</f>
        <v/>
      </c>
    </row>
    <row r="26" ht="31.7" customFormat="1" customHeight="1" s="147">
      <c r="A26" s="212" t="n">
        <v>13</v>
      </c>
      <c r="B26" s="212" t="n"/>
      <c r="C26" s="25" t="inlineStr">
        <is>
          <t>91.05.06-012</t>
        </is>
      </c>
      <c r="D26" s="213" t="inlineStr">
        <is>
          <t>Краны на гусеничном ходу, грузоподъемность до 16 т</t>
        </is>
      </c>
      <c r="E26" s="212" t="inlineStr">
        <is>
          <t>маш.час</t>
        </is>
      </c>
      <c r="F26" s="212" t="n">
        <v>120.42342</v>
      </c>
      <c r="G26" s="217" t="n">
        <v>96.89</v>
      </c>
      <c r="H26" s="217">
        <f>ROUND(F26*G26,2)</f>
        <v/>
      </c>
    </row>
    <row r="27" ht="15.75" customFormat="1" customHeight="1" s="147">
      <c r="A27" s="212" t="n">
        <v>14</v>
      </c>
      <c r="B27" s="212" t="n"/>
      <c r="C27" s="25" t="inlineStr">
        <is>
          <t>91.14.01-004</t>
        </is>
      </c>
      <c r="D27" s="213" t="inlineStr">
        <is>
          <t>Автобетоносмесители, объем барабана 7 м3</t>
        </is>
      </c>
      <c r="E27" s="212" t="inlineStr">
        <is>
          <t>маш.-ч</t>
        </is>
      </c>
      <c r="F27" s="212" t="n">
        <v>50.4699</v>
      </c>
      <c r="G27" s="217" t="n">
        <v>184.39</v>
      </c>
      <c r="H27" s="217">
        <f>ROUND(F27*G27,2)</f>
        <v/>
      </c>
    </row>
    <row r="28" ht="31.7" customFormat="1" customHeight="1" s="147">
      <c r="A28" s="212" t="n">
        <v>15</v>
      </c>
      <c r="B28" s="212" t="n"/>
      <c r="C28" s="25" t="inlineStr">
        <is>
          <t>91.04.01-031</t>
        </is>
      </c>
      <c r="D28" s="213" t="inlineStr">
        <is>
          <t>Машины бурильно-крановые на автомобиле, глубина бурения 3,5 м</t>
        </is>
      </c>
      <c r="E28" s="212" t="inlineStr">
        <is>
          <t>маш.час</t>
        </is>
      </c>
      <c r="F28" s="212" t="n">
        <v>8.56</v>
      </c>
      <c r="G28" s="217" t="n">
        <v>138.54</v>
      </c>
      <c r="H28" s="217">
        <f>ROUND(F28*G28,2)</f>
        <v/>
      </c>
    </row>
    <row r="29" ht="31.7" customFormat="1" customHeight="1" s="147">
      <c r="A29" s="212" t="n">
        <v>16</v>
      </c>
      <c r="B29" s="212" t="n"/>
      <c r="C29" s="25" t="inlineStr">
        <is>
          <t>91.01.05-086</t>
        </is>
      </c>
      <c r="D29" s="213" t="inlineStr">
        <is>
          <t>Экскаваторы одноковшовые дизельные на гусеничном ходу, емкость ковша 0,65 м3</t>
        </is>
      </c>
      <c r="E29" s="212" t="inlineStr">
        <is>
          <t>маш.час</t>
        </is>
      </c>
      <c r="F29" s="212" t="n">
        <v>7.613</v>
      </c>
      <c r="G29" s="217" t="n">
        <v>115.27</v>
      </c>
      <c r="H29" s="217">
        <f>ROUND(F29*G29,2)</f>
        <v/>
      </c>
    </row>
    <row r="30" ht="47.25" customFormat="1" customHeight="1" s="147">
      <c r="A30" s="212" t="n">
        <v>17</v>
      </c>
      <c r="B30" s="212" t="n"/>
      <c r="C30" s="25" t="inlineStr">
        <is>
          <t>91.18.01-007</t>
        </is>
      </c>
      <c r="D30" s="21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0" s="212" t="inlineStr">
        <is>
          <t>маш.час</t>
        </is>
      </c>
      <c r="F30" s="212" t="n">
        <v>6.9168</v>
      </c>
      <c r="G30" s="217" t="n">
        <v>90</v>
      </c>
      <c r="H30" s="217">
        <f>ROUND(F30*G30,2)</f>
        <v/>
      </c>
    </row>
    <row r="31" ht="15.75" customFormat="1" customHeight="1" s="147">
      <c r="A31" s="212" t="n">
        <v>18</v>
      </c>
      <c r="B31" s="212" t="n"/>
      <c r="C31" s="25" t="inlineStr">
        <is>
          <t>91.14.02-001</t>
        </is>
      </c>
      <c r="D31" s="213" t="inlineStr">
        <is>
          <t>Автомобили бортовые, грузоподъемность до 5 т</t>
        </is>
      </c>
      <c r="E31" s="212" t="inlineStr">
        <is>
          <t>маш.час</t>
        </is>
      </c>
      <c r="F31" s="212" t="n">
        <v>9.4272236</v>
      </c>
      <c r="G31" s="217" t="n">
        <v>65.70999999999999</v>
      </c>
      <c r="H31" s="217">
        <f>ROUND(F31*G31,2)</f>
        <v/>
      </c>
    </row>
    <row r="32" ht="31.7" customFormat="1" customHeight="1" s="147">
      <c r="A32" s="212" t="n">
        <v>19</v>
      </c>
      <c r="B32" s="212" t="n"/>
      <c r="C32" s="25" t="inlineStr">
        <is>
          <t>91.05.05-015</t>
        </is>
      </c>
      <c r="D32" s="213" t="inlineStr">
        <is>
          <t>Краны на автомобильном ходу, грузоподъемность 16 т</t>
        </is>
      </c>
      <c r="E32" s="212" t="inlineStr">
        <is>
          <t>маш.час</t>
        </is>
      </c>
      <c r="F32" s="212" t="n">
        <v>4.207519</v>
      </c>
      <c r="G32" s="217" t="n">
        <v>115.4</v>
      </c>
      <c r="H32" s="217">
        <f>ROUND(F32*G32,2)</f>
        <v/>
      </c>
    </row>
    <row r="33" ht="31.7" customFormat="1" customHeight="1" s="147">
      <c r="A33" s="212" t="n">
        <v>20</v>
      </c>
      <c r="B33" s="212" t="n"/>
      <c r="C33" s="25" t="inlineStr">
        <is>
          <t>91.17.04-233</t>
        </is>
      </c>
      <c r="D33" s="213" t="inlineStr">
        <is>
          <t>Установки для сварки ручной дуговой (постоянного тока)</t>
        </is>
      </c>
      <c r="E33" s="212" t="inlineStr">
        <is>
          <t>маш.час</t>
        </is>
      </c>
      <c r="F33" s="212" t="n">
        <v>42.7785</v>
      </c>
      <c r="G33" s="217" t="n">
        <v>8.1</v>
      </c>
      <c r="H33" s="217">
        <f>ROUND(F33*G33,2)</f>
        <v/>
      </c>
    </row>
    <row r="34" ht="31.7" customFormat="1" customHeight="1" s="147">
      <c r="A34" s="212" t="n">
        <v>21</v>
      </c>
      <c r="B34" s="212" t="n"/>
      <c r="C34" s="25" t="inlineStr">
        <is>
          <t>91.06.06-048</t>
        </is>
      </c>
      <c r="D34" s="213" t="inlineStr">
        <is>
          <t>Подъемники одномачтовые, грузоподъемность до 500 кг, высота подъема 45 м</t>
        </is>
      </c>
      <c r="E34" s="212" t="inlineStr">
        <is>
          <t>маш.час</t>
        </is>
      </c>
      <c r="F34" s="212" t="n">
        <v>8.602</v>
      </c>
      <c r="G34" s="217" t="n">
        <v>31.26</v>
      </c>
      <c r="H34" s="217">
        <f>ROUND(F34*G34,2)</f>
        <v/>
      </c>
    </row>
    <row r="35" ht="31.7" customFormat="1" customHeight="1" s="147">
      <c r="A35" s="212" t="n">
        <v>22</v>
      </c>
      <c r="B35" s="212" t="n"/>
      <c r="C35" s="25" t="inlineStr">
        <is>
          <t>91.05.06-007</t>
        </is>
      </c>
      <c r="D35" s="213" t="inlineStr">
        <is>
          <t>Краны на гусеничном ходу, грузоподъемность 25 т</t>
        </is>
      </c>
      <c r="E35" s="212" t="inlineStr">
        <is>
          <t>маш.час</t>
        </is>
      </c>
      <c r="F35" s="212" t="n">
        <v>1.9516042</v>
      </c>
      <c r="G35" s="217" t="n">
        <v>120.04</v>
      </c>
      <c r="H35" s="217">
        <f>ROUND(F35*G35,2)</f>
        <v/>
      </c>
    </row>
    <row r="36" ht="15.75" customFormat="1" customHeight="1" s="147">
      <c r="A36" s="212" t="n">
        <v>23</v>
      </c>
      <c r="B36" s="212" t="n"/>
      <c r="C36" s="25" t="inlineStr">
        <is>
          <t>91.05.02-005</t>
        </is>
      </c>
      <c r="D36" s="213" t="inlineStr">
        <is>
          <t>Краны козловые, грузоподъемность 32 т</t>
        </is>
      </c>
      <c r="E36" s="212" t="inlineStr">
        <is>
          <t>маш.час</t>
        </is>
      </c>
      <c r="F36" s="212" t="n">
        <v>1.6201996</v>
      </c>
      <c r="G36" s="217" t="n">
        <v>120.24</v>
      </c>
      <c r="H36" s="217">
        <f>ROUND(F36*G36,2)</f>
        <v/>
      </c>
    </row>
    <row r="37" ht="15.75" customFormat="1" customHeight="1" s="147">
      <c r="A37" s="212" t="n">
        <v>24</v>
      </c>
      <c r="B37" s="212" t="n"/>
      <c r="C37" s="25" t="inlineStr">
        <is>
          <t>91.01.01-036</t>
        </is>
      </c>
      <c r="D37" s="213" t="inlineStr">
        <is>
          <t>Бульдозеры, мощность 96 кВт (130 л.с.)</t>
        </is>
      </c>
      <c r="E37" s="212" t="inlineStr">
        <is>
          <t>маш.час</t>
        </is>
      </c>
      <c r="F37" s="212" t="n">
        <v>1.41768</v>
      </c>
      <c r="G37" s="217" t="n">
        <v>94.05</v>
      </c>
      <c r="H37" s="217">
        <f>ROUND(F37*G37,2)</f>
        <v/>
      </c>
    </row>
    <row r="38" ht="15.75" customFormat="1" customHeight="1" s="147">
      <c r="A38" s="212" t="n">
        <v>25</v>
      </c>
      <c r="B38" s="212" t="n"/>
      <c r="C38" s="25" t="inlineStr">
        <is>
          <t>91.07.04-001</t>
        </is>
      </c>
      <c r="D38" s="213" t="inlineStr">
        <is>
          <t>Вибраторы глубинные</t>
        </is>
      </c>
      <c r="E38" s="212" t="inlineStr">
        <is>
          <t>маш.час</t>
        </is>
      </c>
      <c r="F38" s="212" t="n">
        <v>55.62487</v>
      </c>
      <c r="G38" s="217" t="n">
        <v>1.9</v>
      </c>
      <c r="H38" s="217">
        <f>ROUND(F38*G38,2)</f>
        <v/>
      </c>
    </row>
    <row r="39" ht="15.75" customFormat="1" customHeight="1" s="147">
      <c r="A39" s="212" t="n">
        <v>26</v>
      </c>
      <c r="B39" s="212" t="n"/>
      <c r="C39" s="25" t="inlineStr">
        <is>
          <t>91.05.01-017</t>
        </is>
      </c>
      <c r="D39" s="213" t="inlineStr">
        <is>
          <t>Краны башенные, грузоподъемность 8 т</t>
        </is>
      </c>
      <c r="E39" s="212" t="inlineStr">
        <is>
          <t>маш.час</t>
        </is>
      </c>
      <c r="F39" s="212" t="n">
        <v>0.4606</v>
      </c>
      <c r="G39" s="217" t="n">
        <v>86.40000000000001</v>
      </c>
      <c r="H39" s="217">
        <f>ROUND(F39*G39,2)</f>
        <v/>
      </c>
    </row>
    <row r="40" ht="15.75" customFormat="1" customHeight="1" s="147">
      <c r="A40" s="212" t="n">
        <v>27</v>
      </c>
      <c r="B40" s="212" t="n"/>
      <c r="C40" s="25" t="inlineStr">
        <is>
          <t>91.06.05-011</t>
        </is>
      </c>
      <c r="D40" s="213" t="inlineStr">
        <is>
          <t>Погрузчики, грузоподъемность 5 т</t>
        </is>
      </c>
      <c r="E40" s="212" t="inlineStr">
        <is>
          <t>маш.час</t>
        </is>
      </c>
      <c r="F40" s="212" t="n">
        <v>0.43285</v>
      </c>
      <c r="G40" s="217" t="n">
        <v>89.98999999999999</v>
      </c>
      <c r="H40" s="217">
        <f>ROUND(F40*G40,2)</f>
        <v/>
      </c>
    </row>
    <row r="41" ht="15.75" customFormat="1" customHeight="1" s="147">
      <c r="A41" s="212" t="n">
        <v>28</v>
      </c>
      <c r="B41" s="212" t="n"/>
      <c r="C41" s="25" t="inlineStr">
        <is>
          <t>91.07.04-002</t>
        </is>
      </c>
      <c r="D41" s="213" t="inlineStr">
        <is>
          <t>Вибраторы поверхностные</t>
        </is>
      </c>
      <c r="E41" s="212" t="inlineStr">
        <is>
          <t>маш.час</t>
        </is>
      </c>
      <c r="F41" s="212" t="n">
        <v>67.38800000000001</v>
      </c>
      <c r="G41" s="217" t="n">
        <v>0.5</v>
      </c>
      <c r="H41" s="217">
        <f>ROUND(F41*G41,2)</f>
        <v/>
      </c>
    </row>
    <row r="42" ht="31.7" customFormat="1" customHeight="1" s="147">
      <c r="A42" s="212" t="n">
        <v>29</v>
      </c>
      <c r="B42" s="212" t="n"/>
      <c r="C42" s="25" t="inlineStr">
        <is>
          <t>91.08.09-023</t>
        </is>
      </c>
      <c r="D42" s="213" t="inlineStr">
        <is>
          <t>Трамбовки пневматические при работе от передвижных компрессорных станций</t>
        </is>
      </c>
      <c r="E42" s="212" t="inlineStr">
        <is>
          <t>маш.час</t>
        </is>
      </c>
      <c r="F42" s="212" t="n">
        <v>27.72</v>
      </c>
      <c r="G42" s="217" t="n">
        <v>0.55</v>
      </c>
      <c r="H42" s="217">
        <f>ROUND(F42*G42,2)</f>
        <v/>
      </c>
    </row>
    <row r="43" ht="47.25" customFormat="1" customHeight="1" s="147">
      <c r="A43" s="212" t="n">
        <v>30</v>
      </c>
      <c r="B43" s="212" t="n"/>
      <c r="C43" s="25" t="inlineStr">
        <is>
          <t>91.06.05-057</t>
        </is>
      </c>
      <c r="D43" s="213" t="inlineStr">
        <is>
          <t>Погрузчики одноковшовые универсальные фронтальные пневмоколесные, грузоподъемность 3 т</t>
        </is>
      </c>
      <c r="E43" s="212" t="inlineStr">
        <is>
          <t>маш.час</t>
        </is>
      </c>
      <c r="F43" s="212" t="n">
        <v>0.15197</v>
      </c>
      <c r="G43" s="217" t="n">
        <v>90.40000000000001</v>
      </c>
      <c r="H43" s="217">
        <f>ROUND(F43*G43,2)</f>
        <v/>
      </c>
    </row>
    <row r="44" ht="15.75" customFormat="1" customHeight="1" s="147">
      <c r="A44" s="212" t="n">
        <v>31</v>
      </c>
      <c r="B44" s="212" t="n"/>
      <c r="C44" s="25" t="inlineStr">
        <is>
          <t>91.17.04-042</t>
        </is>
      </c>
      <c r="D44" s="213" t="inlineStr">
        <is>
          <t>Аппараты для газовой сварки и резки</t>
        </is>
      </c>
      <c r="E44" s="212" t="inlineStr">
        <is>
          <t>маш.час</t>
        </is>
      </c>
      <c r="F44" s="212" t="n">
        <v>3.701802</v>
      </c>
      <c r="G44" s="217" t="n">
        <v>1.2</v>
      </c>
      <c r="H44" s="217">
        <f>ROUND(F44*G44,2)</f>
        <v/>
      </c>
    </row>
    <row r="45" ht="31.7" customFormat="1" customHeight="1" s="147">
      <c r="A45" s="212" t="n">
        <v>32</v>
      </c>
      <c r="B45" s="212" t="n"/>
      <c r="C45" s="25" t="inlineStr">
        <is>
          <t>91.08.09-024</t>
        </is>
      </c>
      <c r="D45" s="213" t="inlineStr">
        <is>
          <t>Трамбовки пневматические при работе от стационарного компрессора</t>
        </is>
      </c>
      <c r="E45" s="212" t="inlineStr">
        <is>
          <t>маш.час</t>
        </is>
      </c>
      <c r="F45" s="212" t="n">
        <v>0.7924</v>
      </c>
      <c r="G45" s="217" t="n">
        <v>4.91</v>
      </c>
      <c r="H45" s="217">
        <f>ROUND(F45*G45,2)</f>
        <v/>
      </c>
    </row>
    <row r="46" ht="31.7" customFormat="1" customHeight="1" s="147">
      <c r="A46" s="212" t="n">
        <v>33</v>
      </c>
      <c r="B46" s="212" t="n"/>
      <c r="C46" s="25" t="inlineStr">
        <is>
          <t>91.17.04-171</t>
        </is>
      </c>
      <c r="D46" s="213" t="inlineStr">
        <is>
          <t>Преобразователи сварочные номинальным сварочным током 315-500 А</t>
        </is>
      </c>
      <c r="E46" s="212" t="inlineStr">
        <is>
          <t>маш.час</t>
        </is>
      </c>
      <c r="F46" s="212" t="n">
        <v>0.1656658</v>
      </c>
      <c r="G46" s="217" t="n">
        <v>12.31</v>
      </c>
      <c r="H46" s="217">
        <f>ROUND(F46*G46,2)</f>
        <v/>
      </c>
    </row>
    <row r="47" ht="31.7" customFormat="1" customHeight="1" s="147">
      <c r="A47" s="212" t="n">
        <v>34</v>
      </c>
      <c r="B47" s="212" t="n"/>
      <c r="C47" s="25" t="inlineStr">
        <is>
          <t>91.06.03-062</t>
        </is>
      </c>
      <c r="D47" s="213" t="inlineStr">
        <is>
          <t>Лебедки электрические тяговым усилием до 31,39 кН (3,2 т)</t>
        </is>
      </c>
      <c r="E47" s="212" t="inlineStr">
        <is>
          <t>маш.час</t>
        </is>
      </c>
      <c r="F47" s="212" t="n">
        <v>0.09533999999999999</v>
      </c>
      <c r="G47" s="217" t="n">
        <v>6.9</v>
      </c>
      <c r="H47" s="217">
        <f>ROUND(F47*G47,2)</f>
        <v/>
      </c>
    </row>
    <row r="48" ht="31.7" customFormat="1" customHeight="1" s="147">
      <c r="A48" s="212" t="n">
        <v>35</v>
      </c>
      <c r="B48" s="212" t="n"/>
      <c r="C48" s="25" t="inlineStr">
        <is>
          <t>91.06.03-060</t>
        </is>
      </c>
      <c r="D48" s="213" t="inlineStr">
        <is>
          <t>Лебедки электрические тяговым усилием до 5,79 кН (0,59 т)</t>
        </is>
      </c>
      <c r="E48" s="212" t="inlineStr">
        <is>
          <t>маш.час</t>
        </is>
      </c>
      <c r="F48" s="212" t="n">
        <v>0.05264</v>
      </c>
      <c r="G48" s="217" t="n">
        <v>1.7</v>
      </c>
      <c r="H48" s="217">
        <f>ROUND(F48*G48,2)</f>
        <v/>
      </c>
    </row>
    <row r="49" ht="15.75" customFormat="1" customHeight="1" s="15">
      <c r="A49" s="211" t="inlineStr">
        <is>
          <t>Материалы</t>
        </is>
      </c>
      <c r="B49" s="239" t="n"/>
      <c r="C49" s="239" t="n"/>
      <c r="D49" s="239" t="n"/>
      <c r="E49" s="240" t="n"/>
      <c r="F49" s="211" t="n"/>
      <c r="G49" s="20" t="n"/>
      <c r="H49" s="20">
        <f>SUM(H50:H96)</f>
        <v/>
      </c>
    </row>
    <row r="50" ht="31.7" customFormat="1" customHeight="1" s="147">
      <c r="A50" s="212" t="n">
        <v>36</v>
      </c>
      <c r="B50" s="212" t="n"/>
      <c r="C50" s="25" t="inlineStr">
        <is>
          <t>04.1.02.05-0044</t>
        </is>
      </c>
      <c r="D50" s="213" t="inlineStr">
        <is>
          <t>Смеси бетонные тяжелого бетона (БСТ), крупность заполнителя 20 мм, класс В20 (М250)</t>
        </is>
      </c>
      <c r="E50" s="212" t="inlineStr">
        <is>
          <t>м3</t>
        </is>
      </c>
      <c r="F50" s="212" t="n">
        <v>77.8505</v>
      </c>
      <c r="G50" s="217" t="n">
        <v>667.83</v>
      </c>
      <c r="H50" s="217">
        <f>ROUND(F50*G50,2)</f>
        <v/>
      </c>
    </row>
    <row r="51" ht="31.7" customFormat="1" customHeight="1" s="147">
      <c r="A51" s="212" t="n">
        <v>37</v>
      </c>
      <c r="B51" s="212" t="n"/>
      <c r="C51" s="25" t="inlineStr">
        <is>
          <t>04.1.02.05-0007</t>
        </is>
      </c>
      <c r="D51" s="213" t="inlineStr">
        <is>
          <t>Смеси бетонные тяжелого бетона (БСТ), класс В20 (М250)</t>
        </is>
      </c>
      <c r="E51" s="212" t="inlineStr">
        <is>
          <t>м3</t>
        </is>
      </c>
      <c r="F51" s="212" t="n">
        <v>75.11</v>
      </c>
      <c r="G51" s="217" t="n">
        <v>665</v>
      </c>
      <c r="H51" s="217">
        <f>ROUND(F51*G51,2)</f>
        <v/>
      </c>
    </row>
    <row r="52" ht="47.25" customFormat="1" customHeight="1" s="147">
      <c r="A52" s="212" t="n">
        <v>38</v>
      </c>
      <c r="B52" s="212" t="n"/>
      <c r="C52" s="25" t="inlineStr">
        <is>
          <t>08.4.03.03-0031</t>
        </is>
      </c>
      <c r="D52" s="213" t="inlineStr">
        <is>
          <t>Сталь арматурная, горячекатаная, периодического профиля, класс А-III, диаметр 10 мм</t>
        </is>
      </c>
      <c r="E52" s="212" t="inlineStr">
        <is>
          <t>т</t>
        </is>
      </c>
      <c r="F52" s="212" t="n">
        <v>4.7334</v>
      </c>
      <c r="G52" s="217" t="n">
        <v>8014.15</v>
      </c>
      <c r="H52" s="217">
        <f>ROUND(F52*G52,2)</f>
        <v/>
      </c>
    </row>
    <row r="53" ht="47.25" customFormat="1" customHeight="1" s="147">
      <c r="A53" s="212" t="n">
        <v>39</v>
      </c>
      <c r="B53" s="212" t="n"/>
      <c r="C53" s="25" t="inlineStr">
        <is>
          <t>14.2.03.02-1006</t>
        </is>
      </c>
      <c r="D53" s="213" t="inlineStr">
        <is>
          <t>Покрытие эластичное двухкомпонентное на эпоксидно-полиуретановой основе для гидроизоляции и защиты бетона, компонент В</t>
        </is>
      </c>
      <c r="E53" s="212" t="inlineStr">
        <is>
          <t>кг</t>
        </is>
      </c>
      <c r="F53" s="212" t="n">
        <v>126.42</v>
      </c>
      <c r="G53" s="217" t="n">
        <v>295.4</v>
      </c>
      <c r="H53" s="217">
        <f>ROUND(F53*G53,2)</f>
        <v/>
      </c>
    </row>
    <row r="54" ht="31.7" customFormat="1" customHeight="1" s="147">
      <c r="A54" s="212" t="n">
        <v>40</v>
      </c>
      <c r="B54" s="212" t="n"/>
      <c r="C54" s="25" t="inlineStr">
        <is>
          <t>07.2.07.04-0014</t>
        </is>
      </c>
      <c r="D54" s="213" t="inlineStr">
        <is>
          <t>Конструкции сварные индивидуальные прочие, масса сборочной единицы от 0,1 до 0,5 т</t>
        </is>
      </c>
      <c r="E54" s="212" t="inlineStr">
        <is>
          <t>т</t>
        </is>
      </c>
      <c r="F54" s="212" t="n">
        <v>1.76</v>
      </c>
      <c r="G54" s="217" t="n">
        <v>10046</v>
      </c>
      <c r="H54" s="217">
        <f>ROUND(F54*G54,2)</f>
        <v/>
      </c>
    </row>
    <row r="55" ht="47.25" customFormat="1" customHeight="1" s="147">
      <c r="A55" s="212" t="n">
        <v>41</v>
      </c>
      <c r="B55" s="212" t="n"/>
      <c r="C55" s="25" t="inlineStr">
        <is>
          <t>14.2.03.02-1004</t>
        </is>
      </c>
      <c r="D55" s="213" t="inlineStr">
        <is>
          <t>Покрытие эластичное двухкомпонентное на эпоксидно-полиуретановой основе для гидроизоляции и защиты бетона, компонент А</t>
        </is>
      </c>
      <c r="E55" s="212" t="inlineStr">
        <is>
          <t>кг</t>
        </is>
      </c>
      <c r="F55" s="212" t="n">
        <v>126.42</v>
      </c>
      <c r="G55" s="217" t="n">
        <v>122.89</v>
      </c>
      <c r="H55" s="217">
        <f>ROUND(F55*G55,2)</f>
        <v/>
      </c>
    </row>
    <row r="56" ht="15.75" customFormat="1" customHeight="1" s="147">
      <c r="A56" s="212" t="n">
        <v>42</v>
      </c>
      <c r="B56" s="212" t="n"/>
      <c r="C56" s="25" t="inlineStr">
        <is>
          <t>04.3.01.09-0018</t>
        </is>
      </c>
      <c r="D56" s="213" t="inlineStr">
        <is>
          <t>Раствор готовый кладочный, цементный, М300</t>
        </is>
      </c>
      <c r="E56" s="212" t="inlineStr">
        <is>
          <t>м3</t>
        </is>
      </c>
      <c r="F56" s="212" t="n">
        <v>17.34</v>
      </c>
      <c r="G56" s="217" t="n">
        <v>711.5</v>
      </c>
      <c r="H56" s="217">
        <f>ROUND(F56*G56,2)</f>
        <v/>
      </c>
    </row>
    <row r="57" ht="47.25" customFormat="1" customHeight="1" s="147">
      <c r="A57" s="212" t="n">
        <v>43</v>
      </c>
      <c r="B57" s="212" t="n"/>
      <c r="C57" s="25" t="inlineStr">
        <is>
          <t>Прайс лист № 7 от 12.01.16 ОЗПЦ</t>
        </is>
      </c>
      <c r="D57" s="213" t="inlineStr">
        <is>
          <t>Оцинковка</t>
        </is>
      </c>
      <c r="E57" s="212" t="inlineStr">
        <is>
          <t>т</t>
        </is>
      </c>
      <c r="F57" s="212" t="n">
        <v>1.77</v>
      </c>
      <c r="G57" s="217" t="n">
        <v>6932.64</v>
      </c>
      <c r="H57" s="217">
        <f>ROUND(F57*G57,2)</f>
        <v/>
      </c>
    </row>
    <row r="58" ht="78.75" customFormat="1" customHeight="1" s="147">
      <c r="A58" s="212" t="n">
        <v>44</v>
      </c>
      <c r="B58" s="212" t="n"/>
      <c r="C58" s="25" t="inlineStr">
        <is>
          <t>23.8.05.02-0006</t>
        </is>
      </c>
      <c r="D58" s="213" t="inlineStr">
        <is>
      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      </is>
      </c>
      <c r="E58" s="212" t="inlineStr">
        <is>
          <t>шт</t>
        </is>
      </c>
      <c r="F58" s="212" t="n">
        <v>1</v>
      </c>
      <c r="G58" s="217" t="n">
        <v>9144.26</v>
      </c>
      <c r="H58" s="217">
        <f>ROUND(F58*G58,2)</f>
        <v/>
      </c>
    </row>
    <row r="59" ht="47.25" customFormat="1" customHeight="1" s="147">
      <c r="A59" s="212" t="n">
        <v>45</v>
      </c>
      <c r="B59" s="212" t="n"/>
      <c r="C59" s="25" t="inlineStr">
        <is>
          <t>05.2.02.01-0053</t>
        </is>
      </c>
      <c r="D59" s="213" t="inlineStr">
        <is>
          <t>Блоки бетонные для стен подвалов полнотелые ФБС24-4-6-Т, бетон B7,5 (М100, объем 0,543 м3, расход арматуры 1,46 кг</t>
        </is>
      </c>
      <c r="E59" s="212" t="inlineStr">
        <is>
          <t>шт</t>
        </is>
      </c>
      <c r="F59" s="212" t="n">
        <v>24</v>
      </c>
      <c r="G59" s="217" t="n">
        <v>314.94</v>
      </c>
      <c r="H59" s="217">
        <f>ROUND(F59*G59,2)</f>
        <v/>
      </c>
    </row>
    <row r="60" ht="47.25" customFormat="1" customHeight="1" s="147">
      <c r="A60" s="212" t="n">
        <v>46</v>
      </c>
      <c r="B60" s="212" t="n"/>
      <c r="C60" s="25" t="inlineStr">
        <is>
          <t>05.2.02.01-0036</t>
        </is>
      </c>
      <c r="D60" s="213" t="inlineStr">
        <is>
          <t>Блоки бетонные для стен подвалов полнотелые ФБС9-4-6-Т, бетон B7,5 (М100, объем 0,195 м3, расход арматуры 0,76 кг</t>
        </is>
      </c>
      <c r="E60" s="212" t="inlineStr">
        <is>
          <t>шт</t>
        </is>
      </c>
      <c r="F60" s="212" t="n">
        <v>20</v>
      </c>
      <c r="G60" s="217" t="n">
        <v>120.9</v>
      </c>
      <c r="H60" s="217">
        <f>ROUND(F60*G60,2)</f>
        <v/>
      </c>
    </row>
    <row r="61" ht="15.75" customFormat="1" customHeight="1" s="147">
      <c r="A61" s="212" t="n">
        <v>47</v>
      </c>
      <c r="B61" s="212" t="n"/>
      <c r="C61" s="25" t="inlineStr">
        <is>
          <t>11.2.13.04-0011</t>
        </is>
      </c>
      <c r="D61" s="213" t="inlineStr">
        <is>
          <t>Щиты из досок, толщина 25 мм</t>
        </is>
      </c>
      <c r="E61" s="212" t="inlineStr">
        <is>
          <t>м2</t>
        </is>
      </c>
      <c r="F61" s="212" t="n">
        <v>49.246</v>
      </c>
      <c r="G61" s="217" t="n">
        <v>35.53</v>
      </c>
      <c r="H61" s="217">
        <f>ROUND(F61*G61,2)</f>
        <v/>
      </c>
    </row>
    <row r="62" ht="47.25" customFormat="1" customHeight="1" s="147">
      <c r="A62" s="212" t="n">
        <v>48</v>
      </c>
      <c r="B62" s="212" t="n"/>
      <c r="C62" s="25" t="inlineStr">
        <is>
          <t>11.1.03.06-0095</t>
        </is>
      </c>
      <c r="D62" s="213" t="inlineStr">
        <is>
          <t>Доска обрезная, хвойных пород, ширина 75-150 мм, толщина 44 мм и более, длина 4-6,5 м, сорт III</t>
        </is>
      </c>
      <c r="E62" s="212" t="inlineStr">
        <is>
          <t>м3</t>
        </is>
      </c>
      <c r="F62" s="212" t="n">
        <v>1.40734</v>
      </c>
      <c r="G62" s="217" t="n">
        <v>1056</v>
      </c>
      <c r="H62" s="217">
        <f>ROUND(F62*G62,2)</f>
        <v/>
      </c>
    </row>
    <row r="63" ht="47.25" customFormat="1" customHeight="1" s="147">
      <c r="A63" s="212" t="n">
        <v>49</v>
      </c>
      <c r="B63" s="212" t="n"/>
      <c r="C63" s="25" t="inlineStr">
        <is>
          <t>04.1.02.05-0078</t>
        </is>
      </c>
      <c r="D63" s="213" t="inlineStr">
        <is>
          <t>Смеси бетонные тяжелого бетона (БСТ), крупность заполнителя более 40 мм, класс В20 (М250)</t>
        </is>
      </c>
      <c r="E63" s="212" t="inlineStr">
        <is>
          <t>м3</t>
        </is>
      </c>
      <c r="F63" s="212" t="n">
        <v>2.244</v>
      </c>
      <c r="G63" s="217" t="n">
        <v>636.1900000000001</v>
      </c>
      <c r="H63" s="217">
        <f>ROUND(F63*G63,2)</f>
        <v/>
      </c>
    </row>
    <row r="64" ht="15.75" customFormat="1" customHeight="1" s="147">
      <c r="A64" s="212" t="n">
        <v>50</v>
      </c>
      <c r="B64" s="212" t="n"/>
      <c r="C64" s="25" t="inlineStr">
        <is>
          <t>01.7.15.06-0111</t>
        </is>
      </c>
      <c r="D64" s="213" t="inlineStr">
        <is>
          <t>Гвозди строительные</t>
        </is>
      </c>
      <c r="E64" s="212" t="inlineStr">
        <is>
          <t>т</t>
        </is>
      </c>
      <c r="F64" s="212" t="n">
        <v>0.0732613</v>
      </c>
      <c r="G64" s="217" t="n">
        <v>11978</v>
      </c>
      <c r="H64" s="217">
        <f>ROUND(F64*G64,2)</f>
        <v/>
      </c>
    </row>
    <row r="65" ht="31.7" customFormat="1" customHeight="1" s="147">
      <c r="A65" s="212" t="n">
        <v>51</v>
      </c>
      <c r="B65" s="212" t="n"/>
      <c r="C65" s="25" t="inlineStr">
        <is>
          <t>08.4.01.01-0022</t>
        </is>
      </c>
      <c r="D65" s="213" t="inlineStr">
        <is>
          <t>Детали анкерные с резьбой из прямых или гнутых круглых стержней</t>
        </is>
      </c>
      <c r="E65" s="212" t="inlineStr">
        <is>
          <t>т</t>
        </is>
      </c>
      <c r="F65" s="212" t="n">
        <v>0.0698</v>
      </c>
      <c r="G65" s="217" t="n">
        <v>10100</v>
      </c>
      <c r="H65" s="217">
        <f>ROUND(F65*G65,2)</f>
        <v/>
      </c>
    </row>
    <row r="66" ht="31.7" customFormat="1" customHeight="1" s="147">
      <c r="A66" s="212" t="n">
        <v>52</v>
      </c>
      <c r="B66" s="212" t="n"/>
      <c r="C66" s="25" t="inlineStr">
        <is>
          <t>08.3.03.06-0002</t>
        </is>
      </c>
      <c r="D66" s="213" t="inlineStr">
        <is>
          <t>Проволока горячекатаная в мотках, диаметр 6,3-6,5 мм</t>
        </is>
      </c>
      <c r="E66" s="212" t="inlineStr">
        <is>
          <t>т</t>
        </is>
      </c>
      <c r="F66" s="212" t="n">
        <v>0.1516355</v>
      </c>
      <c r="G66" s="217" t="n">
        <v>4455.2</v>
      </c>
      <c r="H66" s="217">
        <f>ROUND(F66*G66,2)</f>
        <v/>
      </c>
    </row>
    <row r="67" ht="15.75" customFormat="1" customHeight="1" s="147">
      <c r="A67" s="212" t="n">
        <v>53</v>
      </c>
      <c r="B67" s="212" t="n"/>
      <c r="C67" s="25" t="inlineStr">
        <is>
          <t>01.7.11.07-0054</t>
        </is>
      </c>
      <c r="D67" s="213" t="inlineStr">
        <is>
          <t>Электроды сварочные Э42, диаметр 6 мм</t>
        </is>
      </c>
      <c r="E67" s="212" t="inlineStr">
        <is>
          <t>т</t>
        </is>
      </c>
      <c r="F67" s="212" t="n">
        <v>0.070547</v>
      </c>
      <c r="G67" s="217" t="n">
        <v>9424</v>
      </c>
      <c r="H67" s="217">
        <f>ROUND(F67*G67,2)</f>
        <v/>
      </c>
    </row>
    <row r="68" ht="47.25" customFormat="1" customHeight="1" s="147">
      <c r="A68" s="212" t="n">
        <v>54</v>
      </c>
      <c r="B68" s="212" t="n"/>
      <c r="C68" s="25" t="inlineStr">
        <is>
          <t>04.1.02.05-0077</t>
        </is>
      </c>
      <c r="D68" s="213" t="inlineStr">
        <is>
          <t>Смеси бетонные тяжелого бетона (БСТ), крупность заполнителя более 40 мм, класс В15 (М200)</t>
        </is>
      </c>
      <c r="E68" s="212" t="inlineStr">
        <is>
          <t>м3</t>
        </is>
      </c>
      <c r="F68" s="212" t="n">
        <v>1.02</v>
      </c>
      <c r="G68" s="217" t="n">
        <v>600</v>
      </c>
      <c r="H68" s="217">
        <f>ROUND(F68*G68,2)</f>
        <v/>
      </c>
    </row>
    <row r="69" ht="15.75" customFormat="1" customHeight="1" s="147">
      <c r="A69" s="212" t="n">
        <v>55</v>
      </c>
      <c r="B69" s="212" t="n"/>
      <c r="C69" s="25" t="inlineStr">
        <is>
          <t>04.3.01.09-0014</t>
        </is>
      </c>
      <c r="D69" s="213" t="inlineStr">
        <is>
          <t>Раствор готовый кладочный, цементный, М100</t>
        </is>
      </c>
      <c r="E69" s="212" t="inlineStr">
        <is>
          <t>м3</t>
        </is>
      </c>
      <c r="F69" s="212" t="n">
        <v>0.948</v>
      </c>
      <c r="G69" s="217" t="n">
        <v>519.8</v>
      </c>
      <c r="H69" s="217">
        <f>ROUND(F69*G69,2)</f>
        <v/>
      </c>
    </row>
    <row r="70" ht="15.75" customFormat="1" customHeight="1" s="147">
      <c r="A70" s="212" t="n">
        <v>56</v>
      </c>
      <c r="B70" s="212" t="n"/>
      <c r="C70" s="25" t="inlineStr">
        <is>
          <t>01.7.11.07-0056</t>
        </is>
      </c>
      <c r="D70" s="213" t="inlineStr">
        <is>
          <t>Электроды сварочные Э46, диаметр 6 мм</t>
        </is>
      </c>
      <c r="E70" s="212" t="inlineStr">
        <is>
          <t>т</t>
        </is>
      </c>
      <c r="F70" s="212" t="n">
        <v>0.031521</v>
      </c>
      <c r="G70" s="217" t="n">
        <v>9793</v>
      </c>
      <c r="H70" s="217">
        <f>ROUND(F70*G70,2)</f>
        <v/>
      </c>
    </row>
    <row r="71" ht="31.7" customFormat="1" customHeight="1" s="147">
      <c r="A71" s="212" t="n">
        <v>57</v>
      </c>
      <c r="B71" s="212" t="n"/>
      <c r="C71" s="25" t="inlineStr">
        <is>
          <t>08.4.03.02-0002</t>
        </is>
      </c>
      <c r="D71" s="213" t="inlineStr">
        <is>
          <t>Сталь арматурная, горячекатаная, гладкая, класс А-I, диаметр 8 мм</t>
        </is>
      </c>
      <c r="E71" s="212" t="inlineStr">
        <is>
          <t>т</t>
        </is>
      </c>
      <c r="F71" s="212" t="n">
        <v>0.0405</v>
      </c>
      <c r="G71" s="217" t="n">
        <v>6780</v>
      </c>
      <c r="H71" s="217">
        <f>ROUND(F71*G71,2)</f>
        <v/>
      </c>
    </row>
    <row r="72" ht="31.7" customFormat="1" customHeight="1" s="147">
      <c r="A72" s="212" t="n">
        <v>58</v>
      </c>
      <c r="B72" s="212" t="n"/>
      <c r="C72" s="25" t="inlineStr">
        <is>
          <t>11.1.02.04-0031</t>
        </is>
      </c>
      <c r="D72" s="213" t="inlineStr">
        <is>
          <t>Лесоматериалы круглые, хвойных пород, для строительства, диаметр 14-24 см, длина 3-6,5 м</t>
        </is>
      </c>
      <c r="E72" s="212" t="inlineStr">
        <is>
          <t>м3</t>
        </is>
      </c>
      <c r="F72" s="212" t="n">
        <v>0.46548</v>
      </c>
      <c r="G72" s="217" t="n">
        <v>558.33</v>
      </c>
      <c r="H72" s="217">
        <f>ROUND(F72*G72,2)</f>
        <v/>
      </c>
    </row>
    <row r="73" ht="31.7" customFormat="1" customHeight="1" s="147">
      <c r="A73" s="212" t="n">
        <v>59</v>
      </c>
      <c r="B73" s="212" t="n"/>
      <c r="C73" s="25" t="inlineStr">
        <is>
          <t>02.3.01.02-1019</t>
        </is>
      </c>
      <c r="D73" s="213" t="inlineStr">
        <is>
          <t>Песок природный I класс, повышенной крупности, круглые сита</t>
        </is>
      </c>
      <c r="E73" s="212" t="inlineStr">
        <is>
          <t>м3</t>
        </is>
      </c>
      <c r="F73" s="212" t="n">
        <v>2.09</v>
      </c>
      <c r="G73" s="217" t="n">
        <v>70</v>
      </c>
      <c r="H73" s="217">
        <f>ROUND(F73*G73,2)</f>
        <v/>
      </c>
    </row>
    <row r="74" ht="15.75" customFormat="1" customHeight="1" s="147">
      <c r="A74" s="212" t="n">
        <v>60</v>
      </c>
      <c r="B74" s="212" t="n"/>
      <c r="C74" s="25" t="inlineStr">
        <is>
          <t>03.1.02.03-0011</t>
        </is>
      </c>
      <c r="D74" s="213" t="inlineStr">
        <is>
          <t>Известь строительная негашеная комовая, сорт I</t>
        </is>
      </c>
      <c r="E74" s="212" t="inlineStr">
        <is>
          <t>т</t>
        </is>
      </c>
      <c r="F74" s="212" t="n">
        <v>0.156135</v>
      </c>
      <c r="G74" s="217" t="n">
        <v>734.5</v>
      </c>
      <c r="H74" s="217">
        <f>ROUND(F74*G74,2)</f>
        <v/>
      </c>
    </row>
    <row r="75" ht="15.75" customFormat="1" customHeight="1" s="147">
      <c r="A75" s="212" t="n">
        <v>61</v>
      </c>
      <c r="B75" s="212" t="n"/>
      <c r="C75" s="25" t="inlineStr">
        <is>
          <t>19.2.03.09-0011</t>
        </is>
      </c>
      <c r="D75" s="213" t="inlineStr">
        <is>
          <t>Решетки для приямков стальные</t>
        </is>
      </c>
      <c r="E75" s="212" t="inlineStr">
        <is>
          <t>т</t>
        </is>
      </c>
      <c r="F75" s="212" t="n">
        <v>0.01</v>
      </c>
      <c r="G75" s="217" t="n">
        <v>7932.6</v>
      </c>
      <c r="H75" s="217">
        <f>ROUND(F75*G75,2)</f>
        <v/>
      </c>
    </row>
    <row r="76" ht="15.75" customFormat="1" customHeight="1" s="147">
      <c r="A76" s="212" t="n">
        <v>62</v>
      </c>
      <c r="B76" s="212" t="n"/>
      <c r="C76" s="25" t="inlineStr">
        <is>
          <t>14.3.02.01-0218</t>
        </is>
      </c>
      <c r="D76" s="213" t="inlineStr">
        <is>
          <t>Краска водоэмульсионная белая</t>
        </is>
      </c>
      <c r="E76" s="212" t="inlineStr">
        <is>
          <t>т</t>
        </is>
      </c>
      <c r="F76" s="212" t="n">
        <v>0.014288</v>
      </c>
      <c r="G76" s="217" t="n">
        <v>5019.7</v>
      </c>
      <c r="H76" s="217">
        <f>ROUND(F76*G76,2)</f>
        <v/>
      </c>
    </row>
    <row r="77" ht="63" customFormat="1" customHeight="1" s="147">
      <c r="A77" s="212" t="n">
        <v>63</v>
      </c>
      <c r="B77" s="212" t="n"/>
      <c r="C77" s="25" t="inlineStr">
        <is>
          <t>07.2.07.12-0020</t>
        </is>
      </c>
      <c r="D77" s="21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77" s="212" t="inlineStr">
        <is>
          <t>т</t>
        </is>
      </c>
      <c r="F77" s="212" t="n">
        <v>0.0092056</v>
      </c>
      <c r="G77" s="217" t="n">
        <v>7712</v>
      </c>
      <c r="H77" s="217">
        <f>ROUND(F77*G77,2)</f>
        <v/>
      </c>
    </row>
    <row r="78" ht="15.75" customFormat="1" customHeight="1" s="147">
      <c r="A78" s="212" t="n">
        <v>64</v>
      </c>
      <c r="B78" s="212" t="n"/>
      <c r="C78" s="25" t="inlineStr">
        <is>
          <t>01.7.15.03-0042</t>
        </is>
      </c>
      <c r="D78" s="213" t="inlineStr">
        <is>
          <t>Болты с гайками и шайбами строительные</t>
        </is>
      </c>
      <c r="E78" s="212" t="inlineStr">
        <is>
          <t>кг</t>
        </is>
      </c>
      <c r="F78" s="212" t="n">
        <v>7.399194</v>
      </c>
      <c r="G78" s="217" t="n">
        <v>9.039999999999999</v>
      </c>
      <c r="H78" s="217">
        <f>ROUND(F78*G78,2)</f>
        <v/>
      </c>
    </row>
    <row r="79" ht="31.7" customFormat="1" customHeight="1" s="147">
      <c r="A79" s="212" t="n">
        <v>65</v>
      </c>
      <c r="B79" s="212" t="n"/>
      <c r="C79" s="25" t="inlineStr">
        <is>
          <t>02.2.05.04-0085</t>
        </is>
      </c>
      <c r="D79" s="213" t="inlineStr">
        <is>
          <t>Щебень из природного камня для строительных работ марка: 600, фракция 5 (3)-40 мм</t>
        </is>
      </c>
      <c r="E79" s="212" t="inlineStr">
        <is>
          <t>м3</t>
        </is>
      </c>
      <c r="F79" s="212" t="n">
        <v>0.3223</v>
      </c>
      <c r="G79" s="217" t="n">
        <v>106.14</v>
      </c>
      <c r="H79" s="217">
        <f>ROUND(F79*G79,2)</f>
        <v/>
      </c>
    </row>
    <row r="80" ht="15.75" customFormat="1" customHeight="1" s="147">
      <c r="A80" s="212" t="n">
        <v>66</v>
      </c>
      <c r="B80" s="212" t="n"/>
      <c r="C80" s="25" t="inlineStr">
        <is>
          <t>01.7.03.01-0001</t>
        </is>
      </c>
      <c r="D80" s="213" t="inlineStr">
        <is>
          <t>Вода</t>
        </is>
      </c>
      <c r="E80" s="212" t="inlineStr">
        <is>
          <t>м3</t>
        </is>
      </c>
      <c r="F80" s="212" t="n">
        <v>12.735015</v>
      </c>
      <c r="G80" s="217" t="n">
        <v>2.44</v>
      </c>
      <c r="H80" s="217">
        <f>ROUND(F80*G80,2)</f>
        <v/>
      </c>
    </row>
    <row r="81" ht="15.75" customFormat="1" customHeight="1" s="147">
      <c r="A81" s="212" t="n">
        <v>67</v>
      </c>
      <c r="B81" s="212" t="n"/>
      <c r="C81" s="25" t="inlineStr">
        <is>
          <t>01.3.02.08-0001</t>
        </is>
      </c>
      <c r="D81" s="213" t="inlineStr">
        <is>
          <t>Кислород газообразный технический</t>
        </is>
      </c>
      <c r="E81" s="212" t="inlineStr">
        <is>
          <t>м3</t>
        </is>
      </c>
      <c r="F81" s="212" t="n">
        <v>3.6059652</v>
      </c>
      <c r="G81" s="217" t="n">
        <v>6.22</v>
      </c>
      <c r="H81" s="217">
        <f>ROUND(F81*G81,2)</f>
        <v/>
      </c>
    </row>
    <row r="82" ht="15.75" customFormat="1" customHeight="1" s="147">
      <c r="A82" s="212" t="n">
        <v>68</v>
      </c>
      <c r="B82" s="212" t="n"/>
      <c r="C82" s="25" t="inlineStr">
        <is>
          <t>08.3.11.01-0091</t>
        </is>
      </c>
      <c r="D82" s="213" t="inlineStr">
        <is>
          <t>Швеллеры № 40, марка стали Ст0</t>
        </is>
      </c>
      <c r="E82" s="212" t="inlineStr">
        <is>
          <t>т</t>
        </is>
      </c>
      <c r="F82" s="212" t="n">
        <v>0.0035922</v>
      </c>
      <c r="G82" s="217" t="n">
        <v>4920</v>
      </c>
      <c r="H82" s="217">
        <f>ROUND(F82*G82,2)</f>
        <v/>
      </c>
    </row>
    <row r="83" ht="15.75" customFormat="1" customHeight="1" s="147">
      <c r="A83" s="212" t="n">
        <v>69</v>
      </c>
      <c r="B83" s="212" t="n"/>
      <c r="C83" s="25" t="inlineStr">
        <is>
          <t>02.2.05.04-1813</t>
        </is>
      </c>
      <c r="D83" s="213" t="inlineStr">
        <is>
          <t>Щебень М 600, фракция 40-80(70) мм, группа 3</t>
        </is>
      </c>
      <c r="E83" s="212" t="inlineStr">
        <is>
          <t>м3</t>
        </is>
      </c>
      <c r="F83" s="212" t="n">
        <v>0.1648</v>
      </c>
      <c r="G83" s="217" t="n">
        <v>98.59999999999999</v>
      </c>
      <c r="H83" s="217">
        <f>ROUND(F83*G83,2)</f>
        <v/>
      </c>
    </row>
    <row r="84" ht="15.75" customFormat="1" customHeight="1" s="147">
      <c r="A84" s="212" t="n">
        <v>70</v>
      </c>
      <c r="B84" s="212" t="n"/>
      <c r="C84" s="25" t="inlineStr">
        <is>
          <t>14.5.09.07-0030</t>
        </is>
      </c>
      <c r="D84" s="213" t="inlineStr">
        <is>
          <t>Растворитель Р-4</t>
        </is>
      </c>
      <c r="E84" s="212" t="inlineStr">
        <is>
          <t>кг</t>
        </is>
      </c>
      <c r="F84" s="212" t="n">
        <v>1.1109816</v>
      </c>
      <c r="G84" s="217" t="n">
        <v>9.42</v>
      </c>
      <c r="H84" s="217">
        <f>ROUND(F84*G84,2)</f>
        <v/>
      </c>
    </row>
    <row r="85" ht="15.75" customFormat="1" customHeight="1" s="147">
      <c r="A85" s="212" t="n">
        <v>71</v>
      </c>
      <c r="B85" s="212" t="n"/>
      <c r="C85" s="25" t="inlineStr">
        <is>
          <t>01.7.07.12-0024</t>
        </is>
      </c>
      <c r="D85" s="213" t="inlineStr">
        <is>
          <t>Пленка полиэтиленовая, толщина 0,15 мм</t>
        </is>
      </c>
      <c r="E85" s="212" t="inlineStr">
        <is>
          <t>м2</t>
        </is>
      </c>
      <c r="F85" s="212" t="n">
        <v>2.5712</v>
      </c>
      <c r="G85" s="217" t="n">
        <v>3.62</v>
      </c>
      <c r="H85" s="217">
        <f>ROUND(F85*G85,2)</f>
        <v/>
      </c>
    </row>
    <row r="86" ht="15.75" customFormat="1" customHeight="1" s="147">
      <c r="A86" s="212" t="n">
        <v>72</v>
      </c>
      <c r="B86" s="212" t="n"/>
      <c r="C86" s="25" t="inlineStr">
        <is>
          <t>14.4.01.01-0003</t>
        </is>
      </c>
      <c r="D86" s="213" t="inlineStr">
        <is>
          <t>Грунтовка ГФ-021</t>
        </is>
      </c>
      <c r="E86" s="212" t="inlineStr">
        <is>
          <t>т</t>
        </is>
      </c>
      <c r="F86" s="212" t="n">
        <v>0.0005741</v>
      </c>
      <c r="G86" s="217" t="n">
        <v>15620</v>
      </c>
      <c r="H86" s="217">
        <f>ROUND(F86*G86,2)</f>
        <v/>
      </c>
    </row>
    <row r="87" ht="15.75" customFormat="1" customHeight="1" s="147">
      <c r="A87" s="212" t="n">
        <v>73</v>
      </c>
      <c r="B87" s="212" t="n"/>
      <c r="C87" s="25" t="inlineStr">
        <is>
          <t>01.7.11.07-0032</t>
        </is>
      </c>
      <c r="D87" s="213" t="inlineStr">
        <is>
          <t>Электроды сварочные Э42, диаметр 4 мм</t>
        </is>
      </c>
      <c r="E87" s="212" t="inlineStr">
        <is>
          <t>т</t>
        </is>
      </c>
      <c r="F87" s="212" t="n">
        <v>0.0007364</v>
      </c>
      <c r="G87" s="217" t="n">
        <v>10315.01</v>
      </c>
      <c r="H87" s="217">
        <f>ROUND(F87*G87,2)</f>
        <v/>
      </c>
    </row>
    <row r="88" ht="47.25" customFormat="1" customHeight="1" s="147">
      <c r="A88" s="212" t="n">
        <v>74</v>
      </c>
      <c r="B88" s="212" t="n"/>
      <c r="C88" s="25" t="inlineStr">
        <is>
          <t>08.1.02.17-0040</t>
        </is>
      </c>
      <c r="D88" s="213" t="inlineStr">
        <is>
          <t>Сетка плетеная из проволоки, оцинкованная, диаметр проволоки 2,5 мм, размер ячейки 50х50 мм</t>
        </is>
      </c>
      <c r="E88" s="212" t="inlineStr">
        <is>
          <t>м2</t>
        </is>
      </c>
      <c r="F88" s="212" t="n">
        <v>0.49</v>
      </c>
      <c r="G88" s="217" t="n">
        <v>15.46</v>
      </c>
      <c r="H88" s="217">
        <f>ROUND(F88*G88,2)</f>
        <v/>
      </c>
    </row>
    <row r="89" ht="15.75" customFormat="1" customHeight="1" s="147">
      <c r="A89" s="212" t="n">
        <v>75</v>
      </c>
      <c r="B89" s="212" t="n"/>
      <c r="C89" s="25" t="inlineStr">
        <is>
          <t>01.7.20.08-0071</t>
        </is>
      </c>
      <c r="D89" s="213" t="inlineStr">
        <is>
          <t>Канат пеньковый пропитанный</t>
        </is>
      </c>
      <c r="E89" s="212" t="inlineStr">
        <is>
          <t>т</t>
        </is>
      </c>
      <c r="F89" s="212" t="n">
        <v>0.0001853</v>
      </c>
      <c r="G89" s="217" t="n">
        <v>37900</v>
      </c>
      <c r="H89" s="217">
        <f>ROUND(F89*G89,2)</f>
        <v/>
      </c>
    </row>
    <row r="90" ht="15.75" customFormat="1" customHeight="1" s="147">
      <c r="A90" s="212" t="n">
        <v>76</v>
      </c>
      <c r="B90" s="212" t="n"/>
      <c r="C90" s="25" t="inlineStr">
        <is>
          <t>01.3.02.09-0022</t>
        </is>
      </c>
      <c r="D90" s="213" t="inlineStr">
        <is>
          <t>Пропан-бутан смесь техническая</t>
        </is>
      </c>
      <c r="E90" s="212" t="inlineStr">
        <is>
          <t>кг</t>
        </is>
      </c>
      <c r="F90" s="212" t="n">
        <v>1.0909952</v>
      </c>
      <c r="G90" s="217" t="n">
        <v>6.09</v>
      </c>
      <c r="H90" s="217">
        <f>ROUND(F90*G90,2)</f>
        <v/>
      </c>
    </row>
    <row r="91" ht="31.7" customFormat="1" customHeight="1" s="147">
      <c r="A91" s="212" t="n">
        <v>77</v>
      </c>
      <c r="B91" s="212" t="n"/>
      <c r="C91" s="25" t="inlineStr">
        <is>
          <t>11.1.03.06-0087</t>
        </is>
      </c>
      <c r="D91" s="213" t="inlineStr">
        <is>
          <t>Доска обрезная, хвойных пород, ширина 75-150 мм, толщина 25 мм, длина 4-6,5 м, сорт III</t>
        </is>
      </c>
      <c r="E91" s="212" t="inlineStr">
        <is>
          <t>м3</t>
        </is>
      </c>
      <c r="F91" s="212" t="n">
        <v>0.0044</v>
      </c>
      <c r="G91" s="217" t="n">
        <v>1100</v>
      </c>
      <c r="H91" s="217">
        <f>ROUND(F91*G91,2)</f>
        <v/>
      </c>
    </row>
    <row r="92" ht="31.7" customFormat="1" customHeight="1" s="147">
      <c r="A92" s="212" t="n">
        <v>78</v>
      </c>
      <c r="B92" s="212" t="n"/>
      <c r="C92" s="25" t="inlineStr">
        <is>
          <t>11.1.03.01-0077</t>
        </is>
      </c>
      <c r="D92" s="213" t="inlineStr">
        <is>
          <t>Бруски обрезные, хвойных пород, длина 4-6,5 м, ширина 75-150 мм, толщина 40-75 мм, сорт I</t>
        </is>
      </c>
      <c r="E92" s="212" t="inlineStr">
        <is>
          <t>м3</t>
        </is>
      </c>
      <c r="F92" s="212" t="n">
        <v>0.0018964</v>
      </c>
      <c r="G92" s="217" t="n">
        <v>1700</v>
      </c>
      <c r="H92" s="217">
        <f>ROUND(F92*G92,2)</f>
        <v/>
      </c>
    </row>
    <row r="93" ht="31.7" customFormat="1" customHeight="1" s="147">
      <c r="A93" s="212" t="n">
        <v>79</v>
      </c>
      <c r="B93" s="212" t="n"/>
      <c r="C93" s="25" t="inlineStr">
        <is>
          <t>11.1.03.01-0079</t>
        </is>
      </c>
      <c r="D93" s="213" t="inlineStr">
        <is>
          <t>Бруски обрезные, хвойных пород, длина 4-6,5 м, ширина 75-150 мм, толщина 40-75 мм, сорт III</t>
        </is>
      </c>
      <c r="E93" s="212" t="inlineStr">
        <is>
          <t>м3</t>
        </is>
      </c>
      <c r="F93" s="212" t="n">
        <v>0.001824</v>
      </c>
      <c r="G93" s="217" t="n">
        <v>1287</v>
      </c>
      <c r="H93" s="217">
        <f>ROUND(F93*G93,2)</f>
        <v/>
      </c>
    </row>
    <row r="94" ht="63" customFormat="1" customHeight="1" s="147">
      <c r="A94" s="212" t="n">
        <v>80</v>
      </c>
      <c r="B94" s="212" t="n"/>
      <c r="C94" s="25" t="inlineStr">
        <is>
          <t>08.2.02.11-0007</t>
        </is>
      </c>
      <c r="D94" s="21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94" s="212" t="inlineStr">
        <is>
          <t>10 м</t>
        </is>
      </c>
      <c r="F94" s="212" t="n">
        <v>0.0346256</v>
      </c>
      <c r="G94" s="217" t="n">
        <v>50.24</v>
      </c>
      <c r="H94" s="217">
        <f>ROUND(F94*G94,2)</f>
        <v/>
      </c>
    </row>
    <row r="95" ht="15.75" customFormat="1" customHeight="1" s="147">
      <c r="A95" s="212" t="n">
        <v>81</v>
      </c>
      <c r="B95" s="212" t="n"/>
      <c r="C95" s="25" t="inlineStr">
        <is>
          <t>08.3.03.04-0012</t>
        </is>
      </c>
      <c r="D95" s="213" t="inlineStr">
        <is>
          <t>Проволока светлая, диаметр 1,1 мм</t>
        </is>
      </c>
      <c r="E95" s="212" t="inlineStr">
        <is>
          <t>т</t>
        </is>
      </c>
      <c r="F95" s="212" t="n">
        <v>3.66e-05</v>
      </c>
      <c r="G95" s="217" t="n">
        <v>10200</v>
      </c>
      <c r="H95" s="217">
        <f>ROUND(F95*G95,2)</f>
        <v/>
      </c>
    </row>
    <row r="96" ht="15.75" customFormat="1" customHeight="1" s="147">
      <c r="A96" s="212" t="n">
        <v>82</v>
      </c>
      <c r="B96" s="212" t="n"/>
      <c r="C96" s="25" t="inlineStr">
        <is>
          <t>01.7.11.07-0036</t>
        </is>
      </c>
      <c r="D96" s="213" t="inlineStr">
        <is>
          <t>Электроды сварочные Э46, диаметр 4 мм</t>
        </is>
      </c>
      <c r="E96" s="212" t="inlineStr">
        <is>
          <t>кг</t>
        </is>
      </c>
      <c r="F96" s="212" t="n">
        <v>0.0147</v>
      </c>
      <c r="G96" s="217" t="n">
        <v>10.75</v>
      </c>
      <c r="H96" s="217">
        <f>ROUND(F96*G96,2)</f>
        <v/>
      </c>
    </row>
    <row r="97" ht="15.75" customFormat="1" customHeight="1" s="147"/>
    <row r="98" ht="15.75" customFormat="1" customHeight="1" s="147"/>
    <row r="99" ht="15.75" customFormat="1" customHeight="1" s="147"/>
    <row r="100" ht="15.75" customFormat="1" customHeight="1" s="147"/>
    <row r="101" ht="15.75" customFormat="1" customHeight="1" s="147">
      <c r="B101" s="147" t="inlineStr">
        <is>
          <t>Составил ______________________        М.С. Колотиевская</t>
        </is>
      </c>
      <c r="C101" s="147" t="n"/>
    </row>
    <row r="102" ht="15.75" customFormat="1" customHeight="1" s="147">
      <c r="B102" s="99" t="inlineStr">
        <is>
          <t xml:space="preserve">                         (подпись, инициалы, фамилия)</t>
        </is>
      </c>
      <c r="C102" s="147" t="n"/>
    </row>
    <row r="103" ht="15.75" customFormat="1" customHeight="1" s="147">
      <c r="B103" s="147" t="n"/>
      <c r="C103" s="147" t="n"/>
    </row>
    <row r="104" ht="15.75" customFormat="1" customHeight="1" s="147">
      <c r="B104" s="147" t="inlineStr">
        <is>
          <t>Проверил ______________________       М.С. Колотиевская</t>
        </is>
      </c>
      <c r="C104" s="147" t="n"/>
    </row>
    <row r="105" ht="15.75" customFormat="1" customHeight="1" s="147">
      <c r="B105" s="99" t="inlineStr">
        <is>
          <t xml:space="preserve">                        (подпись, инициалы, фамилия)</t>
        </is>
      </c>
      <c r="C105" s="147" t="n"/>
    </row>
    <row r="106" ht="15.75" customFormat="1" customHeight="1" s="147"/>
  </sheetData>
  <mergeCells count="15">
    <mergeCell ref="A3:H3"/>
    <mergeCell ref="A8:A9"/>
    <mergeCell ref="E8:E9"/>
    <mergeCell ref="C8:C9"/>
    <mergeCell ref="F8:F9"/>
    <mergeCell ref="A2:H2"/>
    <mergeCell ref="A25:E25"/>
    <mergeCell ref="A11:E11"/>
    <mergeCell ref="A49:E49"/>
    <mergeCell ref="B8:B9"/>
    <mergeCell ref="D8:D9"/>
    <mergeCell ref="A23:E23"/>
    <mergeCell ref="C4:H4"/>
    <mergeCell ref="G8:H8"/>
    <mergeCell ref="A6:H6"/>
  </mergeCells>
  <conditionalFormatting sqref="F10:F96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52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view="pageBreakPreview" topLeftCell="A16" zoomScale="60" workbookViewId="0">
      <selection activeCell="J33" sqref="J33"/>
    </sheetView>
  </sheetViews>
  <sheetFormatPr baseColWidth="8" defaultColWidth="9.140625" defaultRowHeight="14.4" outlineLevelRow="0"/>
  <cols>
    <col width="4.140625" customWidth="1" style="145" min="1" max="1"/>
    <col width="36.28515625" customWidth="1" style="145" min="2" max="2"/>
    <col width="22.85546875" customWidth="1" style="145" min="3" max="3"/>
    <col width="18.28515625" customWidth="1" style="145" min="4" max="4"/>
    <col width="20.85546875" customWidth="1" style="145" min="5" max="5"/>
    <col width="9.140625" customWidth="1" style="145" min="6" max="6"/>
    <col width="9.140625" customWidth="1" style="145" min="7" max="7"/>
    <col width="9.140625" customWidth="1" style="145" min="8" max="8"/>
    <col width="9.140625" customWidth="1" style="145" min="9" max="9"/>
    <col width="9.140625" customWidth="1" style="145" min="10" max="10"/>
    <col width="13.5703125" customWidth="1" style="145" min="11" max="11"/>
    <col width="9.140625" customWidth="1" style="145" min="12" max="12"/>
  </cols>
  <sheetData>
    <row r="1" ht="15.75" customHeight="1" s="145">
      <c r="A1" s="74" t="n"/>
      <c r="B1" s="147" t="n"/>
      <c r="C1" s="147" t="n"/>
      <c r="D1" s="147" t="n"/>
      <c r="E1" s="147" t="n"/>
    </row>
    <row r="2" ht="15.75" customHeight="1" s="145">
      <c r="B2" s="147" t="n"/>
      <c r="C2" s="147" t="n"/>
      <c r="D2" s="147" t="n"/>
      <c r="E2" s="222" t="inlineStr">
        <is>
          <t>Приложение № 4</t>
        </is>
      </c>
    </row>
    <row r="3" ht="15.75" customHeight="1" s="145">
      <c r="B3" s="147" t="n"/>
      <c r="C3" s="147" t="n"/>
      <c r="D3" s="147" t="n"/>
      <c r="E3" s="147" t="n"/>
    </row>
    <row r="4" ht="15.75" customHeight="1" s="145">
      <c r="B4" s="147" t="n"/>
      <c r="C4" s="147" t="n"/>
      <c r="D4" s="147" t="n"/>
      <c r="E4" s="147" t="n"/>
    </row>
    <row r="5" ht="15.75" customHeight="1" s="145">
      <c r="B5" s="235" t="inlineStr">
        <is>
          <t>Ресурсная модель</t>
        </is>
      </c>
    </row>
    <row r="6" ht="15.75" customHeight="1" s="145">
      <c r="B6" s="201" t="n"/>
      <c r="C6" s="147" t="n"/>
      <c r="D6" s="147" t="n"/>
      <c r="E6" s="147" t="n"/>
    </row>
    <row r="7" ht="15.75" customHeight="1" s="145">
      <c r="B7" s="203" t="inlineStr">
        <is>
          <t>Наименование разрабатываемой расценки УНЦ —  Демонтаж открытого склада</t>
        </is>
      </c>
    </row>
    <row r="8" ht="15.75" customHeight="1" s="145">
      <c r="B8" s="203" t="inlineStr">
        <is>
          <t>Единица измерения  — м2</t>
        </is>
      </c>
    </row>
    <row r="9">
      <c r="B9" s="79" t="n"/>
      <c r="C9" s="129" t="n"/>
      <c r="D9" s="129" t="n"/>
      <c r="E9" s="129" t="n"/>
    </row>
    <row r="10" ht="78.75" customFormat="1" customHeight="1" s="147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 ht="15" customFormat="1" customHeight="1" s="147">
      <c r="B11" s="226" t="inlineStr">
        <is>
          <t>Оплата труда рабочих</t>
        </is>
      </c>
      <c r="C11" s="83">
        <f>'Прил.5 Расчет СМР и ОБ'!J15</f>
        <v/>
      </c>
      <c r="D11" s="84">
        <f>C11/C24</f>
        <v/>
      </c>
      <c r="E11" s="84">
        <f>C11/C40</f>
        <v/>
      </c>
    </row>
    <row r="12" ht="15" customFormat="1" customHeight="1" s="147">
      <c r="B12" s="226" t="inlineStr">
        <is>
          <t>Эксплуатация машин основных</t>
        </is>
      </c>
      <c r="C12" s="83">
        <f>'Прил.5 Расчет СМР и ОБ'!J26</f>
        <v/>
      </c>
      <c r="D12" s="84">
        <f>C12/C24</f>
        <v/>
      </c>
      <c r="E12" s="84">
        <f>C12/C40</f>
        <v/>
      </c>
    </row>
    <row r="13" ht="15" customFormat="1" customHeight="1" s="147">
      <c r="B13" s="226" t="inlineStr">
        <is>
          <t>Эксплуатация машин прочих</t>
        </is>
      </c>
      <c r="C13" s="83">
        <f>'Прил.5 Расчет СМР и ОБ'!J47</f>
        <v/>
      </c>
      <c r="D13" s="84">
        <f>C13/C24</f>
        <v/>
      </c>
      <c r="E13" s="84">
        <f>C13/C40</f>
        <v/>
      </c>
    </row>
    <row r="14" ht="15" customFormat="1" customHeight="1" s="147">
      <c r="B14" s="226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7">
      <c r="B15" s="226" t="inlineStr">
        <is>
          <t>в том числе зарплата машинистов</t>
        </is>
      </c>
      <c r="C15" s="83">
        <f>'Прил.5 Расчет СМР и ОБ'!J18</f>
        <v/>
      </c>
      <c r="D15" s="84">
        <f>C15/C24</f>
        <v/>
      </c>
      <c r="E15" s="84">
        <f>C15/C40</f>
        <v/>
      </c>
    </row>
    <row r="16" ht="15" customFormat="1" customHeight="1" s="147">
      <c r="B16" s="226" t="inlineStr">
        <is>
          <t>Материалы основные</t>
        </is>
      </c>
      <c r="C16" s="83">
        <f>'Прил.5 Расчет СМР и ОБ'!J59</f>
        <v/>
      </c>
      <c r="D16" s="84">
        <f>C16/C24</f>
        <v/>
      </c>
      <c r="E16" s="84">
        <f>C16/C40</f>
        <v/>
      </c>
    </row>
    <row r="17" ht="15" customFormat="1" customHeight="1" s="147">
      <c r="B17" s="226" t="inlineStr">
        <is>
          <t>Материалы прочие</t>
        </is>
      </c>
      <c r="C17" s="83">
        <f>'Прил.5 Расчет СМР и ОБ'!J60</f>
        <v/>
      </c>
      <c r="D17" s="84">
        <f>C17/C24</f>
        <v/>
      </c>
      <c r="E17" s="84">
        <f>C17/C40</f>
        <v/>
      </c>
    </row>
    <row r="18" ht="15" customFormat="1" customHeight="1" s="147">
      <c r="B18" s="226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7">
      <c r="B19" s="226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7">
      <c r="B20" s="226" t="inlineStr">
        <is>
          <t>Сметная прибыль, руб.</t>
        </is>
      </c>
      <c r="C20" s="83">
        <f>ROUND(C21*(C11+C15),2)</f>
        <v/>
      </c>
      <c r="D20" s="84">
        <f>C20/C24</f>
        <v/>
      </c>
      <c r="E20" s="84">
        <f>C20/C40</f>
        <v/>
      </c>
    </row>
    <row r="21" ht="15" customFormat="1" customHeight="1" s="147">
      <c r="B21" s="226" t="inlineStr">
        <is>
          <t>Сметная прибыль, %</t>
        </is>
      </c>
      <c r="C21" s="86">
        <f>'Прил.5 Расчет СМР и ОБ'!D67</f>
        <v/>
      </c>
      <c r="D21" s="84" t="n"/>
      <c r="E21" s="85" t="n"/>
    </row>
    <row r="22" ht="15" customFormat="1" customHeight="1" s="147">
      <c r="B22" s="226" t="inlineStr">
        <is>
          <t>Накладные расходы, руб.</t>
        </is>
      </c>
      <c r="C22" s="83">
        <f>ROUND(C23*(C11+C15),2)</f>
        <v/>
      </c>
      <c r="D22" s="84">
        <f>C22/C24</f>
        <v/>
      </c>
      <c r="E22" s="84">
        <f>C22/C40</f>
        <v/>
      </c>
    </row>
    <row r="23" ht="15" customFormat="1" customHeight="1" s="147">
      <c r="B23" s="226" t="inlineStr">
        <is>
          <t>Накладные расходы, %</t>
        </is>
      </c>
      <c r="C23" s="86">
        <f>'Прил.5 Расчет СМР и ОБ'!D65</f>
        <v/>
      </c>
      <c r="D23" s="84" t="n"/>
      <c r="E23" s="85" t="n"/>
    </row>
    <row r="24" ht="15" customFormat="1" customHeight="1" s="147">
      <c r="B24" s="226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7" customFormat="1" customHeight="1" s="147">
      <c r="B25" s="226" t="inlineStr">
        <is>
          <t>ВСЕГО стоимость оборудования, в том числе</t>
        </is>
      </c>
      <c r="C25" s="83">
        <f>'Прил.5 Расчет СМР и ОБ'!J55</f>
        <v/>
      </c>
      <c r="D25" s="84" t="n"/>
      <c r="E25" s="84">
        <f>C25/C40</f>
        <v/>
      </c>
    </row>
    <row r="26" ht="31.7" customFormat="1" customHeight="1" s="147">
      <c r="B26" s="226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39.75" customFormat="1" customHeight="1" s="147">
      <c r="B27" s="226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7">
      <c r="B28" s="226" t="inlineStr">
        <is>
          <t>ПРОЧ. ЗАТР., УЧТЕННЫЕ ПОКАЗАТЕЛЕМ,  в том числе</t>
        </is>
      </c>
      <c r="C28" s="226" t="n"/>
      <c r="D28" s="85" t="n"/>
      <c r="E28" s="85" t="n"/>
    </row>
    <row r="29" ht="31.7" customFormat="1" customHeight="1" s="147">
      <c r="B29" s="226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3" customFormat="1" customHeight="1" s="147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28.5" customFormat="1" customHeight="1" s="147">
      <c r="B31" s="226" t="inlineStr">
        <is>
          <t>Пусконаладочные работы</t>
        </is>
      </c>
      <c r="C31" s="87">
        <f>ROUND(C25*80%*7%,2)</f>
        <v/>
      </c>
      <c r="D31" s="85" t="n"/>
      <c r="E31" s="84">
        <f>C31/C40</f>
        <v/>
      </c>
    </row>
    <row r="32" ht="31.7" customFormat="1" customHeight="1" s="147">
      <c r="B32" s="226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7.25" customFormat="1" customHeight="1" s="147">
      <c r="B33" s="226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3" customFormat="1" customHeight="1" s="147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4.7" customFormat="1" customHeight="1" s="147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7.25" customFormat="1" customHeight="1" s="147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75" customFormat="1" customHeight="1" s="147">
      <c r="B37" s="219" t="inlineStr">
        <is>
          <t>Авторский надзор - 0,2%</t>
        </is>
      </c>
      <c r="C37" s="219">
        <f>ROUND((C27+C29+C30+C31)*0.002,2)</f>
        <v/>
      </c>
      <c r="D37" s="94" t="n"/>
      <c r="E37" s="94">
        <f>C37/C40</f>
        <v/>
      </c>
    </row>
    <row r="38" ht="63" customFormat="1" customHeight="1" s="147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75" customFormat="1" customHeight="1" s="147">
      <c r="B39" s="226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75" customFormat="1" customHeight="1" s="147">
      <c r="B40" s="226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7" customFormat="1" customHeight="1" s="147">
      <c r="B41" s="226" t="inlineStr">
        <is>
          <t>ИТОГО ПОКАЗАТЕЛЬ НА ЕД. ИЗМ.</t>
        </is>
      </c>
      <c r="C41" s="83">
        <f>C40/'Прил.5 Расчет СМР и ОБ'!E72</f>
        <v/>
      </c>
      <c r="D41" s="85" t="n"/>
      <c r="E41" s="85" t="n"/>
    </row>
    <row r="42" ht="15.75" customFormat="1" customHeight="1" s="147">
      <c r="B42" s="99" t="n"/>
    </row>
    <row r="43" ht="15.75" customFormat="1" customHeight="1" s="147">
      <c r="B43" s="99" t="inlineStr">
        <is>
          <t>Составил ____________________________ М.С. Колотиевская</t>
        </is>
      </c>
    </row>
    <row r="44" ht="15.75" customFormat="1" customHeight="1" s="147">
      <c r="B44" s="99" t="inlineStr">
        <is>
          <t xml:space="preserve">(должность, подпись, инициалы, фамилия) </t>
        </is>
      </c>
    </row>
    <row r="45" ht="15.75" customFormat="1" customHeight="1" s="147">
      <c r="B45" s="99" t="n"/>
    </row>
    <row r="46" ht="15.75" customFormat="1" customHeight="1" s="147">
      <c r="B46" s="99" t="inlineStr">
        <is>
          <t>Проверил ____________________________ М.С. Колотиевская</t>
        </is>
      </c>
    </row>
    <row r="47" ht="15.75" customFormat="1" customHeight="1" s="147">
      <c r="B47" s="203" t="inlineStr">
        <is>
          <t>(должность, подпись, инициалы, фамилия)</t>
        </is>
      </c>
      <c r="C47" s="203" t="n"/>
    </row>
    <row r="48" ht="15.75" customFormat="1" customHeight="1" s="147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9"/>
  <sheetViews>
    <sheetView showGridLines="1" showRowColHeaders="1" tabSelected="0" view="pageBreakPreview" topLeftCell="A51" zoomScale="89" workbookViewId="0">
      <selection activeCell="L69" sqref="L69"/>
    </sheetView>
  </sheetViews>
  <sheetFormatPr baseColWidth="8" defaultColWidth="9.140625" defaultRowHeight="14.4" outlineLevelRow="1"/>
  <cols>
    <col width="5.7109375" customWidth="1" style="134" min="1" max="1"/>
    <col width="22.5703125" customWidth="1" style="134" min="2" max="2"/>
    <col width="42.42578125" customWidth="1" style="134" min="3" max="3"/>
    <col width="10.7109375" customWidth="1" style="134" min="4" max="4"/>
    <col width="12.7109375" customWidth="1" style="134" min="5" max="5"/>
    <col width="14.5703125" customWidth="1" style="134" min="6" max="6"/>
    <col width="13.42578125" customWidth="1" style="134" min="7" max="7"/>
    <col width="12.7109375" customWidth="1" style="134" min="8" max="8"/>
    <col width="14.5703125" customWidth="1" style="134" min="9" max="9"/>
    <col width="15.140625" customWidth="1" style="134" min="10" max="10"/>
    <col width="22.42578125" customWidth="1" style="134" min="11" max="11"/>
    <col width="16.28515625" customWidth="1" style="134" min="12" max="12"/>
    <col width="10.85546875" customWidth="1" style="134" min="13" max="13"/>
    <col width="9.140625" customWidth="1" style="134" min="14" max="14"/>
    <col width="9.140625" customWidth="1" style="145" min="15" max="15"/>
  </cols>
  <sheetData>
    <row r="1" ht="14.25" customFormat="1" customHeight="1" s="134">
      <c r="A1" s="129" t="n"/>
    </row>
    <row r="2" ht="15.75" customFormat="1" customHeight="1" s="134">
      <c r="A2" s="147" t="n"/>
      <c r="B2" s="147" t="n"/>
      <c r="C2" s="147" t="n"/>
      <c r="D2" s="147" t="n"/>
      <c r="E2" s="147" t="n"/>
      <c r="F2" s="147" t="n"/>
      <c r="G2" s="147" t="n"/>
      <c r="H2" s="222" t="inlineStr">
        <is>
          <t>Приложение №5</t>
        </is>
      </c>
    </row>
    <row r="3" ht="15.75" customFormat="1" customHeight="1" s="134">
      <c r="A3" s="147" t="n"/>
      <c r="B3" s="147" t="n"/>
      <c r="C3" s="147" t="n"/>
      <c r="D3" s="147" t="n"/>
      <c r="E3" s="147" t="n"/>
      <c r="F3" s="147" t="n"/>
      <c r="G3" s="147" t="n"/>
      <c r="H3" s="147" t="n"/>
      <c r="I3" s="147" t="n"/>
      <c r="J3" s="147" t="n"/>
    </row>
    <row r="4" ht="15.75" customFormat="1" customHeight="1" s="129">
      <c r="A4" s="235" t="inlineStr">
        <is>
          <t>Расчет стоимости СМР и оборудования</t>
        </is>
      </c>
      <c r="I4" s="235" t="n"/>
      <c r="J4" s="235" t="n"/>
    </row>
    <row r="5" ht="15.75" customFormat="1" customHeight="1" s="129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customFormat="1" s="129">
      <c r="A6" s="223" t="inlineStr">
        <is>
          <t xml:space="preserve">Наименование разрабатываемого показателя УНЦ — </t>
        </is>
      </c>
      <c r="D6" s="223" t="inlineStr">
        <is>
          <t>Демонтаж окрытого склада</t>
        </is>
      </c>
    </row>
    <row r="7" ht="15.75" customFormat="1" customHeight="1" s="129">
      <c r="A7" s="223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9">
      <c r="A8" s="147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</row>
    <row r="9" ht="27" customFormat="1" customHeight="1" s="147">
      <c r="A9" s="226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40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40" t="n"/>
      <c r="K9" s="102" t="n"/>
    </row>
    <row r="10" ht="28.5" customFormat="1" customHeight="1" s="147">
      <c r="A10" s="236" t="n"/>
      <c r="B10" s="236" t="n"/>
      <c r="C10" s="236" t="n"/>
      <c r="D10" s="236" t="n"/>
      <c r="E10" s="236" t="n"/>
      <c r="F10" s="234" t="inlineStr">
        <is>
          <t>на ед. изм.</t>
        </is>
      </c>
      <c r="G10" s="234" t="inlineStr">
        <is>
          <t>общая</t>
        </is>
      </c>
      <c r="H10" s="236" t="n"/>
      <c r="I10" s="234" t="inlineStr">
        <is>
          <t>на ед. изм.</t>
        </is>
      </c>
      <c r="J10" s="234" t="inlineStr">
        <is>
          <t>общая</t>
        </is>
      </c>
    </row>
    <row r="11" ht="15.75" customFormat="1" customHeight="1" s="147">
      <c r="A11" s="226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 ht="15.75" customFormat="1" customHeight="1" s="147">
      <c r="A12" s="219" t="n"/>
      <c r="B12" s="218" t="inlineStr">
        <is>
          <t>Затраты труда рабочих-строителей</t>
        </is>
      </c>
      <c r="C12" s="239" t="n"/>
      <c r="D12" s="239" t="n"/>
      <c r="E12" s="239" t="n"/>
      <c r="F12" s="239" t="n"/>
      <c r="G12" s="239" t="n"/>
      <c r="H12" s="240" t="n"/>
      <c r="I12" s="219" t="n"/>
      <c r="J12" s="219" t="n"/>
    </row>
    <row r="13" ht="31.7" customFormat="1" customHeight="1" s="147">
      <c r="A13" s="212" t="n">
        <v>1</v>
      </c>
      <c r="B13" s="212" t="inlineStr">
        <is>
          <t>1-100-35</t>
        </is>
      </c>
      <c r="C13" s="213" t="inlineStr">
        <is>
          <t>Затраты труда рабочих (Средний разряд работы 3,5)</t>
        </is>
      </c>
      <c r="D13" s="212" t="inlineStr">
        <is>
          <t>чел.-ч</t>
        </is>
      </c>
      <c r="E13" s="212" t="n">
        <v>1309.0398277718</v>
      </c>
      <c r="F13" s="217" t="n">
        <v>9.289999999999999</v>
      </c>
      <c r="G13" s="217">
        <f>ROUND(E13*F13,2)</f>
        <v/>
      </c>
      <c r="H13" s="42">
        <f>G13/G14</f>
        <v/>
      </c>
      <c r="I13" s="217">
        <f>ФОТр.тек.!E13</f>
        <v/>
      </c>
      <c r="J13" s="217">
        <f>ROUND(E13*I13,2)</f>
        <v/>
      </c>
    </row>
    <row r="14" ht="31.7" customFormat="1" customHeight="1" s="147">
      <c r="A14" s="212" t="n"/>
      <c r="B14" s="212" t="n"/>
      <c r="C14" s="213" t="inlineStr">
        <is>
          <t>Итого по разделу "Затраты труда рабочих-строителей"</t>
        </is>
      </c>
      <c r="D14" s="212" t="inlineStr">
        <is>
          <t>чел.-ч</t>
        </is>
      </c>
      <c r="E14" s="212">
        <f>SUM(E13:E13)</f>
        <v/>
      </c>
      <c r="F14" s="217" t="n"/>
      <c r="G14" s="217">
        <f>SUM(G13:G13)</f>
        <v/>
      </c>
      <c r="H14" s="42" t="n">
        <v>1</v>
      </c>
      <c r="I14" s="217" t="n"/>
      <c r="J14" s="217">
        <f>SUM(J13:J13)</f>
        <v/>
      </c>
    </row>
    <row r="15" ht="38.25" customFormat="1" customHeight="1" s="134">
      <c r="A15" s="174" t="n"/>
      <c r="B15" s="174" t="n"/>
      <c r="C15" s="175" t="inlineStr">
        <is>
          <t>Итого по разделу "Затраты труда рабочих-строителей" 
(с коэффициентом на демонтаж 0,7)</t>
        </is>
      </c>
      <c r="D15" s="174" t="inlineStr">
        <is>
          <t>чел.-ч.</t>
        </is>
      </c>
      <c r="E15" s="176" t="n"/>
      <c r="F15" s="177" t="n"/>
      <c r="G15" s="217">
        <f>SUM(G14)*0.7</f>
        <v/>
      </c>
      <c r="H15" s="194" t="n">
        <v>1</v>
      </c>
      <c r="I15" s="217" t="n"/>
      <c r="J15" s="217">
        <f>SUM(J14)*0.7</f>
        <v/>
      </c>
    </row>
    <row r="16" ht="15.75" customFormat="1" customHeight="1" s="147">
      <c r="A16" s="212" t="n"/>
      <c r="B16" s="212" t="inlineStr">
        <is>
          <t>Затраты труда машинистов</t>
        </is>
      </c>
      <c r="C16" s="239" t="n"/>
      <c r="D16" s="239" t="n"/>
      <c r="E16" s="239" t="n"/>
      <c r="F16" s="239" t="n"/>
      <c r="G16" s="239" t="n"/>
      <c r="H16" s="240" t="n"/>
      <c r="I16" s="217" t="n"/>
      <c r="J16" s="217" t="n"/>
    </row>
    <row r="17" ht="15.75" customFormat="1" customHeight="1" s="147">
      <c r="A17" s="212" t="n">
        <v>2</v>
      </c>
      <c r="B17" s="212" t="n">
        <v>2</v>
      </c>
      <c r="C17" s="213" t="inlineStr">
        <is>
          <t>Затраты труда машинистов</t>
        </is>
      </c>
      <c r="D17" s="212" t="inlineStr">
        <is>
          <t>чел.-ч</t>
        </is>
      </c>
      <c r="E17" s="212" t="n">
        <v>171.7848664</v>
      </c>
      <c r="F17" s="217" t="n">
        <v>13.19</v>
      </c>
      <c r="G17" s="217">
        <f>ROUND(E17*F17,2)</f>
        <v/>
      </c>
      <c r="H17" s="42" t="n">
        <v>1</v>
      </c>
      <c r="I17" s="217">
        <f>ROUND(F17*'Прил. 10'!$D$10,2)</f>
        <v/>
      </c>
      <c r="J17" s="217">
        <f>ROUND(E17*I17,2)</f>
        <v/>
      </c>
    </row>
    <row r="18" ht="31.5" customFormat="1" customHeight="1" s="134">
      <c r="A18" s="174" t="n"/>
      <c r="B18" s="174" t="n"/>
      <c r="C18" s="213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217">
        <f>G17*0.7</f>
        <v/>
      </c>
      <c r="H18" s="194">
        <f>H17</f>
        <v/>
      </c>
      <c r="I18" s="217" t="n"/>
      <c r="J18" s="217">
        <f>J17*0.7</f>
        <v/>
      </c>
    </row>
    <row r="19" ht="15.75" customFormat="1" customHeight="1" s="147">
      <c r="A19" s="212" t="n"/>
      <c r="B19" s="211" t="inlineStr">
        <is>
          <t>Машины и механизмы</t>
        </is>
      </c>
      <c r="C19" s="239" t="n"/>
      <c r="D19" s="239" t="n"/>
      <c r="E19" s="239" t="n"/>
      <c r="F19" s="239" t="n"/>
      <c r="G19" s="239" t="n"/>
      <c r="H19" s="240" t="n"/>
      <c r="I19" s="217" t="n"/>
      <c r="J19" s="217" t="n"/>
    </row>
    <row r="20" ht="15.75" customFormat="1" customHeight="1" s="147">
      <c r="A20" s="212" t="n"/>
      <c r="B20" s="212" t="inlineStr">
        <is>
          <t>Основные Машины и механизмы</t>
        </is>
      </c>
      <c r="C20" s="239" t="n"/>
      <c r="D20" s="239" t="n"/>
      <c r="E20" s="239" t="n"/>
      <c r="F20" s="239" t="n"/>
      <c r="G20" s="239" t="n"/>
      <c r="H20" s="240" t="n"/>
      <c r="I20" s="217" t="n"/>
      <c r="J20" s="217" t="n"/>
    </row>
    <row r="21" ht="31.7" customFormat="1" customHeight="1" s="147">
      <c r="A21" s="212" t="n">
        <v>3</v>
      </c>
      <c r="B21" s="221" t="inlineStr">
        <is>
          <t>91.05.06-012</t>
        </is>
      </c>
      <c r="C21" s="228" t="inlineStr">
        <is>
          <t>Краны на гусеничном ходу, грузоподъемность до 16 т</t>
        </is>
      </c>
      <c r="D21" s="231" t="inlineStr">
        <is>
          <t>маш.час</t>
        </is>
      </c>
      <c r="E21" s="229" t="n">
        <v>120.42342</v>
      </c>
      <c r="F21" s="47" t="n">
        <v>96.89</v>
      </c>
      <c r="G21" s="47">
        <f>ROUND(E21*F21,2)</f>
        <v/>
      </c>
      <c r="H21" s="42">
        <f>G21/G48</f>
        <v/>
      </c>
      <c r="I21" s="217">
        <f>ROUND(F21*'Прил. 10'!$D$11,2)</f>
        <v/>
      </c>
      <c r="J21" s="217">
        <f>ROUND(E21*I21,2)</f>
        <v/>
      </c>
    </row>
    <row r="22" ht="31.7" customFormat="1" customHeight="1" s="147">
      <c r="A22" s="212" t="n">
        <v>4</v>
      </c>
      <c r="B22" s="221" t="inlineStr">
        <is>
          <t>91.14.01-004</t>
        </is>
      </c>
      <c r="C22" s="228" t="inlineStr">
        <is>
          <t>Автобетоносмесители, объем барабана 7 м3</t>
        </is>
      </c>
      <c r="D22" s="231" t="inlineStr">
        <is>
          <t>маш.-ч</t>
        </is>
      </c>
      <c r="E22" s="229" t="n">
        <v>50.4699</v>
      </c>
      <c r="F22" s="47" t="n">
        <v>184.39</v>
      </c>
      <c r="G22" s="47">
        <f>ROUND(E22*F22,2)</f>
        <v/>
      </c>
      <c r="H22" s="42">
        <f>G22/G48</f>
        <v/>
      </c>
      <c r="I22" s="217">
        <f>ROUND(F22*'Прил. 10'!$D$11,2)</f>
        <v/>
      </c>
      <c r="J22" s="217">
        <f>ROUND(E22*I22,2)</f>
        <v/>
      </c>
    </row>
    <row r="23" ht="31.7" customFormat="1" customHeight="1" s="147">
      <c r="A23" s="212" t="n">
        <v>5</v>
      </c>
      <c r="B23" s="221" t="inlineStr">
        <is>
          <t>91.04.01-031</t>
        </is>
      </c>
      <c r="C23" s="228" t="inlineStr">
        <is>
          <t>Машины бурильно-крановые на автомобиле, глубина бурения 3,5 м</t>
        </is>
      </c>
      <c r="D23" s="231" t="inlineStr">
        <is>
          <t>маш.час</t>
        </is>
      </c>
      <c r="E23" s="229" t="n">
        <v>8.56</v>
      </c>
      <c r="F23" s="47" t="n">
        <v>138.54</v>
      </c>
      <c r="G23" s="47">
        <f>ROUND(E23*F23,2)</f>
        <v/>
      </c>
      <c r="H23" s="42">
        <f>G23/G48</f>
        <v/>
      </c>
      <c r="I23" s="217">
        <f>ROUND(F23*'Прил. 10'!$D$11,2)</f>
        <v/>
      </c>
      <c r="J23" s="217">
        <f>ROUND(E23*I23,2)</f>
        <v/>
      </c>
    </row>
    <row r="24" ht="47.25" customFormat="1" customHeight="1" s="147">
      <c r="A24" s="212" t="n">
        <v>6</v>
      </c>
      <c r="B24" s="221" t="inlineStr">
        <is>
          <t>91.01.05-086</t>
        </is>
      </c>
      <c r="C24" s="228" t="inlineStr">
        <is>
          <t>Экскаваторы одноковшовые дизельные на гусеничном ходу, емкость ковша 0,65 м3</t>
        </is>
      </c>
      <c r="D24" s="231" t="inlineStr">
        <is>
          <t>маш.час</t>
        </is>
      </c>
      <c r="E24" s="229" t="n">
        <v>7.613</v>
      </c>
      <c r="F24" s="47" t="n">
        <v>115.27</v>
      </c>
      <c r="G24" s="47">
        <f>ROUND(E24*F24,2)</f>
        <v/>
      </c>
      <c r="H24" s="42">
        <f>G24/G48</f>
        <v/>
      </c>
      <c r="I24" s="217">
        <f>ROUND(F24*'Прил. 10'!$D$11,2)</f>
        <v/>
      </c>
      <c r="J24" s="217">
        <f>ROUND(E24*I24,2)</f>
        <v/>
      </c>
    </row>
    <row r="25" ht="15.75" customFormat="1" customHeight="1" s="147">
      <c r="A25" s="212" t="n"/>
      <c r="B25" s="147" t="n"/>
      <c r="C25" s="25" t="inlineStr">
        <is>
          <t>Итого основные Машины и механизмы</t>
        </is>
      </c>
      <c r="D25" s="212" t="n"/>
      <c r="E25" s="212" t="n"/>
      <c r="F25" s="217" t="n"/>
      <c r="G25" s="47">
        <f>SUM(G21:G24)</f>
        <v/>
      </c>
      <c r="H25" s="42">
        <f>SUM(H21:H24)</f>
        <v/>
      </c>
      <c r="I25" s="217" t="n"/>
      <c r="J25" s="217">
        <f>SUM(J21:J24)</f>
        <v/>
      </c>
    </row>
    <row r="26" ht="33.75" customFormat="1" customHeight="1" s="134">
      <c r="A26" s="174" t="n"/>
      <c r="B26" s="174" t="n"/>
      <c r="C26" s="228" t="inlineStr">
        <is>
          <t>Итого основные машины и механизмы 
(с коэффициентом на демонтаж 0,7)</t>
        </is>
      </c>
      <c r="D26" s="174" t="n"/>
      <c r="E26" s="246" t="n"/>
      <c r="F26" s="176" t="n"/>
      <c r="G26" s="87">
        <f>G25*0.7</f>
        <v/>
      </c>
      <c r="H26" s="188">
        <f>G26/G49</f>
        <v/>
      </c>
      <c r="I26" s="178" t="n"/>
      <c r="J26" s="189">
        <f>J25*0.7</f>
        <v/>
      </c>
    </row>
    <row r="27" outlineLevel="1" ht="63" customFormat="1" customHeight="1" s="147">
      <c r="A27" s="212" t="n">
        <v>7</v>
      </c>
      <c r="B27" s="221" t="inlineStr">
        <is>
          <t>91.18.01-007</t>
        </is>
      </c>
      <c r="C27" s="2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31" t="inlineStr">
        <is>
          <t>маш.час</t>
        </is>
      </c>
      <c r="E27" s="229" t="n">
        <v>6.9168</v>
      </c>
      <c r="F27" s="47" t="n">
        <v>90</v>
      </c>
      <c r="G27" s="47">
        <f>ROUND(E27*F27,2)</f>
        <v/>
      </c>
      <c r="H27" s="42">
        <f>G27/G48</f>
        <v/>
      </c>
      <c r="I27" s="217">
        <f>ROUND(F27*'Прил. 10'!$D$11,2)</f>
        <v/>
      </c>
      <c r="J27" s="217">
        <f>ROUND(E27*I27,2)</f>
        <v/>
      </c>
    </row>
    <row r="28" outlineLevel="1" ht="31.7" customFormat="1" customHeight="1" s="147">
      <c r="A28" s="212" t="n">
        <v>8</v>
      </c>
      <c r="B28" s="221" t="inlineStr">
        <is>
          <t>91.14.02-001</t>
        </is>
      </c>
      <c r="C28" s="228" t="inlineStr">
        <is>
          <t>Автомобили бортовые, грузоподъемность до 5 т</t>
        </is>
      </c>
      <c r="D28" s="231" t="inlineStr">
        <is>
          <t>маш.час</t>
        </is>
      </c>
      <c r="E28" s="229" t="n">
        <v>9.4272236</v>
      </c>
      <c r="F28" s="47" t="n">
        <v>65.70999999999999</v>
      </c>
      <c r="G28" s="47">
        <f>ROUND(E28*F28,2)</f>
        <v/>
      </c>
      <c r="H28" s="42">
        <f>G28/G48</f>
        <v/>
      </c>
      <c r="I28" s="217">
        <f>ROUND(F28*'Прил. 10'!$D$11,2)</f>
        <v/>
      </c>
      <c r="J28" s="217">
        <f>ROUND(E28*I28,2)</f>
        <v/>
      </c>
    </row>
    <row r="29" outlineLevel="1" ht="31.7" customFormat="1" customHeight="1" s="147">
      <c r="A29" s="212" t="n">
        <v>9</v>
      </c>
      <c r="B29" s="221" t="inlineStr">
        <is>
          <t>91.05.05-015</t>
        </is>
      </c>
      <c r="C29" s="228" t="inlineStr">
        <is>
          <t>Краны на автомобильном ходу, грузоподъемность 16 т</t>
        </is>
      </c>
      <c r="D29" s="231" t="inlineStr">
        <is>
          <t>маш.час</t>
        </is>
      </c>
      <c r="E29" s="229" t="n">
        <v>4.207519</v>
      </c>
      <c r="F29" s="47" t="n">
        <v>115.4</v>
      </c>
      <c r="G29" s="47">
        <f>ROUND(E29*F29,2)</f>
        <v/>
      </c>
      <c r="H29" s="42">
        <f>G29/G48</f>
        <v/>
      </c>
      <c r="I29" s="217">
        <f>ROUND(F29*'Прил. 10'!$D$11,2)</f>
        <v/>
      </c>
      <c r="J29" s="217">
        <f>ROUND(E29*I29,2)</f>
        <v/>
      </c>
    </row>
    <row r="30" outlineLevel="1" ht="31.7" customFormat="1" customHeight="1" s="147">
      <c r="A30" s="212" t="n">
        <v>10</v>
      </c>
      <c r="B30" s="221" t="inlineStr">
        <is>
          <t>91.17.04-233</t>
        </is>
      </c>
      <c r="C30" s="228" t="inlineStr">
        <is>
          <t>Установки для сварки ручной дуговой (постоянного тока)</t>
        </is>
      </c>
      <c r="D30" s="231" t="inlineStr">
        <is>
          <t>маш.час</t>
        </is>
      </c>
      <c r="E30" s="229" t="n">
        <v>42.7785</v>
      </c>
      <c r="F30" s="47" t="n">
        <v>8.1</v>
      </c>
      <c r="G30" s="47">
        <f>ROUND(E30*F30,2)</f>
        <v/>
      </c>
      <c r="H30" s="42">
        <f>G30/G48</f>
        <v/>
      </c>
      <c r="I30" s="217">
        <f>ROUND(F30*'Прил. 10'!$D$11,2)</f>
        <v/>
      </c>
      <c r="J30" s="217">
        <f>ROUND(E30*I30,2)</f>
        <v/>
      </c>
    </row>
    <row r="31" outlineLevel="1" ht="47.25" customFormat="1" customHeight="1" s="147">
      <c r="A31" s="212" t="n">
        <v>11</v>
      </c>
      <c r="B31" s="221" t="inlineStr">
        <is>
          <t>91.06.06-048</t>
        </is>
      </c>
      <c r="C31" s="228" t="inlineStr">
        <is>
          <t>Подъемники одномачтовые, грузоподъемность до 500 кг, высота подъема 45 м</t>
        </is>
      </c>
      <c r="D31" s="231" t="inlineStr">
        <is>
          <t>маш.час</t>
        </is>
      </c>
      <c r="E31" s="229" t="n">
        <v>8.602</v>
      </c>
      <c r="F31" s="47" t="n">
        <v>31.26</v>
      </c>
      <c r="G31" s="47">
        <f>ROUND(E31*F31,2)</f>
        <v/>
      </c>
      <c r="H31" s="42">
        <f>G31/G48</f>
        <v/>
      </c>
      <c r="I31" s="217">
        <f>ROUND(F31*'Прил. 10'!$D$11,2)</f>
        <v/>
      </c>
      <c r="J31" s="217">
        <f>ROUND(E31*I31,2)</f>
        <v/>
      </c>
    </row>
    <row r="32" outlineLevel="1" ht="31.7" customFormat="1" customHeight="1" s="147">
      <c r="A32" s="212" t="n">
        <v>12</v>
      </c>
      <c r="B32" s="221" t="inlineStr">
        <is>
          <t>91.05.06-007</t>
        </is>
      </c>
      <c r="C32" s="228" t="inlineStr">
        <is>
          <t>Краны на гусеничном ходу, грузоподъемность 25 т</t>
        </is>
      </c>
      <c r="D32" s="231" t="inlineStr">
        <is>
          <t>маш.час</t>
        </is>
      </c>
      <c r="E32" s="229" t="n">
        <v>1.9516042</v>
      </c>
      <c r="F32" s="47" t="n">
        <v>120.04</v>
      </c>
      <c r="G32" s="47">
        <f>ROUND(E32*F32,2)</f>
        <v/>
      </c>
      <c r="H32" s="42">
        <f>G32/G48</f>
        <v/>
      </c>
      <c r="I32" s="217">
        <f>ROUND(F32*'Прил. 10'!$D$11,2)</f>
        <v/>
      </c>
      <c r="J32" s="217">
        <f>ROUND(E32*I32,2)</f>
        <v/>
      </c>
    </row>
    <row r="33" outlineLevel="1" ht="31.7" customFormat="1" customHeight="1" s="147">
      <c r="A33" s="212" t="n">
        <v>13</v>
      </c>
      <c r="B33" s="221" t="inlineStr">
        <is>
          <t>91.05.02-005</t>
        </is>
      </c>
      <c r="C33" s="228" t="inlineStr">
        <is>
          <t>Краны козловые, грузоподъемность 32 т</t>
        </is>
      </c>
      <c r="D33" s="231" t="inlineStr">
        <is>
          <t>маш.час</t>
        </is>
      </c>
      <c r="E33" s="229" t="n">
        <v>1.6201996</v>
      </c>
      <c r="F33" s="47" t="n">
        <v>120.24</v>
      </c>
      <c r="G33" s="47">
        <f>ROUND(E33*F33,2)</f>
        <v/>
      </c>
      <c r="H33" s="42">
        <f>G33/G48</f>
        <v/>
      </c>
      <c r="I33" s="217">
        <f>ROUND(F33*'Прил. 10'!$D$11,2)</f>
        <v/>
      </c>
      <c r="J33" s="217">
        <f>ROUND(E33*I33,2)</f>
        <v/>
      </c>
    </row>
    <row r="34" outlineLevel="1" ht="31.7" customFormat="1" customHeight="1" s="147">
      <c r="A34" s="212" t="n">
        <v>14</v>
      </c>
      <c r="B34" s="221" t="inlineStr">
        <is>
          <t>91.01.01-036</t>
        </is>
      </c>
      <c r="C34" s="228" t="inlineStr">
        <is>
          <t>Бульдозеры, мощность 96 кВт (130 л.с.)</t>
        </is>
      </c>
      <c r="D34" s="231" t="inlineStr">
        <is>
          <t>маш.час</t>
        </is>
      </c>
      <c r="E34" s="229" t="n">
        <v>1.41768</v>
      </c>
      <c r="F34" s="47" t="n">
        <v>94.05</v>
      </c>
      <c r="G34" s="47">
        <f>ROUND(E34*F34,2)</f>
        <v/>
      </c>
      <c r="H34" s="42">
        <f>G34/G48</f>
        <v/>
      </c>
      <c r="I34" s="217">
        <f>ROUND(F34*'Прил. 10'!$D$11,2)</f>
        <v/>
      </c>
      <c r="J34" s="217">
        <f>ROUND(E34*I34,2)</f>
        <v/>
      </c>
    </row>
    <row r="35" outlineLevel="1" ht="15.75" customFormat="1" customHeight="1" s="147">
      <c r="A35" s="212" t="n">
        <v>15</v>
      </c>
      <c r="B35" s="221" t="inlineStr">
        <is>
          <t>91.07.04-001</t>
        </is>
      </c>
      <c r="C35" s="228" t="inlineStr">
        <is>
          <t>Вибраторы глубинные</t>
        </is>
      </c>
      <c r="D35" s="231" t="inlineStr">
        <is>
          <t>маш.час</t>
        </is>
      </c>
      <c r="E35" s="229" t="n">
        <v>55.62487</v>
      </c>
      <c r="F35" s="47" t="n">
        <v>1.9</v>
      </c>
      <c r="G35" s="47">
        <f>ROUND(E35*F35,2)</f>
        <v/>
      </c>
      <c r="H35" s="42">
        <f>G35/G48</f>
        <v/>
      </c>
      <c r="I35" s="217">
        <f>ROUND(F35*'Прил. 10'!$D$11,2)</f>
        <v/>
      </c>
      <c r="J35" s="217">
        <f>ROUND(E35*I35,2)</f>
        <v/>
      </c>
    </row>
    <row r="36" outlineLevel="1" ht="31.7" customFormat="1" customHeight="1" s="147">
      <c r="A36" s="212" t="n">
        <v>16</v>
      </c>
      <c r="B36" s="221" t="inlineStr">
        <is>
          <t>91.05.01-017</t>
        </is>
      </c>
      <c r="C36" s="228" t="inlineStr">
        <is>
          <t>Краны башенные, грузоподъемность 8 т</t>
        </is>
      </c>
      <c r="D36" s="231" t="inlineStr">
        <is>
          <t>маш.час</t>
        </is>
      </c>
      <c r="E36" s="229" t="n">
        <v>0.4606</v>
      </c>
      <c r="F36" s="47" t="n">
        <v>86.40000000000001</v>
      </c>
      <c r="G36" s="47">
        <f>ROUND(E36*F36,2)</f>
        <v/>
      </c>
      <c r="H36" s="42">
        <f>G36/G48</f>
        <v/>
      </c>
      <c r="I36" s="217">
        <f>ROUND(F36*'Прил. 10'!$D$11,2)</f>
        <v/>
      </c>
      <c r="J36" s="217">
        <f>ROUND(E36*I36,2)</f>
        <v/>
      </c>
    </row>
    <row r="37" outlineLevel="1" ht="15.75" customFormat="1" customHeight="1" s="147">
      <c r="A37" s="212" t="n">
        <v>17</v>
      </c>
      <c r="B37" s="221" t="inlineStr">
        <is>
          <t>91.06.05-011</t>
        </is>
      </c>
      <c r="C37" s="228" t="inlineStr">
        <is>
          <t>Погрузчики, грузоподъемность 5 т</t>
        </is>
      </c>
      <c r="D37" s="231" t="inlineStr">
        <is>
          <t>маш.час</t>
        </is>
      </c>
      <c r="E37" s="229" t="n">
        <v>0.43285</v>
      </c>
      <c r="F37" s="47" t="n">
        <v>89.98999999999999</v>
      </c>
      <c r="G37" s="47">
        <f>ROUND(E37*F37,2)</f>
        <v/>
      </c>
      <c r="H37" s="42">
        <f>G37/G48</f>
        <v/>
      </c>
      <c r="I37" s="217">
        <f>ROUND(F37*'Прил. 10'!$D$11,2)</f>
        <v/>
      </c>
      <c r="J37" s="217">
        <f>ROUND(E37*I37,2)</f>
        <v/>
      </c>
    </row>
    <row r="38" outlineLevel="1" ht="15.75" customFormat="1" customHeight="1" s="147">
      <c r="A38" s="212" t="n">
        <v>18</v>
      </c>
      <c r="B38" s="221" t="inlineStr">
        <is>
          <t>91.07.04-002</t>
        </is>
      </c>
      <c r="C38" s="228" t="inlineStr">
        <is>
          <t>Вибраторы поверхностные</t>
        </is>
      </c>
      <c r="D38" s="231" t="inlineStr">
        <is>
          <t>маш.час</t>
        </is>
      </c>
      <c r="E38" s="229" t="n">
        <v>67.38800000000001</v>
      </c>
      <c r="F38" s="47" t="n">
        <v>0.5</v>
      </c>
      <c r="G38" s="47">
        <f>ROUND(E38*F38,2)</f>
        <v/>
      </c>
      <c r="H38" s="42">
        <f>G38/G48</f>
        <v/>
      </c>
      <c r="I38" s="217">
        <f>ROUND(F38*'Прил. 10'!$D$11,2)</f>
        <v/>
      </c>
      <c r="J38" s="217">
        <f>ROUND(E38*I38,2)</f>
        <v/>
      </c>
    </row>
    <row r="39" outlineLevel="1" ht="47.25" customFormat="1" customHeight="1" s="147">
      <c r="A39" s="212" t="n">
        <v>19</v>
      </c>
      <c r="B39" s="221" t="inlineStr">
        <is>
          <t>91.08.09-023</t>
        </is>
      </c>
      <c r="C39" s="228" t="inlineStr">
        <is>
          <t>Трамбовки пневматические при работе от передвижных компрессорных станций</t>
        </is>
      </c>
      <c r="D39" s="231" t="inlineStr">
        <is>
          <t>маш.час</t>
        </is>
      </c>
      <c r="E39" s="229" t="n">
        <v>27.72</v>
      </c>
      <c r="F39" s="47" t="n">
        <v>0.55</v>
      </c>
      <c r="G39" s="47">
        <f>ROUND(E39*F39,2)</f>
        <v/>
      </c>
      <c r="H39" s="42">
        <f>G39/G48</f>
        <v/>
      </c>
      <c r="I39" s="217">
        <f>ROUND(F39*'Прил. 10'!$D$11,2)</f>
        <v/>
      </c>
      <c r="J39" s="217">
        <f>ROUND(E39*I39,2)</f>
        <v/>
      </c>
    </row>
    <row r="40" outlineLevel="1" ht="63" customFormat="1" customHeight="1" s="147">
      <c r="A40" s="212" t="n">
        <v>20</v>
      </c>
      <c r="B40" s="221" t="inlineStr">
        <is>
          <t>91.06.05-057</t>
        </is>
      </c>
      <c r="C40" s="228" t="inlineStr">
        <is>
          <t>Погрузчики одноковшовые универсальные фронтальные пневмоколесные, грузоподъемность 3 т</t>
        </is>
      </c>
      <c r="D40" s="231" t="inlineStr">
        <is>
          <t>маш.час</t>
        </is>
      </c>
      <c r="E40" s="229" t="n">
        <v>0.15197</v>
      </c>
      <c r="F40" s="47" t="n">
        <v>90.40000000000001</v>
      </c>
      <c r="G40" s="47">
        <f>ROUND(E40*F40,2)</f>
        <v/>
      </c>
      <c r="H40" s="42">
        <f>G40/G48</f>
        <v/>
      </c>
      <c r="I40" s="217">
        <f>ROUND(F40*'Прил. 10'!$D$11,2)</f>
        <v/>
      </c>
      <c r="J40" s="217">
        <f>ROUND(E40*I40,2)</f>
        <v/>
      </c>
    </row>
    <row r="41" outlineLevel="1" ht="15.75" customFormat="1" customHeight="1" s="147">
      <c r="A41" s="212" t="n">
        <v>21</v>
      </c>
      <c r="B41" s="221" t="inlineStr">
        <is>
          <t>91.17.04-042</t>
        </is>
      </c>
      <c r="C41" s="228" t="inlineStr">
        <is>
          <t>Аппараты для газовой сварки и резки</t>
        </is>
      </c>
      <c r="D41" s="231" t="inlineStr">
        <is>
          <t>маш.час</t>
        </is>
      </c>
      <c r="E41" s="229" t="n">
        <v>3.701802</v>
      </c>
      <c r="F41" s="47" t="n">
        <v>1.2</v>
      </c>
      <c r="G41" s="47">
        <f>ROUND(E41*F41,2)</f>
        <v/>
      </c>
      <c r="H41" s="42">
        <f>G41/G48</f>
        <v/>
      </c>
      <c r="I41" s="217">
        <f>ROUND(F41*'Прил. 10'!$D$11,2)</f>
        <v/>
      </c>
      <c r="J41" s="217">
        <f>ROUND(E41*I41,2)</f>
        <v/>
      </c>
    </row>
    <row r="42" outlineLevel="1" ht="31.7" customFormat="1" customHeight="1" s="147">
      <c r="A42" s="212" t="n">
        <v>22</v>
      </c>
      <c r="B42" s="221" t="inlineStr">
        <is>
          <t>91.08.09-024</t>
        </is>
      </c>
      <c r="C42" s="228" t="inlineStr">
        <is>
          <t>Трамбовки пневматические при работе от стационарного компрессора</t>
        </is>
      </c>
      <c r="D42" s="231" t="inlineStr">
        <is>
          <t>маш.час</t>
        </is>
      </c>
      <c r="E42" s="229" t="n">
        <v>0.7924</v>
      </c>
      <c r="F42" s="47" t="n">
        <v>4.91</v>
      </c>
      <c r="G42" s="47">
        <f>ROUND(E42*F42,2)</f>
        <v/>
      </c>
      <c r="H42" s="42">
        <f>G42/G48</f>
        <v/>
      </c>
      <c r="I42" s="217">
        <f>ROUND(F42*'Прил. 10'!$D$11,2)</f>
        <v/>
      </c>
      <c r="J42" s="217">
        <f>ROUND(E42*I42,2)</f>
        <v/>
      </c>
    </row>
    <row r="43" outlineLevel="1" ht="47.25" customFormat="1" customHeight="1" s="147">
      <c r="A43" s="212" t="n">
        <v>23</v>
      </c>
      <c r="B43" s="221" t="inlineStr">
        <is>
          <t>91.17.04-171</t>
        </is>
      </c>
      <c r="C43" s="228" t="inlineStr">
        <is>
          <t>Преобразователи сварочные номинальным сварочным током 315-500 А</t>
        </is>
      </c>
      <c r="D43" s="231" t="inlineStr">
        <is>
          <t>маш.час</t>
        </is>
      </c>
      <c r="E43" s="229" t="n">
        <v>0.1656658</v>
      </c>
      <c r="F43" s="47" t="n">
        <v>12.31</v>
      </c>
      <c r="G43" s="47">
        <f>ROUND(E43*F43,2)</f>
        <v/>
      </c>
      <c r="H43" s="42">
        <f>G43/G48</f>
        <v/>
      </c>
      <c r="I43" s="217">
        <f>ROUND(F43*'Прил. 10'!$D$11,2)</f>
        <v/>
      </c>
      <c r="J43" s="217">
        <f>ROUND(E43*I43,2)</f>
        <v/>
      </c>
    </row>
    <row r="44" outlineLevel="1" ht="31.7" customFormat="1" customHeight="1" s="147">
      <c r="A44" s="212" t="n">
        <v>24</v>
      </c>
      <c r="B44" s="221" t="inlineStr">
        <is>
          <t>91.06.03-062</t>
        </is>
      </c>
      <c r="C44" s="228" t="inlineStr">
        <is>
          <t>Лебедки электрические тяговым усилием до 31,39 кН (3,2 т)</t>
        </is>
      </c>
      <c r="D44" s="231" t="inlineStr">
        <is>
          <t>маш.час</t>
        </is>
      </c>
      <c r="E44" s="229" t="n">
        <v>0.09533999999999999</v>
      </c>
      <c r="F44" s="47" t="n">
        <v>6.9</v>
      </c>
      <c r="G44" s="47">
        <f>ROUND(E44*F44,2)</f>
        <v/>
      </c>
      <c r="H44" s="42">
        <f>G44/G48</f>
        <v/>
      </c>
      <c r="I44" s="217">
        <f>ROUND(F44*'Прил. 10'!$D$11,2)</f>
        <v/>
      </c>
      <c r="J44" s="217">
        <f>ROUND(E44*I44,2)</f>
        <v/>
      </c>
    </row>
    <row r="45" outlineLevel="1" ht="31.7" customFormat="1" customHeight="1" s="147">
      <c r="A45" s="212" t="n">
        <v>25</v>
      </c>
      <c r="B45" s="221" t="inlineStr">
        <is>
          <t>91.06.03-060</t>
        </is>
      </c>
      <c r="C45" s="228" t="inlineStr">
        <is>
          <t>Лебедки электрические тяговым усилием до 5,79 кН (0,59 т)</t>
        </is>
      </c>
      <c r="D45" s="231" t="inlineStr">
        <is>
          <t>маш.час</t>
        </is>
      </c>
      <c r="E45" s="229" t="n">
        <v>0.05264</v>
      </c>
      <c r="F45" s="47" t="n">
        <v>1.7</v>
      </c>
      <c r="G45" s="47">
        <f>ROUND(E45*F45,2)</f>
        <v/>
      </c>
      <c r="H45" s="42">
        <f>G45/G48</f>
        <v/>
      </c>
      <c r="I45" s="217">
        <f>ROUND(F45*'Прил. 10'!$D$11,2)</f>
        <v/>
      </c>
      <c r="J45" s="217">
        <f>ROUND(E45*I45,2)</f>
        <v/>
      </c>
    </row>
    <row r="46" ht="15.75" customFormat="1" customHeight="1" s="147">
      <c r="A46" s="212" t="n"/>
      <c r="B46" s="147" t="n"/>
      <c r="C46" s="212" t="inlineStr">
        <is>
          <t>Итого прочие Машины и механизмы</t>
        </is>
      </c>
      <c r="D46" s="212" t="n"/>
      <c r="E46" s="212" t="n"/>
      <c r="F46" s="217" t="n"/>
      <c r="G46" s="217">
        <f>SUM(G27:G45)</f>
        <v/>
      </c>
      <c r="H46" s="42">
        <f>SUM(H27:H45)</f>
        <v/>
      </c>
      <c r="I46" s="217" t="n"/>
      <c r="J46" s="217">
        <f>SUM(J27:J45)</f>
        <v/>
      </c>
    </row>
    <row r="47" ht="36.75" customFormat="1" customHeight="1" s="134">
      <c r="A47" s="174" t="n"/>
      <c r="B47" s="174" t="n"/>
      <c r="C47" s="228" t="inlineStr">
        <is>
          <t>Итого прочие машины и механизмы 
(с коэффициентом на демонтаж 0,7)</t>
        </is>
      </c>
      <c r="D47" s="174" t="n"/>
      <c r="E47" s="176" t="n"/>
      <c r="F47" s="178" t="n"/>
      <c r="G47" s="189">
        <f>G46*0.7</f>
        <v/>
      </c>
      <c r="H47" s="188">
        <f>G47/G49</f>
        <v/>
      </c>
      <c r="I47" s="189" t="n"/>
      <c r="J47" s="189">
        <f>J46*0.7</f>
        <v/>
      </c>
    </row>
    <row r="48" ht="15.75" customFormat="1" customHeight="1" s="147">
      <c r="A48" s="212" t="n"/>
      <c r="B48" s="147" t="n"/>
      <c r="C48" s="212" t="inlineStr">
        <is>
          <t>Итого по разделу "Машины и механизмы"</t>
        </is>
      </c>
      <c r="D48" s="212" t="n"/>
      <c r="E48" s="212" t="n"/>
      <c r="F48" s="217" t="n"/>
      <c r="G48" s="217">
        <f>G25+G46</f>
        <v/>
      </c>
      <c r="H48" s="42">
        <f>H25+H46</f>
        <v/>
      </c>
      <c r="I48" s="217" t="n"/>
      <c r="J48" s="217">
        <f>J25+J46</f>
        <v/>
      </c>
    </row>
    <row r="49" ht="38.25" customFormat="1" customHeight="1" s="134">
      <c r="A49" s="174" t="n"/>
      <c r="B49" s="174" t="n"/>
      <c r="C49" s="185" t="inlineStr">
        <is>
          <t>Итого по разделу «Машины и механизмы»  
(с коэффициентом на демонтаж 0,7)</t>
        </is>
      </c>
      <c r="D49" s="186" t="n"/>
      <c r="E49" s="187" t="n"/>
      <c r="F49" s="184" t="n"/>
      <c r="G49" s="189">
        <f>G26+G47</f>
        <v/>
      </c>
      <c r="H49" s="188" t="n">
        <v>1</v>
      </c>
      <c r="I49" s="183" t="n"/>
      <c r="J49" s="189">
        <f>J26+J47</f>
        <v/>
      </c>
    </row>
    <row r="50" ht="15.75" customFormat="1" customHeight="1" s="147">
      <c r="A50" s="219" t="n"/>
      <c r="B50" s="218" t="inlineStr">
        <is>
          <t>Оборудование</t>
        </is>
      </c>
      <c r="C50" s="239" t="n"/>
      <c r="D50" s="239" t="n"/>
      <c r="E50" s="239" t="n"/>
      <c r="F50" s="239" t="n"/>
      <c r="G50" s="239" t="n"/>
      <c r="H50" s="239" t="n"/>
      <c r="I50" s="239" t="n"/>
      <c r="J50" s="240" t="n"/>
    </row>
    <row r="51" ht="15.75" customFormat="1" customHeight="1" s="147">
      <c r="A51" s="219" t="n"/>
      <c r="B51" s="219" t="inlineStr">
        <is>
          <t>Основное оборудование</t>
        </is>
      </c>
      <c r="C51" s="239" t="n"/>
      <c r="D51" s="239" t="n"/>
      <c r="E51" s="239" t="n"/>
      <c r="F51" s="239" t="n"/>
      <c r="G51" s="239" t="n"/>
      <c r="H51" s="239" t="n"/>
      <c r="I51" s="239" t="n"/>
      <c r="J51" s="240" t="n"/>
    </row>
    <row r="52" outlineLevel="1" ht="15.75" customFormat="1" customHeight="1" s="147">
      <c r="A52" s="219" t="n"/>
      <c r="B52" s="219" t="n"/>
      <c r="C52" s="219" t="inlineStr">
        <is>
          <t>Итого основное оборудование</t>
        </is>
      </c>
      <c r="D52" s="219" t="n"/>
      <c r="E52" s="219" t="n"/>
      <c r="F52" s="220" t="n"/>
      <c r="G52" s="220" t="n">
        <v>0</v>
      </c>
      <c r="H52" s="219" t="n">
        <v>0</v>
      </c>
      <c r="I52" s="220" t="n"/>
      <c r="J52" s="220" t="n">
        <v>0</v>
      </c>
    </row>
    <row r="53" ht="15.75" customFormat="1" customHeight="1" s="147">
      <c r="A53" s="219" t="n"/>
      <c r="B53" s="219" t="inlineStr">
        <is>
          <t>Прочее оборудование</t>
        </is>
      </c>
      <c r="C53" s="239" t="n"/>
      <c r="D53" s="239" t="n"/>
      <c r="E53" s="239" t="n"/>
      <c r="F53" s="239" t="n"/>
      <c r="G53" s="239" t="n"/>
      <c r="H53" s="239" t="n"/>
      <c r="I53" s="239" t="n"/>
      <c r="J53" s="240" t="n"/>
    </row>
    <row r="54" outlineLevel="1" ht="15.75" customFormat="1" customHeight="1" s="147">
      <c r="A54" s="219" t="n"/>
      <c r="B54" s="219" t="n"/>
      <c r="C54" s="219" t="inlineStr">
        <is>
          <t>Итого прочее оборудование</t>
        </is>
      </c>
      <c r="D54" s="219" t="n"/>
      <c r="E54" s="219" t="n"/>
      <c r="F54" s="220" t="n"/>
      <c r="G54" s="220" t="n">
        <v>0</v>
      </c>
      <c r="H54" s="219" t="n">
        <v>0</v>
      </c>
      <c r="I54" s="220" t="n"/>
      <c r="J54" s="220" t="n">
        <v>0</v>
      </c>
    </row>
    <row r="55" outlineLevel="1" ht="15.75" customFormat="1" customHeight="1" s="147">
      <c r="A55" s="219" t="n"/>
      <c r="B55" s="219" t="n"/>
      <c r="C55" s="218" t="inlineStr">
        <is>
          <t>Итого по разделу «Оборудование»</t>
        </is>
      </c>
      <c r="D55" s="219" t="n"/>
      <c r="E55" s="219" t="n"/>
      <c r="F55" s="220" t="n"/>
      <c r="G55" s="220" t="n">
        <v>0</v>
      </c>
      <c r="H55" s="219" t="n">
        <v>0</v>
      </c>
      <c r="I55" s="220" t="n"/>
      <c r="J55" s="220" t="n">
        <v>0</v>
      </c>
    </row>
    <row r="56" outlineLevel="1" ht="15.75" customFormat="1" customHeight="1" s="147">
      <c r="A56" s="219" t="n"/>
      <c r="B56" s="219" t="n"/>
      <c r="C56" s="219" t="inlineStr">
        <is>
          <t>в том числе технологическое оборудование</t>
        </is>
      </c>
      <c r="D56" s="219" t="n"/>
      <c r="E56" s="219" t="n"/>
      <c r="F56" s="220" t="n"/>
      <c r="G56" s="220" t="n">
        <v>0</v>
      </c>
      <c r="H56" s="219" t="n"/>
      <c r="I56" s="220" t="n"/>
      <c r="J56" s="220" t="n">
        <v>0</v>
      </c>
    </row>
    <row r="57" ht="15.75" customFormat="1" customHeight="1" s="147">
      <c r="A57" s="212" t="n"/>
      <c r="B57" s="211" t="inlineStr">
        <is>
          <t>Материалы</t>
        </is>
      </c>
      <c r="C57" s="239" t="n"/>
      <c r="D57" s="239" t="n"/>
      <c r="E57" s="239" t="n"/>
      <c r="F57" s="239" t="n"/>
      <c r="G57" s="239" t="n"/>
      <c r="H57" s="240" t="n"/>
      <c r="I57" s="217" t="n"/>
      <c r="J57" s="217" t="n"/>
    </row>
    <row r="58" ht="15.75" customFormat="1" customHeight="1" s="147">
      <c r="A58" s="212" t="n"/>
      <c r="B58" s="212" t="inlineStr">
        <is>
          <t>Основные Материалы</t>
        </is>
      </c>
      <c r="C58" s="239" t="n"/>
      <c r="D58" s="239" t="n"/>
      <c r="E58" s="239" t="n"/>
      <c r="F58" s="239" t="n"/>
      <c r="G58" s="239" t="n"/>
      <c r="H58" s="240" t="n"/>
      <c r="I58" s="217" t="n"/>
      <c r="J58" s="217" t="n"/>
    </row>
    <row r="59" ht="15.75" customFormat="1" customHeight="1" s="147">
      <c r="A59" s="212" t="n"/>
      <c r="B59" s="221" t="inlineStr">
        <is>
          <t>Итого основные Материалы</t>
        </is>
      </c>
      <c r="C59" s="239" t="n"/>
      <c r="D59" s="239" t="n"/>
      <c r="E59" s="239" t="n"/>
      <c r="F59" s="240" t="n"/>
      <c r="G59" s="47" t="n">
        <v>0</v>
      </c>
      <c r="H59" s="42" t="n">
        <v>0</v>
      </c>
      <c r="I59" s="217" t="n"/>
      <c r="J59" s="217" t="n">
        <v>0</v>
      </c>
    </row>
    <row r="60" ht="15.75" customFormat="1" customHeight="1" s="147">
      <c r="A60" s="212" t="n"/>
      <c r="B60" s="212" t="inlineStr">
        <is>
          <t>Итого прочие Материалы</t>
        </is>
      </c>
      <c r="C60" s="239" t="n"/>
      <c r="D60" s="239" t="n"/>
      <c r="E60" s="239" t="n"/>
      <c r="F60" s="240" t="n"/>
      <c r="G60" s="217" t="n">
        <v>0</v>
      </c>
      <c r="H60" s="42" t="n">
        <v>0</v>
      </c>
      <c r="I60" s="217" t="n"/>
      <c r="J60" s="217" t="n">
        <v>0</v>
      </c>
    </row>
    <row r="61" ht="15.75" customFormat="1" customHeight="1" s="147">
      <c r="A61" s="212" t="n"/>
      <c r="B61" s="212" t="inlineStr">
        <is>
          <t>Итого по разделу "Материалы"</t>
        </is>
      </c>
      <c r="C61" s="239" t="n"/>
      <c r="D61" s="239" t="n"/>
      <c r="E61" s="239" t="n"/>
      <c r="F61" s="240" t="n"/>
      <c r="G61" s="217">
        <f>G59+G60</f>
        <v/>
      </c>
      <c r="H61" s="42">
        <f>H59+H60</f>
        <v/>
      </c>
      <c r="I61" s="217" t="n"/>
      <c r="J61" s="217">
        <f>J59+J60</f>
        <v/>
      </c>
    </row>
    <row r="62" ht="25.5" customFormat="1" customHeight="1" s="147">
      <c r="A62" s="213" t="n"/>
      <c r="B62" s="231" t="n"/>
      <c r="C62" s="228" t="inlineStr">
        <is>
          <t>ИТОГО ПО РМ</t>
        </is>
      </c>
      <c r="D62" s="231" t="n"/>
      <c r="E62" s="231" t="n"/>
      <c r="F62" s="230" t="n"/>
      <c r="G62" s="230">
        <f>+G14+G48+G61</f>
        <v/>
      </c>
      <c r="H62" s="58" t="n"/>
      <c r="I62" s="217" t="n"/>
      <c r="J62" s="230">
        <f>+J14+J48+J61</f>
        <v/>
      </c>
    </row>
    <row r="63" ht="44.25" customFormat="1" customHeight="1" s="134">
      <c r="A63" s="174" t="n"/>
      <c r="B63" s="174" t="n"/>
      <c r="C63" s="191" t="inlineStr">
        <is>
          <t>ИТОГО ПО РМ
(с коэффициентом на демонтаж 0,7)</t>
        </is>
      </c>
      <c r="D63" s="174" t="n"/>
      <c r="E63" s="176" t="n"/>
      <c r="F63" s="177" t="n"/>
      <c r="G63" s="192">
        <f>G15+G49</f>
        <v/>
      </c>
      <c r="H63" s="182" t="n"/>
      <c r="I63" s="178" t="n"/>
      <c r="J63" s="192">
        <f>J15+J49+J61</f>
        <v/>
      </c>
    </row>
    <row r="64" ht="29.25" customFormat="1" customHeight="1" s="147">
      <c r="A64" s="213" t="n"/>
      <c r="B64" s="231" t="n"/>
      <c r="C64" s="228" t="inlineStr">
        <is>
          <t>Накладные расходы</t>
        </is>
      </c>
      <c r="D64" s="60" t="n">
        <v>1.0216090586838</v>
      </c>
      <c r="E64" s="231" t="n"/>
      <c r="F64" s="230" t="n"/>
      <c r="G64" s="230">
        <f>(G14+G17)*D64</f>
        <v/>
      </c>
      <c r="H64" s="58" t="n"/>
      <c r="I64" s="217" t="n"/>
      <c r="J64" s="217">
        <f>(J14+J17)*D64</f>
        <v/>
      </c>
    </row>
    <row r="65" ht="37.5" customFormat="1" customHeight="1" s="134">
      <c r="A65" s="174" t="n"/>
      <c r="B65" s="174" t="n"/>
      <c r="C65" s="228" t="inlineStr">
        <is>
          <t>Накладные расходы 
(с коэффициентом на демонтаж 0,7)</t>
        </is>
      </c>
      <c r="D65" s="193">
        <f>ROUND(G65/(G$15+$G$18),2)</f>
        <v/>
      </c>
      <c r="E65" s="176" t="n"/>
      <c r="F65" s="177" t="n"/>
      <c r="G65" s="192">
        <f>G64*0.7</f>
        <v/>
      </c>
      <c r="H65" s="179" t="n"/>
      <c r="I65" s="178" t="n"/>
      <c r="J65" s="189">
        <f>ROUND(D65*(J15+J18),2)</f>
        <v/>
      </c>
    </row>
    <row r="66" ht="15.75" customFormat="1" customHeight="1" s="147">
      <c r="A66" s="213" t="n"/>
      <c r="B66" s="231" t="n"/>
      <c r="C66" s="228" t="inlineStr">
        <is>
          <t>Сметная прибыль</t>
        </is>
      </c>
      <c r="D66" s="60" t="n">
        <v>0.5823618787785499</v>
      </c>
      <c r="E66" s="231" t="n"/>
      <c r="F66" s="230" t="n"/>
      <c r="G66" s="230">
        <f>(G14+G17)*D66</f>
        <v/>
      </c>
      <c r="H66" s="58" t="n"/>
      <c r="I66" s="217" t="n"/>
      <c r="J66" s="217">
        <f>(J14+J17)*D66</f>
        <v/>
      </c>
    </row>
    <row r="67" ht="37.5" customFormat="1" customHeight="1" s="134">
      <c r="A67" s="174" t="n"/>
      <c r="B67" s="174" t="n"/>
      <c r="C67" s="190" t="inlineStr">
        <is>
          <t>Сметная прибыль 
(с коэффициентом на демонтаж 0,7)</t>
        </is>
      </c>
      <c r="D67" s="193">
        <f>ROUND(G67/(G$15+G$18),2)</f>
        <v/>
      </c>
      <c r="E67" s="176" t="n"/>
      <c r="F67" s="177" t="n"/>
      <c r="G67" s="189">
        <f>G66*0.7</f>
        <v/>
      </c>
      <c r="H67" s="179" t="n"/>
      <c r="I67" s="178" t="n"/>
      <c r="J67" s="189">
        <f>ROUND(D67*(J15+J18),2)</f>
        <v/>
      </c>
    </row>
    <row r="68" ht="36" customFormat="1" customHeight="1" s="147">
      <c r="A68" s="213" t="n"/>
      <c r="B68" s="231" t="n"/>
      <c r="C68" s="228" t="inlineStr">
        <is>
          <t>Итого СМР (с НР и СП)</t>
        </is>
      </c>
      <c r="D68" s="231" t="n"/>
      <c r="E68" s="231" t="n"/>
      <c r="F68" s="230" t="n"/>
      <c r="G68" s="230">
        <f>G62+G64+G66</f>
        <v/>
      </c>
      <c r="H68" s="58" t="n"/>
      <c r="I68" s="217" t="n"/>
      <c r="J68" s="230">
        <f>J62+J64+J66</f>
        <v/>
      </c>
    </row>
    <row r="69" ht="42.75" customFormat="1" customHeight="1" s="134">
      <c r="A69" s="174" t="n"/>
      <c r="B69" s="174" t="n"/>
      <c r="C69" s="191" t="inlineStr">
        <is>
          <t>Итого СМР (с НР и СП) 
(с коэффициентом на демонтаж 0,7)</t>
        </is>
      </c>
      <c r="D69" s="174" t="n"/>
      <c r="E69" s="176" t="n"/>
      <c r="F69" s="177" t="n"/>
      <c r="G69" s="192">
        <f>G63+G65+G67</f>
        <v/>
      </c>
      <c r="H69" s="179" t="n"/>
      <c r="I69" s="178" t="n"/>
      <c r="J69" s="192">
        <f>ROUND((J63+J65+J67),2)</f>
        <v/>
      </c>
    </row>
    <row r="70" ht="30.75" customFormat="1" customHeight="1" s="147">
      <c r="A70" s="213" t="n"/>
      <c r="B70" s="231" t="n"/>
      <c r="C70" s="228" t="inlineStr">
        <is>
          <t>ВСЕГО СМР + ОБОРУДОВАНИЕ</t>
        </is>
      </c>
      <c r="D70" s="231" t="n"/>
      <c r="E70" s="231" t="n"/>
      <c r="F70" s="230" t="n"/>
      <c r="G70" s="230">
        <f>G55+G68</f>
        <v/>
      </c>
      <c r="H70" s="58" t="n"/>
      <c r="I70" s="217" t="n"/>
      <c r="J70" s="217">
        <f>J55+J68</f>
        <v/>
      </c>
    </row>
    <row r="71" ht="43.5" customFormat="1" customHeight="1" s="134">
      <c r="A71" s="174" t="n"/>
      <c r="B71" s="174" t="n"/>
      <c r="C71" s="191" t="inlineStr">
        <is>
          <t>ВСЕГО СМР + ОБОРУДОВАНИЕ 
(с коэффициентом на демонтаж 0,7)</t>
        </is>
      </c>
      <c r="D71" s="174" t="n"/>
      <c r="E71" s="176" t="n"/>
      <c r="F71" s="177" t="n"/>
      <c r="G71" s="192">
        <f>G55+G69</f>
        <v/>
      </c>
      <c r="H71" s="192" t="n"/>
      <c r="I71" s="192" t="n"/>
      <c r="J71" s="192">
        <f>J69+J55</f>
        <v/>
      </c>
    </row>
    <row r="72" ht="24.75" customFormat="1" customHeight="1" s="147">
      <c r="A72" s="213" t="n"/>
      <c r="B72" s="231" t="n"/>
      <c r="C72" s="228" t="inlineStr">
        <is>
          <t>ИТОГО ПОКАЗАТЕЛЬ НА ЕД. ИЗМ.</t>
        </is>
      </c>
      <c r="D72" s="231" t="inlineStr">
        <is>
          <t>м2</t>
        </is>
      </c>
      <c r="E72" s="231" t="n">
        <v>295.2</v>
      </c>
      <c r="F72" s="230" t="n"/>
      <c r="G72" s="230">
        <f>G71/E72</f>
        <v/>
      </c>
      <c r="H72" s="58" t="n"/>
      <c r="I72" s="217" t="n"/>
      <c r="J72" s="230">
        <f>J71/E72</f>
        <v/>
      </c>
    </row>
    <row r="73" ht="15.75" customFormat="1" customHeight="1" s="147">
      <c r="A73" s="147" t="n"/>
      <c r="B73" s="147" t="n"/>
      <c r="C73" s="147" t="n"/>
      <c r="E73" s="147" t="n"/>
      <c r="F73" s="92" t="n"/>
      <c r="G73" s="92" t="n"/>
      <c r="I73" s="92" t="n"/>
      <c r="J73" s="92" t="n"/>
    </row>
    <row r="74" ht="15.75" customFormat="1" customHeight="1" s="147">
      <c r="A74" s="147" t="n"/>
      <c r="B74" s="147" t="n"/>
      <c r="C74" s="147" t="n"/>
      <c r="E74" s="147" t="n"/>
      <c r="F74" s="92" t="n"/>
      <c r="G74" s="92" t="n"/>
      <c r="I74" s="92" t="n"/>
      <c r="J74" s="92" t="n"/>
    </row>
    <row r="75" ht="15.75" customFormat="1" customHeight="1" s="147">
      <c r="A75" s="99" t="n"/>
      <c r="B75" s="147" t="n"/>
      <c r="C75" s="147" t="n"/>
      <c r="E75" s="147" t="n"/>
      <c r="F75" s="92" t="n"/>
      <c r="G75" s="92" t="n"/>
      <c r="I75" s="92" t="n"/>
      <c r="J75" s="92" t="n"/>
    </row>
    <row r="76" ht="15.75" customFormat="1" customHeight="1" s="147">
      <c r="A76" s="147" t="n"/>
      <c r="B76" s="147" t="n"/>
      <c r="C76" s="147" t="n"/>
      <c r="E76" s="147" t="n"/>
      <c r="F76" s="92" t="n"/>
      <c r="G76" s="92" t="n"/>
      <c r="I76" s="92" t="n"/>
      <c r="J76" s="92" t="n"/>
    </row>
    <row r="77" ht="15.75" customFormat="1" customHeight="1" s="147">
      <c r="A77" s="147" t="n"/>
      <c r="B77" s="147" t="n"/>
      <c r="C77" s="147" t="n"/>
      <c r="E77" s="147" t="n"/>
      <c r="F77" s="92" t="n"/>
      <c r="G77" s="92" t="n"/>
      <c r="I77" s="92" t="n"/>
      <c r="J77" s="92" t="n"/>
    </row>
    <row r="78" ht="15.75" customFormat="1" customHeight="1" s="147">
      <c r="A78" s="99" t="n"/>
      <c r="B78" s="147" t="n"/>
      <c r="C78" s="147" t="n"/>
      <c r="E78" s="147" t="n"/>
      <c r="F78" s="92" t="n"/>
      <c r="G78" s="92" t="n"/>
      <c r="I78" s="92" t="n"/>
      <c r="J78" s="92" t="n"/>
    </row>
    <row r="79" ht="15.75" customFormat="1" customHeight="1" s="147">
      <c r="A79" s="147" t="n"/>
      <c r="B79" s="147" t="n"/>
      <c r="C79" s="147" t="n"/>
      <c r="E79" s="147" t="n"/>
      <c r="F79" s="92" t="n"/>
      <c r="G79" s="92" t="n"/>
      <c r="I79" s="92" t="n"/>
      <c r="J79" s="92" t="n"/>
    </row>
  </sheetData>
  <mergeCells count="25">
    <mergeCell ref="H9:H10"/>
    <mergeCell ref="B59:F59"/>
    <mergeCell ref="B53:J53"/>
    <mergeCell ref="H2:J2"/>
    <mergeCell ref="B20:H20"/>
    <mergeCell ref="C9:C10"/>
    <mergeCell ref="E9:E10"/>
    <mergeCell ref="B60:F60"/>
    <mergeCell ref="B16:H16"/>
    <mergeCell ref="B61:F61"/>
    <mergeCell ref="B9:B10"/>
    <mergeCell ref="D9:D10"/>
    <mergeCell ref="B51:J51"/>
    <mergeCell ref="B58:H58"/>
    <mergeCell ref="B12:H12"/>
    <mergeCell ref="B50:J50"/>
    <mergeCell ref="D6:J6"/>
    <mergeCell ref="F9:G9"/>
    <mergeCell ref="A4:H4"/>
    <mergeCell ref="B57:H57"/>
    <mergeCell ref="A9:A10"/>
    <mergeCell ref="A6:C6"/>
    <mergeCell ref="A7:C7"/>
    <mergeCell ref="B19:H19"/>
    <mergeCell ref="I9:J9"/>
  </mergeCells>
  <conditionalFormatting sqref="E13:E79">
    <cfRule type="expression" priority="1" dxfId="0" stopIfTrue="1">
      <formula>E13&gt;=1/10000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G10" sqref="G10"/>
    </sheetView>
  </sheetViews>
  <sheetFormatPr baseColWidth="8" defaultColWidth="9.140625" defaultRowHeight="14.4" outlineLevelRow="0"/>
  <cols>
    <col width="5.7109375" customWidth="1" style="145" min="1" max="1"/>
    <col width="14.85546875" customWidth="1" style="145" min="2" max="2"/>
    <col width="39.140625" customWidth="1" style="145" min="3" max="3"/>
    <col width="8.28515625" customWidth="1" style="145" min="4" max="4"/>
    <col width="13.5703125" customWidth="1" style="145" min="5" max="5"/>
    <col width="12.42578125" customWidth="1" style="145" min="6" max="6"/>
    <col width="14.140625" customWidth="1" style="145" min="7" max="7"/>
    <col width="9.140625" customWidth="1" style="145" min="8" max="8"/>
  </cols>
  <sheetData>
    <row r="1" ht="15.75" customHeight="1" s="145">
      <c r="A1" s="222" t="inlineStr">
        <is>
          <t>Приложение №6</t>
        </is>
      </c>
    </row>
    <row r="2" ht="21.75" customHeight="1" s="145">
      <c r="A2" s="222" t="n"/>
      <c r="B2" s="222" t="n"/>
      <c r="C2" s="222" t="n"/>
      <c r="D2" s="222" t="n"/>
      <c r="E2" s="222" t="n"/>
      <c r="F2" s="222" t="n"/>
      <c r="G2" s="222" t="n"/>
    </row>
    <row r="3" ht="15.75" customHeight="1" s="145">
      <c r="A3" s="235" t="inlineStr">
        <is>
          <t>Расчет стоимости оборудования</t>
        </is>
      </c>
    </row>
    <row r="4" ht="25.5" customHeight="1" s="145">
      <c r="A4" s="223" t="inlineStr">
        <is>
          <t>Наименование разрабатываемого показателя УНЦ —  Демонтаж открытого склада</t>
        </is>
      </c>
    </row>
    <row r="5" ht="15.75" customHeight="1" s="145">
      <c r="A5" s="147" t="n"/>
      <c r="B5" s="147" t="n"/>
      <c r="C5" s="147" t="n"/>
      <c r="D5" s="147" t="n"/>
      <c r="E5" s="147" t="n"/>
      <c r="F5" s="147" t="n"/>
      <c r="G5" s="147" t="n"/>
    </row>
    <row r="6" ht="30.2" customFormat="1" customHeight="1" s="147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34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240" t="n"/>
    </row>
    <row r="7" ht="15.75" customFormat="1" customHeight="1" s="147">
      <c r="A7" s="236" t="n"/>
      <c r="B7" s="236" t="n"/>
      <c r="C7" s="236" t="n"/>
      <c r="D7" s="236" t="n"/>
      <c r="E7" s="236" t="n"/>
      <c r="F7" s="234" t="inlineStr">
        <is>
          <t>на ед. изм.</t>
        </is>
      </c>
      <c r="G7" s="234" t="inlineStr">
        <is>
          <t>общая</t>
        </is>
      </c>
    </row>
    <row r="8" ht="15.75" customFormat="1" customHeight="1" s="147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.75" customFormat="1" customHeight="1" s="147">
      <c r="A9" s="213" t="n"/>
      <c r="B9" s="228" t="inlineStr">
        <is>
          <t>ИНЖЕНЕРНОЕ ОБОРУДОВАНИЕ</t>
        </is>
      </c>
      <c r="C9" s="239" t="n"/>
      <c r="D9" s="239" t="n"/>
      <c r="E9" s="239" t="n"/>
      <c r="F9" s="239" t="n"/>
      <c r="G9" s="240" t="n"/>
    </row>
    <row r="10" ht="31.7" customFormat="1" customHeight="1" s="147">
      <c r="A10" s="231" t="n"/>
      <c r="B10" s="67" t="n"/>
      <c r="C10" s="228" t="inlineStr">
        <is>
          <t>ИТОГО ИНЖЕНЕРНОЕ ОБОРУДОВАНИЕ</t>
        </is>
      </c>
      <c r="D10" s="67" t="n"/>
      <c r="E10" s="68" t="n"/>
      <c r="F10" s="230" t="n"/>
      <c r="G10" s="230" t="n">
        <v>0</v>
      </c>
    </row>
    <row r="11" ht="15.75" customFormat="1" customHeight="1" s="147">
      <c r="A11" s="231" t="n"/>
      <c r="B11" s="228" t="inlineStr">
        <is>
          <t>ТЕХНОЛОГИЧЕСКОЕ ОБОРУДОВАНИЕ</t>
        </is>
      </c>
      <c r="C11" s="239" t="n"/>
      <c r="D11" s="239" t="n"/>
      <c r="E11" s="239" t="n"/>
      <c r="F11" s="239" t="n"/>
      <c r="G11" s="240" t="n"/>
    </row>
    <row r="12" ht="31.7" customFormat="1" customHeight="1" s="147">
      <c r="A12" s="231" t="n"/>
      <c r="B12" s="228" t="n"/>
      <c r="C12" s="228" t="inlineStr">
        <is>
          <t>ИТОГО ТЕХНОЛОГИЧЕСКОЕ ОБОРУДОВАНИЕ</t>
        </is>
      </c>
      <c r="D12" s="228" t="n"/>
      <c r="E12" s="229" t="n"/>
      <c r="F12" s="230" t="n"/>
      <c r="G12" s="230" t="n">
        <v>0</v>
      </c>
    </row>
    <row r="13" ht="15.75" customFormat="1" customHeight="1" s="147">
      <c r="A13" s="231" t="n"/>
      <c r="B13" s="228" t="n"/>
      <c r="C13" s="228" t="inlineStr">
        <is>
          <t>Итого по разделу "Оборудование"</t>
        </is>
      </c>
      <c r="D13" s="228" t="n"/>
      <c r="E13" s="229" t="n"/>
      <c r="F13" s="230" t="n"/>
      <c r="G13" s="230" t="n">
        <v>0</v>
      </c>
    </row>
    <row r="14" ht="15.75" customFormat="1" customHeight="1" s="147">
      <c r="B14" s="222" t="n"/>
    </row>
    <row r="15" ht="15.75" customFormat="1" customHeight="1" s="147">
      <c r="A15" s="147" t="inlineStr">
        <is>
          <t>Составил ______________________        М.С. Колотиевская</t>
        </is>
      </c>
      <c r="B15" s="147" t="n"/>
      <c r="C15" s="147" t="n"/>
    </row>
    <row r="16" ht="15.75" customFormat="1" customHeight="1" s="147">
      <c r="A16" s="99" t="inlineStr">
        <is>
          <t xml:space="preserve">                         (подпись, инициалы, фамилия)</t>
        </is>
      </c>
      <c r="B16" s="147" t="n"/>
      <c r="C16" s="147" t="n"/>
    </row>
    <row r="17" ht="15.75" customFormat="1" customHeight="1" s="147">
      <c r="A17" s="147" t="n"/>
      <c r="B17" s="147" t="n"/>
      <c r="C17" s="147" t="n"/>
    </row>
    <row r="18" ht="15.75" customFormat="1" customHeight="1" s="147">
      <c r="A18" s="147" t="inlineStr">
        <is>
          <t>Проверил ______________________       М.С. Колотиевская</t>
        </is>
      </c>
      <c r="B18" s="147" t="n"/>
      <c r="C18" s="147" t="n"/>
    </row>
    <row r="19" ht="15.75" customFormat="1" customHeight="1" s="147">
      <c r="A19" s="99" t="inlineStr">
        <is>
          <t xml:space="preserve">                        (подпись, инициалы, фамилия)</t>
        </is>
      </c>
      <c r="B19" s="147" t="n"/>
      <c r="C19" s="147" t="n"/>
    </row>
    <row r="20" ht="15.75" customFormat="1" customHeight="1" s="14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2" sqref="B12"/>
    </sheetView>
  </sheetViews>
  <sheetFormatPr baseColWidth="8" defaultColWidth="8.85546875" defaultRowHeight="14.4" outlineLevelRow="0"/>
  <cols>
    <col width="14.42578125" customWidth="1" style="145" min="1" max="1"/>
    <col width="29.5703125" customWidth="1" style="145" min="2" max="2"/>
    <col width="39.140625" customWidth="1" style="145" min="3" max="3"/>
    <col width="24.42578125" customWidth="1" style="145" min="4" max="4"/>
    <col width="8.85546875" customWidth="1" style="145" min="5" max="5"/>
  </cols>
  <sheetData>
    <row r="1">
      <c r="B1" s="129" t="n"/>
      <c r="C1" s="129" t="n"/>
      <c r="D1" s="126" t="inlineStr">
        <is>
          <t>Приложение №7</t>
        </is>
      </c>
    </row>
    <row r="2">
      <c r="A2" s="126" t="n"/>
      <c r="B2" s="126" t="n"/>
      <c r="C2" s="126" t="n"/>
      <c r="D2" s="126" t="n"/>
    </row>
    <row r="3" ht="24.75" customHeight="1" s="145">
      <c r="A3" s="232" t="inlineStr">
        <is>
          <t>Расчет показателя УНЦ</t>
        </is>
      </c>
    </row>
    <row r="4" ht="24.75" customHeight="1" s="145">
      <c r="A4" s="232" t="n"/>
      <c r="B4" s="232" t="n"/>
      <c r="C4" s="232" t="n"/>
      <c r="D4" s="232" t="n"/>
    </row>
    <row r="5" ht="24.6" customHeight="1" s="145">
      <c r="A5" s="233" t="inlineStr">
        <is>
          <t xml:space="preserve">Наименование разрабатываемого показателя УНЦ - </t>
        </is>
      </c>
      <c r="D5" s="233" t="inlineStr">
        <is>
          <t>Демонтаж открытого склада</t>
        </is>
      </c>
    </row>
    <row r="6" ht="19.9" customHeight="1" s="145">
      <c r="A6" s="233" t="inlineStr">
        <is>
          <t>Единица измерения  — 1 м2</t>
        </is>
      </c>
      <c r="D6" s="233" t="n"/>
    </row>
    <row r="7">
      <c r="A7" s="129" t="n"/>
      <c r="B7" s="129" t="n"/>
      <c r="C7" s="129" t="n"/>
      <c r="D7" s="129" t="n"/>
    </row>
    <row r="8" ht="14.45" customHeight="1" s="145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45">
      <c r="A9" s="236" t="n"/>
      <c r="B9" s="236" t="n"/>
      <c r="C9" s="236" t="n"/>
      <c r="D9" s="236" t="n"/>
    </row>
    <row r="10">
      <c r="A10" s="174" t="n">
        <v>1</v>
      </c>
      <c r="B10" s="174" t="n">
        <v>2</v>
      </c>
      <c r="C10" s="174" t="n">
        <v>3</v>
      </c>
      <c r="D10" s="174" t="n">
        <v>4</v>
      </c>
    </row>
    <row r="11" ht="41.45" customHeight="1" s="145">
      <c r="A11" s="174" t="inlineStr">
        <is>
          <t>М7-05</t>
        </is>
      </c>
      <c r="B11" s="174" t="inlineStr">
        <is>
          <t>УНЦ на демонтаж зданий и сооружений</t>
        </is>
      </c>
      <c r="C11" s="171" t="inlineStr">
        <is>
          <t>Демонтаж открытого склада</t>
        </is>
      </c>
      <c r="D11" s="131">
        <f>'Прил.4 РМ'!C41/1000</f>
        <v/>
      </c>
      <c r="E11" s="123" t="n"/>
    </row>
    <row r="12">
      <c r="A12" s="132" t="n"/>
      <c r="B12" s="133" t="n"/>
      <c r="C12" s="132" t="n"/>
      <c r="D12" s="132" t="n"/>
    </row>
    <row r="13">
      <c r="A13" s="129" t="inlineStr">
        <is>
          <t>Составил ______________________      М.С. Колотиевская</t>
        </is>
      </c>
      <c r="B13" s="134" t="n"/>
      <c r="C13" s="134" t="n"/>
      <c r="D13" s="132" t="n"/>
    </row>
    <row r="14">
      <c r="A14" s="135" t="inlineStr">
        <is>
          <t xml:space="preserve">                         (подпись, инициалы, фамилия)</t>
        </is>
      </c>
      <c r="B14" s="134" t="n"/>
      <c r="C14" s="134" t="n"/>
      <c r="D14" s="132" t="n"/>
    </row>
    <row r="15">
      <c r="A15" s="129" t="n"/>
      <c r="B15" s="134" t="n"/>
      <c r="C15" s="134" t="n"/>
      <c r="D15" s="132" t="n"/>
    </row>
    <row r="16">
      <c r="A16" s="129" t="inlineStr">
        <is>
          <t>Проверил ______________________        А.В. Костянецкая</t>
        </is>
      </c>
      <c r="B16" s="134" t="n"/>
      <c r="C16" s="134" t="n"/>
      <c r="D16" s="132" t="n"/>
    </row>
    <row r="17">
      <c r="A17" s="135" t="inlineStr">
        <is>
          <t xml:space="preserve">                        (подпись, инициалы, фамилия)</t>
        </is>
      </c>
      <c r="B17" s="134" t="n"/>
      <c r="C17" s="134" t="n"/>
      <c r="D17" s="13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view="pageBreakPreview" topLeftCell="A6" zoomScale="60" workbookViewId="0">
      <selection activeCell="F16" sqref="F16"/>
    </sheetView>
  </sheetViews>
  <sheetFormatPr baseColWidth="8" defaultRowHeight="14.4" outlineLevelRow="0"/>
  <cols>
    <col width="9.140625" customWidth="1" style="145" min="1" max="1"/>
    <col width="40.7109375" customWidth="1" style="145" min="2" max="2"/>
    <col width="37" customWidth="1" style="145" min="3" max="3"/>
    <col width="32" customWidth="1" style="145" min="4" max="4"/>
    <col width="9.140625" customWidth="1" style="145" min="5" max="5"/>
  </cols>
  <sheetData>
    <row r="4" ht="15.75" customHeight="1" s="145">
      <c r="B4" s="202" t="inlineStr">
        <is>
          <t>Приложение № 10</t>
        </is>
      </c>
    </row>
    <row r="5" ht="18.75" customHeight="1" s="145">
      <c r="B5" s="8" t="n"/>
    </row>
    <row r="6" ht="15.75" customHeight="1" s="145">
      <c r="B6" s="235" t="inlineStr">
        <is>
          <t>Используемые индексы изменений сметной стоимости и нормы сопутствующих затрат</t>
        </is>
      </c>
    </row>
    <row r="7" ht="18.75" customHeight="1" s="145">
      <c r="B7" s="113" t="n"/>
    </row>
    <row r="8" ht="47.25" customFormat="1" customHeight="1" s="147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Format="1" customHeight="1" s="147">
      <c r="B9" s="234" t="n">
        <v>1</v>
      </c>
      <c r="C9" s="234" t="n">
        <v>2</v>
      </c>
      <c r="D9" s="234" t="n">
        <v>3</v>
      </c>
    </row>
    <row r="10" ht="31.7" customFormat="1" customHeight="1" s="147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7" customFormat="1" customHeight="1" s="147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7" customFormat="1" customHeight="1" s="147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7" customFormat="1" customHeight="1" s="147">
      <c r="B13" s="234" t="inlineStr">
        <is>
          <t>Индекс изменения сметной стоимости на 1 квартал 2023 года. ОБ</t>
        </is>
      </c>
      <c r="C13" s="142" t="inlineStr">
        <is>
          <t>Письмо Минстроя России от 23.02.2023г. №9791-ИФ/09 прил.6</t>
        </is>
      </c>
      <c r="D13" s="234" t="n">
        <v>6.26</v>
      </c>
    </row>
    <row r="14" ht="78.75" customFormat="1" customHeight="1" s="147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7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2" t="n"/>
    </row>
    <row r="16" ht="31.7" customFormat="1" customHeight="1" s="147">
      <c r="B16" s="234" t="inlineStr">
        <is>
          <t>Пусконаладочные работы</t>
        </is>
      </c>
      <c r="C16" s="234" t="n"/>
      <c r="D16" s="234" t="inlineStr">
        <is>
          <t>Расчёт</t>
        </is>
      </c>
    </row>
    <row r="17" ht="31.7" customFormat="1" customHeight="1" s="147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7">
      <c r="B18" s="234" t="inlineStr">
        <is>
          <t>Авторский надзор</t>
        </is>
      </c>
      <c r="C18" s="234" t="inlineStr">
        <is>
          <t>Приказ от 4.08.2020 № 421/пр п.173</t>
        </is>
      </c>
      <c r="D18" s="12" t="n">
        <v>0.002</v>
      </c>
    </row>
    <row r="19" ht="15.75" customFormat="1" customHeight="1" s="147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" t="n">
        <v>0.03</v>
      </c>
    </row>
    <row r="20" ht="15.75" customFormat="1" customHeight="1" s="147">
      <c r="B20" s="201" t="n"/>
    </row>
    <row r="21" ht="15.75" customFormat="1" customHeight="1" s="147">
      <c r="B21" s="201" t="n"/>
    </row>
    <row r="22" ht="15.75" customFormat="1" customHeight="1" s="147">
      <c r="B22" s="201" t="n"/>
    </row>
    <row r="23" ht="15.75" customFormat="1" customHeight="1" s="147">
      <c r="B23" s="201" t="n"/>
    </row>
    <row r="24" ht="15.75" customFormat="1" customHeight="1" s="147"/>
    <row r="25" ht="15.75" customFormat="1" customHeight="1" s="147"/>
    <row r="26" ht="15.75" customFormat="1" customHeight="1" s="147">
      <c r="B26" s="147" t="inlineStr">
        <is>
          <t>Составил ______________________        М.С. Колотиевская</t>
        </is>
      </c>
      <c r="C26" s="147" t="n"/>
    </row>
    <row r="27" ht="15.75" customFormat="1" customHeight="1" s="147">
      <c r="B27" s="99" t="inlineStr">
        <is>
          <t xml:space="preserve">                         (подпись, инициалы, фамилия)</t>
        </is>
      </c>
      <c r="C27" s="147" t="n"/>
    </row>
    <row r="28" ht="15.75" customFormat="1" customHeight="1" s="147">
      <c r="B28" s="147" t="n"/>
      <c r="C28" s="147" t="n"/>
    </row>
    <row r="29" ht="15.75" customFormat="1" customHeight="1" s="147">
      <c r="B29" s="147" t="inlineStr">
        <is>
          <t>Проверил ______________________        М.С. Колотиевская</t>
        </is>
      </c>
      <c r="C29" s="147" t="n"/>
    </row>
    <row r="30" ht="15.75" customFormat="1" customHeight="1" s="147">
      <c r="B30" s="99" t="inlineStr">
        <is>
          <t xml:space="preserve">                        (подпись, инициалы, фамилия)</t>
        </is>
      </c>
      <c r="C30" s="147" t="n"/>
    </row>
    <row r="31" ht="15.75" customFormat="1" customHeight="1" s="147"/>
    <row r="32" ht="15.75" customFormat="1" customHeight="1" s="147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portrait" paperSize="9" scale="75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view="pageBreakPreview" zoomScale="60" workbookViewId="0">
      <selection activeCell="A1" sqref="A1"/>
    </sheetView>
  </sheetViews>
  <sheetFormatPr baseColWidth="8" defaultColWidth="9.140625" defaultRowHeight="14.4" outlineLevelRow="0"/>
  <cols>
    <col width="44.85546875" customWidth="1" style="145" min="2" max="2"/>
    <col width="13" customWidth="1" style="145" min="3" max="3"/>
    <col width="22.85546875" customWidth="1" style="145" min="4" max="4"/>
    <col width="21.5703125" customWidth="1" style="145" min="5" max="5"/>
    <col width="43.85546875" customWidth="1" style="145" min="6" max="6"/>
  </cols>
  <sheetData>
    <row r="1" s="145"/>
    <row r="2" ht="17.25" customHeight="1" s="145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145"/>
    <row r="4" ht="18" customHeight="1" s="145">
      <c r="A4" s="146" t="inlineStr">
        <is>
          <t>Составлен в уровне цен на 01.01.2023 г.</t>
        </is>
      </c>
      <c r="B4" s="147" t="n"/>
      <c r="C4" s="147" t="n"/>
      <c r="D4" s="147" t="n"/>
      <c r="E4" s="147" t="n"/>
      <c r="F4" s="147" t="n"/>
      <c r="G4" s="147" t="n"/>
    </row>
    <row r="5" ht="15.75" customHeight="1" s="145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7" t="n"/>
    </row>
    <row r="6" ht="15.75" customHeight="1" s="145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7" t="n"/>
    </row>
    <row r="7" ht="110.25" customHeight="1" s="145">
      <c r="A7" s="149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52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7" t="n"/>
    </row>
    <row r="8" ht="31.5" customHeight="1" s="145">
      <c r="A8" s="149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53">
        <f>1973/12</f>
        <v/>
      </c>
      <c r="F8" s="191" t="inlineStr">
        <is>
          <t>Производственный календарь 2023 год
(40-часов.неделя)</t>
        </is>
      </c>
      <c r="G8" s="156" t="n"/>
    </row>
    <row r="9" ht="15.75" customHeight="1" s="145">
      <c r="A9" s="149" t="inlineStr">
        <is>
          <t>1.3</t>
        </is>
      </c>
      <c r="B9" s="19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53" t="n">
        <v>1</v>
      </c>
      <c r="F9" s="191" t="n"/>
      <c r="G9" s="156" t="n"/>
    </row>
    <row r="10" ht="15.75" customHeight="1" s="145">
      <c r="A10" s="149" t="inlineStr">
        <is>
          <t>1.4</t>
        </is>
      </c>
      <c r="B10" s="191" t="inlineStr">
        <is>
          <t>Средний разряд работ</t>
        </is>
      </c>
      <c r="C10" s="234" t="n"/>
      <c r="D10" s="234" t="n"/>
      <c r="E10" s="247" t="n">
        <v>3.5</v>
      </c>
      <c r="F10" s="191" t="inlineStr">
        <is>
          <t>РТМ</t>
        </is>
      </c>
      <c r="G10" s="156" t="n"/>
    </row>
    <row r="11" ht="78.75" customHeight="1" s="145">
      <c r="A11" s="149" t="inlineStr">
        <is>
          <t>1.5</t>
        </is>
      </c>
      <c r="B11" s="19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48" t="n">
        <v>1.263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7" t="n"/>
    </row>
    <row r="12" ht="78.75" customHeight="1" s="145">
      <c r="A12" s="149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49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5">
      <c r="A13" s="162" t="inlineStr">
        <is>
          <t>1.7</t>
        </is>
      </c>
      <c r="B13" s="163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165">
        <f>((E7*E9/E8)*E11)*E12</f>
        <v/>
      </c>
      <c r="F13" s="1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2023-08-25T11:34:22Z</dcterms:created>
  <dcterms:modified xsi:type="dcterms:W3CDTF">2025-01-24T12:12:20Z</dcterms:modified>
  <cp:lastModifiedBy>user22</cp:lastModifiedBy>
</cp:coreProperties>
</file>