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name="Прил.1 Сравнит табл " sheetId="1" state="visible" r:id="rId1"/>
    <sheet name="Прил.2 Расч стоим 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 '!$A$1:$F$31</definedName>
    <definedName name="_xlnm.Print_Area" localSheetId="1">'Прил.2 Расч стоим '!$A$1:$J$43</definedName>
    <definedName name="_xlnm.Print_Area" localSheetId="4">'Прил.5 Расчет СМР и ОБ'!$A$1:$J$104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0.0%"/>
    <numFmt numFmtId="165" formatCode="0.000"/>
    <numFmt numFmtId="166" formatCode="0.0"/>
    <numFmt numFmtId="167" formatCode="#,##0.00;[Red]\-\ #,##0.00"/>
    <numFmt numFmtId="168" formatCode="#,##0.0"/>
    <numFmt numFmtId="169" formatCode="#,##0.000"/>
    <numFmt numFmtId="170" formatCode="0.0000"/>
  </numFmts>
  <fonts count="14">
    <font>
      <name val="Calibri"/>
      <strike val="0"/>
      <color rgb="FF000000"/>
      <sz val="11"/>
    </font>
    <font>
      <name val="Times New Roman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2"/>
    </font>
    <font>
      <name val="Arial"/>
      <strike val="0"/>
      <color rgb="FF000000"/>
      <sz val="10"/>
    </font>
    <font>
      <name val="Arial"/>
      <strike val="0"/>
      <color rgb="FF000000"/>
      <sz val="11"/>
    </font>
    <font>
      <name val="Calibri"/>
      <strike val="0"/>
      <color rgb="FF000000"/>
      <sz val="12"/>
    </font>
    <font>
      <name val="Calibri"/>
      <strike val="0"/>
      <color rgb="FFFF0000"/>
      <sz val="11"/>
    </font>
    <font>
      <name val="Arial"/>
      <b val="1"/>
      <strike val="0"/>
      <color rgb="FF000000"/>
      <sz val="10"/>
    </font>
    <font>
      <name val="Arial"/>
      <strike val="0"/>
      <color rgb="FF000000"/>
      <sz val="9"/>
    </font>
    <font>
      <name val="Arial"/>
      <strike val="0"/>
      <color rgb="FF000000"/>
      <sz val="8"/>
    </font>
    <font>
      <name val="Times New Roman"/>
      <strike val="0"/>
      <color rgb="FF0000FF"/>
      <sz val="12"/>
      <u val="single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/>
    </xf>
    <xf numFmtId="16" fontId="1" fillId="0" borderId="0" pivotButton="0" quotePrefix="0" xfId="0"/>
    <xf numFmtId="165" fontId="1" fillId="0" borderId="0" pivotButton="0" quotePrefix="0" xfId="0"/>
    <xf numFmtId="2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center" vertical="center" wrapText="1"/>
    </xf>
    <xf numFmtId="166" fontId="1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167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4" fontId="1" fillId="0" borderId="1" pivotButton="0" quotePrefix="0" xfId="0"/>
    <xf numFmtId="167" fontId="1" fillId="0" borderId="1" pivotButton="0" quotePrefix="0" xfId="0"/>
    <xf numFmtId="0" fontId="0" fillId="0" borderId="0" pivotButton="0" quotePrefix="0" xfId="0"/>
    <xf numFmtId="0" fontId="1" fillId="0" borderId="4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11" fillId="0" borderId="0" applyAlignment="1" pivotButton="0" quotePrefix="0" xfId="0">
      <alignment horizontal="right"/>
    </xf>
    <xf numFmtId="0" fontId="7" fillId="0" borderId="0" pivotButton="0" quotePrefix="0" xfId="0"/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/>
    </xf>
    <xf numFmtId="16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7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vertical="top"/>
    </xf>
    <xf numFmtId="0" fontId="7" fillId="0" borderId="1" applyAlignment="1" pivotButton="0" quotePrefix="0" xfId="0">
      <alignment horizontal="left" vertical="center"/>
    </xf>
    <xf numFmtId="170" fontId="6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4" fontId="6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center"/>
    </xf>
    <xf numFmtId="2" fontId="10" fillId="0" borderId="1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 wrapText="1"/>
    </xf>
    <xf numFmtId="4" fontId="6" fillId="0" borderId="3" applyAlignment="1" pivotButton="0" quotePrefix="0" xfId="0">
      <alignment horizontal="right" vertical="center" wrapText="1"/>
    </xf>
    <xf numFmtId="4" fontId="6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6" fillId="0" borderId="1" applyAlignment="1" pivotButton="0" quotePrefix="0" xfId="0">
      <alignment horizontal="right" vertical="center" wrapText="1"/>
    </xf>
    <xf numFmtId="9" fontId="1" fillId="0" borderId="1" applyAlignment="1" pivotButton="0" quotePrefix="0" xfId="0">
      <alignment horizontal="center" vertical="center" wrapText="1"/>
    </xf>
    <xf numFmtId="10" fontId="6" fillId="0" borderId="6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8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6" applyAlignment="1" pivotButton="0" quotePrefix="0" xfId="0">
      <alignment vertical="top"/>
    </xf>
    <xf numFmtId="0" fontId="1" fillId="0" borderId="7" applyAlignment="1" pivotButton="0" quotePrefix="0" xfId="0">
      <alignment vertical="top"/>
    </xf>
    <xf numFmtId="0" fontId="1" fillId="0" borderId="8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3" fontId="1" fillId="0" borderId="1" applyAlignment="1" pivotButton="0" quotePrefix="0" xfId="0">
      <alignment horizontal="center" vertical="center" wrapText="1"/>
    </xf>
    <xf numFmtId="166" fontId="1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3" pivotButton="0" quotePrefix="0" xfId="0"/>
    <xf numFmtId="167" fontId="7" fillId="0" borderId="1" pivotButton="0" quotePrefix="0" xfId="0"/>
    <xf numFmtId="0" fontId="5" fillId="0" borderId="1" applyAlignment="1" pivotButton="0" quotePrefix="0" xfId="0">
      <alignment horizontal="right" vertical="center" wrapText="1"/>
    </xf>
    <xf numFmtId="167" fontId="1" fillId="0" borderId="1" pivotButton="0" quotePrefix="0" xfId="0"/>
    <xf numFmtId="43" fontId="5" fillId="0" borderId="1" applyAlignment="1" pivotButton="0" quotePrefix="0" xfId="0">
      <alignment vertical="center" wrapText="1"/>
    </xf>
    <xf numFmtId="0" fontId="0" fillId="0" borderId="14" pivotButton="0" quotePrefix="0" xfId="0"/>
    <xf numFmtId="170" fontId="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169" fontId="1" fillId="0" borderId="1" applyAlignment="1" pivotButton="0" quotePrefix="0" xfId="0">
      <alignment horizontal="center" vertical="center"/>
    </xf>
    <xf numFmtId="170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13"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</dxf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M31"/>
  <sheetViews>
    <sheetView showGridLines="1" showRowColHeaders="1" tabSelected="1" view="pageBreakPreview" zoomScale="62" workbookViewId="0">
      <selection activeCell="B8" sqref="B8:F8"/>
    </sheetView>
  </sheetViews>
  <sheetFormatPr baseColWidth="8" defaultColWidth="9.140625" defaultRowHeight="14.4" outlineLevelRow="0"/>
  <cols>
    <col width="9.140625" customWidth="1" style="149" min="1" max="1"/>
    <col width="32.140625" customWidth="1" style="149" min="2" max="2"/>
    <col width="45.42578125" customWidth="1" style="149" min="3" max="3"/>
    <col width="44.28515625" customWidth="1" style="149" min="4" max="4"/>
    <col width="48.85546875" customWidth="1" style="149" min="5" max="5"/>
    <col hidden="1" width="9.140625" customWidth="1" style="149" min="6" max="6"/>
    <col width="9.140625" customWidth="1" style="149" min="7" max="7"/>
    <col width="9.140625" customWidth="1" style="149" min="8" max="8"/>
    <col width="9.140625" customWidth="1" style="149" min="9" max="9"/>
    <col width="9.140625" customWidth="1" style="149" min="10" max="10"/>
    <col width="9.140625" customWidth="1" style="149" min="11" max="11"/>
    <col width="9.140625" customWidth="1" style="149" min="12" max="12"/>
    <col width="10.42578125" customWidth="1" style="149" min="13" max="13"/>
    <col width="9.140625" customWidth="1" style="149" min="14" max="14"/>
  </cols>
  <sheetData>
    <row r="1" customFormat="1" s="101"/>
    <row r="2" customFormat="1" s="149">
      <c r="B2" s="202" t="inlineStr">
        <is>
          <t>Приложение № 1</t>
        </is>
      </c>
      <c r="F2" s="99" t="n"/>
    </row>
    <row r="3" customFormat="1" s="149">
      <c r="B3" s="240" t="inlineStr">
        <is>
          <t>Сравнительная таблица отбора объекта-представителя</t>
        </is>
      </c>
    </row>
    <row r="4" customFormat="1" s="149">
      <c r="B4" s="102" t="n"/>
      <c r="C4" s="102" t="n"/>
      <c r="D4" s="102" t="n"/>
      <c r="E4" s="102" t="n"/>
      <c r="F4" s="102" t="n"/>
    </row>
    <row r="5" customFormat="1" s="149">
      <c r="B5" s="102" t="n"/>
      <c r="C5" s="102" t="n"/>
      <c r="D5" s="102" t="n"/>
      <c r="E5" s="102" t="n"/>
      <c r="F5" s="102" t="n"/>
    </row>
    <row r="6" customFormat="1" s="149">
      <c r="B6" s="201" t="inlineStr">
        <is>
          <t>Наименование разрабатываемого показателя УНЦ — Демонтаж закрытого склада</t>
        </is>
      </c>
      <c r="H6" s="103" t="n"/>
    </row>
    <row r="7" ht="31.7" customFormat="1" customHeight="1" s="149">
      <c r="B7" s="99" t="inlineStr">
        <is>
          <t xml:space="preserve">Сопоставимый уровень цен: </t>
        </is>
      </c>
      <c r="C7" s="99">
        <f>D22</f>
        <v/>
      </c>
      <c r="D7" s="99" t="n"/>
      <c r="E7" s="99" t="n"/>
      <c r="F7" s="99" t="n"/>
    </row>
    <row r="8" customFormat="1" s="149">
      <c r="B8" s="201" t="inlineStr">
        <is>
          <t>Единица измерения  — м2</t>
        </is>
      </c>
      <c r="H8" s="103" t="n"/>
    </row>
    <row r="9" customFormat="1" s="149">
      <c r="B9" s="201" t="n"/>
      <c r="C9" s="201" t="n"/>
      <c r="D9" s="201" t="n"/>
      <c r="E9" s="201" t="n"/>
      <c r="F9" s="201" t="n"/>
      <c r="H9" s="103" t="n"/>
    </row>
    <row r="10" customFormat="1" s="149">
      <c r="B10" s="201" t="n"/>
      <c r="C10" s="201" t="n"/>
      <c r="D10" s="201" t="n"/>
      <c r="E10" s="201" t="n"/>
      <c r="F10" s="201" t="n"/>
      <c r="H10" s="103" t="n"/>
    </row>
    <row r="11">
      <c r="A11" s="239" t="inlineStr">
        <is>
          <t>№ п/п</t>
        </is>
      </c>
      <c r="B11" s="239" t="inlineStr">
        <is>
          <t>Параметр</t>
        </is>
      </c>
      <c r="C11" s="239" t="inlineStr">
        <is>
          <t>Объект-представитель 1</t>
        </is>
      </c>
      <c r="D11" s="239" t="inlineStr">
        <is>
          <t>Объект-представитель 2</t>
        </is>
      </c>
      <c r="E11" s="239" t="inlineStr">
        <is>
          <t>Объект-представитель 3</t>
        </is>
      </c>
    </row>
    <row r="12" ht="109.15" customHeight="1" s="147">
      <c r="A12" s="239" t="n">
        <v>1</v>
      </c>
      <c r="B12" s="105" t="inlineStr">
        <is>
          <t>Наименование объекта-представителя</t>
        </is>
      </c>
      <c r="C12" s="239" t="inlineStr">
        <is>
          <t>ПС 500 кВ Преображенская с заходами ВЛ 500 кВ Красноармейская-Газовая и ВЛ 220 кВ Бузулукская-Сорочинская</t>
        </is>
      </c>
      <c r="D12" s="239" t="inlineStr">
        <is>
          <t>Строительство базы Красногорского РЭС на территории ПС № 860 «Ильинская»</t>
        </is>
      </c>
      <c r="E12" s="239" t="inlineStr">
        <is>
          <t>Строительство ВЛ 220 кВ Зилово – Холбон (II этап строительства) (ПС 220 кВ «Жирекен»)</t>
        </is>
      </c>
    </row>
    <row r="13" ht="31.35" customHeight="1" s="147">
      <c r="A13" s="239" t="n">
        <v>2</v>
      </c>
      <c r="B13" s="105" t="inlineStr">
        <is>
          <t>Наименование субъекта Российской Федерации</t>
        </is>
      </c>
      <c r="C13" s="239" t="inlineStr">
        <is>
          <t>Оренбургская область</t>
        </is>
      </c>
      <c r="D13" s="239" t="inlineStr">
        <is>
          <t>Московская область</t>
        </is>
      </c>
      <c r="E13" s="239" t="inlineStr">
        <is>
          <t>Забайкальский край</t>
        </is>
      </c>
    </row>
    <row r="14" ht="31.35" customHeight="1" s="147">
      <c r="A14" s="239" t="n">
        <v>3</v>
      </c>
      <c r="B14" s="105" t="inlineStr">
        <is>
          <t>Климатический район и подрайон</t>
        </is>
      </c>
      <c r="C14" s="239" t="inlineStr">
        <is>
          <t>IIIА</t>
        </is>
      </c>
      <c r="D14" s="239" t="inlineStr">
        <is>
          <t>IIВ</t>
        </is>
      </c>
      <c r="E14" s="239" t="inlineStr">
        <is>
          <t>IД</t>
        </is>
      </c>
    </row>
    <row r="15">
      <c r="A15" s="239" t="n">
        <v>4</v>
      </c>
      <c r="B15" s="105" t="inlineStr">
        <is>
          <t>Мощность объекта</t>
        </is>
      </c>
      <c r="C15" s="239">
        <f>12*24</f>
        <v/>
      </c>
      <c r="D15" s="239">
        <f>33.95*15.6</f>
        <v/>
      </c>
      <c r="E15" s="239">
        <f>9*18</f>
        <v/>
      </c>
    </row>
    <row r="16" ht="209.25" customHeight="1" s="147">
      <c r="A16" s="239" t="n">
        <v>5</v>
      </c>
      <c r="B16" s="10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239" t="inlineStr">
        <is>
          <t>Закрытый неотапливаемый склад размером 12х24(м). Фундамент-монолитный столбчатый. Металлокаркас, обшитый сэнвич-панелями, кран балка</t>
        </is>
      </c>
      <c r="D16" s="239" t="inlineStr">
        <is>
          <t>Закрытый, одно-, двухэтажный (со вторым светом), отапливаемый склад с адм.-бытовыми и тех. помещениями; оснащенный кран-балкой. Здание трапециевидной формы в плане, размеры 33,95х15,6(м); максимальная высота – 10,84(м). Фундаменты столбчатые монолитные, несущие конструкции – металлокаркас, обшитый сэндвич-панелями</t>
        </is>
      </c>
      <c r="E16" s="105" t="inlineStr">
        <is>
          <t>Здание склада - одноэтажное, предназначено для хранения материалов. Склад материалов имеет размер 9,0х18,0 м. высотой до конька кровли 9,216 м, выполнен в металлическом каркасе с ограждающими стеновыми конструкциями и покрытием из профилированного листа. Кровля – бесчердачная, двухскатная, с ограждением   Здание склада оборудовано подвесным краном грузоподъемностью 5,0 т.</t>
        </is>
      </c>
    </row>
    <row r="17" ht="124.9" customHeight="1" s="147">
      <c r="A17" s="239" t="n">
        <v>6</v>
      </c>
      <c r="B17" s="10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239" t="inlineStr">
        <is>
          <t>2 018,93/10224,89   ТЕР 4 квартал 2016 г.</t>
        </is>
      </c>
      <c r="D17" s="239" t="inlineStr">
        <is>
          <t>2 978,67/21313,1 ТЕР 3 квартал 2015 г.</t>
        </is>
      </c>
      <c r="E17" s="239" t="inlineStr">
        <is>
          <t>1488,02/21 001,33 1 квартал 2022 г.</t>
        </is>
      </c>
    </row>
    <row r="18" ht="31.35" customHeight="1" s="147">
      <c r="A18" s="151" t="inlineStr">
        <is>
          <t>6.1</t>
        </is>
      </c>
      <c r="B18" s="105" t="inlineStr">
        <is>
          <t>строительно-монтажные работы</t>
        </is>
      </c>
      <c r="C18" s="239" t="inlineStr">
        <is>
          <t>1 779,64/9 200,76</t>
        </is>
      </c>
      <c r="D18" s="239" t="inlineStr">
        <is>
          <t>2 769,22/20 412,32</t>
        </is>
      </c>
      <c r="E18" s="239" t="inlineStr">
        <is>
          <t>1 488,02/21 001,33</t>
        </is>
      </c>
    </row>
    <row r="19">
      <c r="A19" s="151" t="inlineStr">
        <is>
          <t>6.2</t>
        </is>
      </c>
      <c r="B19" s="105" t="inlineStr">
        <is>
          <t>оборудование и инвентарь</t>
        </is>
      </c>
      <c r="C19" s="239" t="inlineStr">
        <is>
          <t>239,28/1 024,13</t>
        </is>
      </c>
      <c r="D19" s="239" t="inlineStr">
        <is>
          <t>195,429/816,90</t>
        </is>
      </c>
      <c r="E19" s="239" t="n"/>
    </row>
    <row r="20">
      <c r="A20" s="151" t="inlineStr">
        <is>
          <t>6.3</t>
        </is>
      </c>
      <c r="B20" s="105" t="inlineStr">
        <is>
          <t>пусконаладочные работы</t>
        </is>
      </c>
      <c r="C20" s="239" t="n"/>
      <c r="D20" s="239" t="n"/>
      <c r="E20" s="239" t="n"/>
    </row>
    <row r="21" ht="31.35" customHeight="1" s="147">
      <c r="A21" s="151" t="inlineStr">
        <is>
          <t>6.4</t>
        </is>
      </c>
      <c r="B21" s="105" t="inlineStr">
        <is>
          <t>прочие и лимитированные затраты</t>
        </is>
      </c>
      <c r="C21" s="239" t="n"/>
      <c r="D21" s="239" t="inlineStr">
        <is>
          <t>14,026/83,876</t>
        </is>
      </c>
      <c r="E21" s="239" t="n"/>
      <c r="F21" s="108" t="n"/>
      <c r="G21" s="109" t="n"/>
      <c r="H21" s="110" t="n"/>
      <c r="J21" s="109" t="n"/>
    </row>
    <row r="22">
      <c r="A22" s="150" t="n">
        <v>7</v>
      </c>
      <c r="B22" s="105" t="inlineStr">
        <is>
          <t>Сопоставимый уровень цен</t>
        </is>
      </c>
      <c r="C22" s="239" t="inlineStr">
        <is>
          <t>1 кв. 2022</t>
        </is>
      </c>
      <c r="D22" s="239" t="inlineStr">
        <is>
          <t>1 кв. 2022</t>
        </is>
      </c>
      <c r="E22" s="239" t="inlineStr">
        <is>
          <t>1 кв. 2022</t>
        </is>
      </c>
    </row>
    <row r="23" ht="156.2" customHeight="1" s="147">
      <c r="A23" s="150" t="n">
        <v>8</v>
      </c>
      <c r="B23" s="1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12" t="n">
        <v>12656.239080348</v>
      </c>
      <c r="D23" s="112" t="n">
        <v>30482.028150156</v>
      </c>
      <c r="E23" s="112" t="n">
        <v>21001.33</v>
      </c>
    </row>
    <row r="24" ht="62.45" customHeight="1" s="147">
      <c r="A24" s="150" t="n">
        <v>9</v>
      </c>
      <c r="B24" s="105" t="inlineStr">
        <is>
          <t>Приведенная сметная стоимость на единицу мощности, тыс. руб. (строка 8/строку 4)</t>
        </is>
      </c>
      <c r="C24" s="241" t="n">
        <v>43.945274584542</v>
      </c>
      <c r="D24" s="241" t="n">
        <v>57.554526170001</v>
      </c>
      <c r="E24" s="241" t="n">
        <v>129.63783950617</v>
      </c>
    </row>
    <row r="25" ht="31.35" customHeight="1" s="147">
      <c r="A25" s="150" t="n">
        <v>10</v>
      </c>
      <c r="B25" s="105" t="inlineStr">
        <is>
          <t>Примечание</t>
        </is>
      </c>
      <c r="C25" s="239" t="inlineStr">
        <is>
          <t xml:space="preserve">Объект представитель </t>
        </is>
      </c>
      <c r="D25" s="239" t="n"/>
      <c r="E25" s="239" t="n"/>
      <c r="M25" s="242" t="n"/>
    </row>
    <row r="27" customFormat="1" s="149">
      <c r="B27" s="149" t="inlineStr">
        <is>
          <t>Составил ______________________         М.С. Колотиевская</t>
        </is>
      </c>
    </row>
    <row r="28" customFormat="1" s="149">
      <c r="B28" s="99" t="inlineStr">
        <is>
          <t xml:space="preserve">                         (подпись, инициалы, фамилия)</t>
        </is>
      </c>
    </row>
    <row r="29" customFormat="1" s="149"/>
    <row r="30" customFormat="1" s="149">
      <c r="B30" s="149" t="inlineStr">
        <is>
          <t>Проверил ______________________         М.С. Колотиевская</t>
        </is>
      </c>
    </row>
    <row r="31" customFormat="1" s="149">
      <c r="B31" s="99" t="inlineStr">
        <is>
          <t xml:space="preserve">                        (подпись, инициалы, фамилия)</t>
        </is>
      </c>
    </row>
  </sheetData>
  <mergeCells count="4">
    <mergeCell ref="B8:F8"/>
    <mergeCell ref="B6:F6"/>
    <mergeCell ref="B2:E2"/>
    <mergeCell ref="B3:F3"/>
  </mergeCells>
  <printOptions gridLines="0" gridLinesSet="1"/>
  <pageMargins left="0.7" right="0.7" top="0.75" bottom="0.75" header="0.3" footer="0.3"/>
  <pageSetup orientation="portrait" paperSize="9" scale="3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4"/>
  <sheetViews>
    <sheetView showGridLines="1" showRowColHeaders="1" tabSelected="0" view="pageBreakPreview" zoomScale="60" zoomScaleNormal="85" workbookViewId="0">
      <selection activeCell="P28" sqref="P28"/>
    </sheetView>
  </sheetViews>
  <sheetFormatPr baseColWidth="8" defaultColWidth="9.140625" defaultRowHeight="14.4" outlineLevelRow="0"/>
  <cols>
    <col width="5.42578125" customWidth="1" style="147" min="1" max="1"/>
    <col width="9.140625" customWidth="1" style="147" min="2" max="2"/>
    <col width="28.140625" customWidth="1" style="147" min="3" max="3"/>
    <col width="13.85546875" customWidth="1" style="147" min="4" max="4"/>
    <col width="39" customWidth="1" style="147" min="5" max="5"/>
    <col width="14.42578125" customWidth="1" style="147" min="6" max="6"/>
    <col width="21.42578125" customWidth="1" style="147" min="7" max="7"/>
    <col width="19.42578125" customWidth="1" style="147" min="8" max="8"/>
    <col width="13" customWidth="1" style="147" min="9" max="9"/>
    <col width="20.85546875" customWidth="1" style="147" min="10" max="10"/>
    <col width="18" customWidth="1" style="147" min="11" max="11"/>
    <col width="9.140625" customWidth="1" style="147" min="12" max="12"/>
  </cols>
  <sheetData>
    <row r="3" ht="15.6" customHeight="1" s="147">
      <c r="B3" s="212" t="inlineStr">
        <is>
          <t>Приложение № 2</t>
        </is>
      </c>
      <c r="K3" s="99" t="n"/>
    </row>
    <row r="4" ht="15.6" customHeight="1" s="147">
      <c r="B4" s="240" t="inlineStr">
        <is>
          <t>Расчет стоимости основных видов работ для выбора объекта-представителя</t>
        </is>
      </c>
    </row>
    <row r="5" ht="15.6" customHeight="1" s="147">
      <c r="B5" s="102" t="n"/>
      <c r="C5" s="102" t="n"/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 ht="15.6" customHeight="1" s="147">
      <c r="B6" s="201" t="inlineStr">
        <is>
          <t>Наименование разрабатываемого показателя УНЦ -  Демонтаж закрытого склада</t>
        </is>
      </c>
      <c r="L6" s="116" t="n"/>
    </row>
    <row r="7" ht="15.6" customHeight="1" s="147">
      <c r="B7" s="99" t="inlineStr">
        <is>
          <t>Единица измерения  — м2</t>
        </is>
      </c>
      <c r="C7" s="99" t="n"/>
      <c r="D7" s="99" t="n"/>
      <c r="E7" s="99" t="n"/>
      <c r="F7" s="99" t="n"/>
      <c r="G7" s="99" t="n"/>
      <c r="H7" s="99" t="n"/>
      <c r="I7" s="99" t="n"/>
      <c r="J7" s="99" t="n"/>
      <c r="K7" s="99" t="n"/>
      <c r="L7" s="116" t="n"/>
    </row>
    <row r="8" ht="18" customHeight="1" s="147">
      <c r="B8" s="117" t="n"/>
      <c r="K8" s="118" t="n"/>
    </row>
    <row r="9" ht="15.6" customFormat="1" customHeight="1" s="149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ПС 500 кВ Преображенская с заходами ВЛ 500 кВ Красноармейская-Газовая и ВЛ 220 кВ Бузулукская-Сорочинская</t>
        </is>
      </c>
      <c r="E9" s="243" t="n"/>
      <c r="F9" s="243" t="n"/>
      <c r="G9" s="243" t="n"/>
      <c r="H9" s="243" t="n"/>
      <c r="I9" s="243" t="n"/>
      <c r="J9" s="244" t="n"/>
    </row>
    <row r="10" ht="15.6" customFormat="1" customHeight="1" s="149">
      <c r="B10" s="245" t="n"/>
      <c r="C10" s="245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4 квартал 2016 г.., тыс. руб.</t>
        </is>
      </c>
      <c r="G10" s="243" t="n"/>
      <c r="H10" s="243" t="n"/>
      <c r="I10" s="243" t="n"/>
      <c r="J10" s="244" t="n"/>
    </row>
    <row r="11" ht="31.35" customFormat="1" customHeight="1" s="149">
      <c r="B11" s="246" t="n"/>
      <c r="C11" s="246" t="n"/>
      <c r="D11" s="246" t="n"/>
      <c r="E11" s="246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5.6" customFormat="1" customHeight="1" s="149">
      <c r="B12" s="239" t="n">
        <v>1</v>
      </c>
      <c r="C12" s="233" t="n"/>
      <c r="D12" s="123" t="inlineStr">
        <is>
          <t xml:space="preserve"> 03-06</t>
        </is>
      </c>
      <c r="E12" s="227" t="inlineStr">
        <is>
          <t>Закрытый холодный склад</t>
        </is>
      </c>
      <c r="F12" s="234" t="n">
        <v>9200.76</v>
      </c>
      <c r="G12" s="247" t="n"/>
      <c r="H12" s="247" t="n">
        <v>1024.13</v>
      </c>
      <c r="I12" s="234" t="n"/>
      <c r="J12" s="235" t="n">
        <v>10224.89</v>
      </c>
    </row>
    <row r="13" ht="15.6" customFormat="1" customHeight="1" s="149">
      <c r="B13" s="248" t="inlineStr">
        <is>
          <t>Всего по объекту:</t>
        </is>
      </c>
      <c r="C13" s="243" t="n"/>
      <c r="D13" s="243" t="n"/>
      <c r="E13" s="244" t="n"/>
      <c r="F13" s="249" t="n">
        <v>9200.76</v>
      </c>
      <c r="G13" s="249" t="n">
        <v>0</v>
      </c>
      <c r="H13" s="249" t="n">
        <v>1024.13</v>
      </c>
      <c r="I13" s="249" t="n">
        <v>0</v>
      </c>
      <c r="J13" s="249" t="n">
        <v>10224.89</v>
      </c>
    </row>
    <row r="14" ht="15.6" customFormat="1" customHeight="1" s="149">
      <c r="B14" s="248" t="inlineStr">
        <is>
          <t>Всего по объекту в сопоставимом уровне цен 1 кв. 2022г:</t>
        </is>
      </c>
      <c r="C14" s="243" t="n"/>
      <c r="D14" s="243" t="n"/>
      <c r="E14" s="244" t="n"/>
      <c r="F14" s="250" t="n">
        <v>12656.239080348</v>
      </c>
      <c r="G14" s="250" t="n">
        <v>0</v>
      </c>
      <c r="H14" s="250" t="n">
        <v>1408.7568993601</v>
      </c>
      <c r="I14" s="250" t="n">
        <v>0</v>
      </c>
      <c r="J14" s="250" t="n">
        <v>14064.995979708</v>
      </c>
    </row>
    <row r="15" ht="15.6" customFormat="1" customHeight="1" s="149">
      <c r="B15" s="201" t="n"/>
      <c r="C15" s="149" t="n"/>
      <c r="D15" s="149" t="n"/>
      <c r="E15" s="149" t="n"/>
      <c r="F15" s="149" t="n"/>
      <c r="G15" s="149" t="n"/>
      <c r="H15" s="149" t="n"/>
      <c r="I15" s="149" t="n"/>
      <c r="J15" s="149" t="n"/>
    </row>
    <row r="16" ht="15.6" customFormat="1" customHeight="1" s="149">
      <c r="B16" s="201" t="n"/>
      <c r="C16" s="149" t="n"/>
      <c r="D16" s="149" t="n"/>
      <c r="E16" s="149" t="n"/>
      <c r="F16" s="149" t="n"/>
      <c r="G16" s="149" t="n"/>
      <c r="H16" s="149" t="n"/>
      <c r="I16" s="149" t="n"/>
      <c r="J16" s="149" t="n"/>
    </row>
    <row r="17" ht="15.6" customFormat="1" customHeight="1" s="149">
      <c r="B17" s="201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22" t="n"/>
    </row>
    <row r="18" ht="51" customFormat="1" customHeight="1" s="149">
      <c r="B18" s="239" t="inlineStr">
        <is>
          <t>№ п/п</t>
        </is>
      </c>
      <c r="C18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239" t="inlineStr">
        <is>
          <t>Строительство базы Красногорского РЭС на территории ПС № 860 «Ильинская»</t>
        </is>
      </c>
      <c r="E18" s="243" t="n"/>
      <c r="F18" s="243" t="n"/>
      <c r="G18" s="243" t="n"/>
      <c r="H18" s="243" t="n"/>
      <c r="I18" s="243" t="n"/>
      <c r="J18" s="244" t="n"/>
    </row>
    <row r="19" ht="15.6" customFormat="1" customHeight="1" s="149">
      <c r="B19" s="245" t="n"/>
      <c r="C19" s="245" t="n"/>
      <c r="D19" s="239" t="inlineStr">
        <is>
          <t>Номер сметы</t>
        </is>
      </c>
      <c r="E19" s="239" t="inlineStr">
        <is>
          <t>Наименование сметы</t>
        </is>
      </c>
      <c r="F19" s="239" t="inlineStr">
        <is>
          <t>Сметная стоимость в уровне цен  3 квартал 2015 г.., тыс. руб.</t>
        </is>
      </c>
      <c r="G19" s="243" t="n"/>
      <c r="H19" s="243" t="n"/>
      <c r="I19" s="243" t="n"/>
      <c r="J19" s="244" t="n"/>
    </row>
    <row r="20" ht="45" customFormat="1" customHeight="1" s="149">
      <c r="B20" s="246" t="n"/>
      <c r="C20" s="246" t="n"/>
      <c r="D20" s="246" t="n"/>
      <c r="E20" s="246" t="n"/>
      <c r="F20" s="239" t="inlineStr">
        <is>
          <t>Строительные работы</t>
        </is>
      </c>
      <c r="G20" s="239" t="inlineStr">
        <is>
          <t>Монтажные работы</t>
        </is>
      </c>
      <c r="H20" s="239" t="inlineStr">
        <is>
          <t>Оборудование</t>
        </is>
      </c>
      <c r="I20" s="239" t="inlineStr">
        <is>
          <t>Прочее</t>
        </is>
      </c>
      <c r="J20" s="239" t="inlineStr">
        <is>
          <t>Всего</t>
        </is>
      </c>
    </row>
    <row r="21" ht="15.6" customFormat="1" customHeight="1" s="149">
      <c r="B21" s="239" t="n">
        <v>1</v>
      </c>
      <c r="C21" s="233" t="n"/>
      <c r="D21" s="123" t="inlineStr">
        <is>
          <t xml:space="preserve">_03.1-02 </t>
        </is>
      </c>
      <c r="E21" s="227" t="inlineStr">
        <is>
          <t xml:space="preserve"> Здание склада</t>
        </is>
      </c>
      <c r="F21" s="234" t="n">
        <v>20412.32</v>
      </c>
      <c r="G21" s="247" t="n"/>
      <c r="H21" s="247" t="n">
        <v>816.9</v>
      </c>
      <c r="I21" s="234" t="n"/>
      <c r="J21" s="235" t="n">
        <v>21229.22</v>
      </c>
    </row>
    <row r="22" ht="15.6" customFormat="1" customHeight="1" s="149">
      <c r="B22" s="248" t="inlineStr">
        <is>
          <t>Всего по объекту:</t>
        </is>
      </c>
      <c r="C22" s="243" t="n"/>
      <c r="D22" s="243" t="n"/>
      <c r="E22" s="244" t="n"/>
      <c r="F22" s="249" t="n">
        <v>20412.32</v>
      </c>
      <c r="G22" s="249" t="n">
        <v>0</v>
      </c>
      <c r="H22" s="249" t="n">
        <v>816.9</v>
      </c>
      <c r="I22" s="249" t="n">
        <v>0</v>
      </c>
      <c r="J22" s="249" t="n">
        <v>21229.22</v>
      </c>
    </row>
    <row r="23" ht="15.6" customFormat="1" customHeight="1" s="149">
      <c r="B23" s="248" t="inlineStr">
        <is>
          <t>Всего по объекту в сопоставимом уровне цен 1 кв. 2022г:</t>
        </is>
      </c>
      <c r="C23" s="243" t="n"/>
      <c r="D23" s="243" t="n"/>
      <c r="E23" s="244" t="n"/>
      <c r="F23" s="250" t="n">
        <v>30482.028150155</v>
      </c>
      <c r="G23" s="250" t="n">
        <v>0</v>
      </c>
      <c r="H23" s="250" t="n">
        <v>1219.8892039642</v>
      </c>
      <c r="I23" s="250" t="n">
        <v>0</v>
      </c>
      <c r="J23" s="250" t="n">
        <v>31701.917354119</v>
      </c>
    </row>
    <row r="24" ht="15.6" customFormat="1" customHeight="1" s="149">
      <c r="B24" s="201" t="n"/>
      <c r="C24" s="149" t="n"/>
      <c r="D24" s="149" t="n"/>
      <c r="E24" s="149" t="n"/>
      <c r="F24" s="149" t="n"/>
      <c r="G24" s="149" t="n"/>
      <c r="H24" s="149" t="n"/>
      <c r="I24" s="149" t="n"/>
      <c r="J24" s="149" t="n"/>
    </row>
    <row r="25"/>
    <row r="26" ht="15.6" customFormat="1" customHeight="1" s="149">
      <c r="B26" s="201" t="n"/>
      <c r="C26" s="149" t="n"/>
      <c r="D26" s="149" t="n"/>
      <c r="E26" s="149" t="n"/>
      <c r="F26" s="149" t="n"/>
      <c r="G26" s="149" t="n"/>
      <c r="H26" s="149" t="n"/>
      <c r="I26" s="149" t="n"/>
      <c r="J26" s="149" t="n"/>
    </row>
    <row r="27" ht="15.6" customFormat="1" customHeight="1" s="149">
      <c r="B27" s="201" t="n"/>
      <c r="C27" s="149" t="n"/>
      <c r="D27" s="149" t="n"/>
      <c r="E27" s="149" t="n"/>
      <c r="F27" s="149" t="n"/>
      <c r="G27" s="149" t="n"/>
      <c r="H27" s="149" t="n"/>
      <c r="I27" s="149" t="n"/>
      <c r="J27" s="149" t="n"/>
      <c r="K27" s="122" t="n"/>
    </row>
    <row r="28" ht="15.6" customFormat="1" customHeight="1" s="149">
      <c r="B28" s="239" t="inlineStr">
        <is>
          <t>№ п/п</t>
        </is>
      </c>
      <c r="C28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8" s="239" t="inlineStr">
        <is>
          <t>Строительство ВЛ 220 кВ Зилово – Холбон (II этап строительства) (ПС 220 кВ «Жирекен»)</t>
        </is>
      </c>
      <c r="E28" s="243" t="n"/>
      <c r="F28" s="243" t="n"/>
      <c r="G28" s="243" t="n"/>
      <c r="H28" s="243" t="n"/>
      <c r="I28" s="243" t="n"/>
      <c r="J28" s="244" t="n"/>
    </row>
    <row r="29" ht="15.6" customFormat="1" customHeight="1" s="149">
      <c r="B29" s="245" t="n"/>
      <c r="C29" s="245" t="n"/>
      <c r="D29" s="239" t="inlineStr">
        <is>
          <t>Номер сметы</t>
        </is>
      </c>
      <c r="E29" s="239" t="inlineStr">
        <is>
          <t>Наименование сметы</t>
        </is>
      </c>
      <c r="F29" s="239" t="inlineStr">
        <is>
          <t>Сметная стоимость в уровне цен 1 квартал 2022 г.., тыс. руб.</t>
        </is>
      </c>
      <c r="G29" s="243" t="n"/>
      <c r="H29" s="243" t="n"/>
      <c r="I29" s="243" t="n"/>
      <c r="J29" s="244" t="n"/>
    </row>
    <row r="30" ht="31.35" customFormat="1" customHeight="1" s="149">
      <c r="B30" s="246" t="n"/>
      <c r="C30" s="246" t="n"/>
      <c r="D30" s="246" t="n"/>
      <c r="E30" s="246" t="n"/>
      <c r="F30" s="239" t="inlineStr">
        <is>
          <t>Строительные работы</t>
        </is>
      </c>
      <c r="G30" s="239" t="inlineStr">
        <is>
          <t>Монтажные работы</t>
        </is>
      </c>
      <c r="H30" s="239" t="inlineStr">
        <is>
          <t>Оборудование</t>
        </is>
      </c>
      <c r="I30" s="239" t="inlineStr">
        <is>
          <t>Прочее</t>
        </is>
      </c>
      <c r="J30" s="239" t="inlineStr">
        <is>
          <t>Всего</t>
        </is>
      </c>
    </row>
    <row r="31" ht="15.6" customFormat="1" customHeight="1" s="149">
      <c r="B31" s="239" t="n"/>
      <c r="C31" s="233" t="n"/>
      <c r="D31" s="123" t="inlineStr">
        <is>
          <t xml:space="preserve"> 02.03-01-01 </t>
        </is>
      </c>
      <c r="E31" s="227" t="inlineStr">
        <is>
          <t xml:space="preserve"> Здание склада.</t>
        </is>
      </c>
      <c r="F31" s="234" t="n">
        <v>21001.33</v>
      </c>
      <c r="G31" s="235" t="n"/>
      <c r="H31" s="235" t="n"/>
      <c r="I31" s="234" t="n"/>
      <c r="J31" s="235" t="n">
        <v>21001.33</v>
      </c>
    </row>
    <row r="32" ht="15.6" customFormat="1" customHeight="1" s="149">
      <c r="B32" s="248" t="inlineStr">
        <is>
          <t>Всего по объекту:</t>
        </is>
      </c>
      <c r="C32" s="243" t="n"/>
      <c r="D32" s="243" t="n"/>
      <c r="E32" s="244" t="n"/>
      <c r="F32" s="249" t="n">
        <v>21001.33</v>
      </c>
      <c r="G32" s="249" t="n">
        <v>0</v>
      </c>
      <c r="H32" s="249" t="n">
        <v>0</v>
      </c>
      <c r="I32" s="249" t="n">
        <v>0</v>
      </c>
      <c r="J32" s="249" t="n">
        <v>21001.33</v>
      </c>
    </row>
    <row r="33" ht="15.6" customFormat="1" customHeight="1" s="149">
      <c r="B33" s="248" t="inlineStr">
        <is>
          <t>Всего по объекту в сопоставимом уровне цен 1 кв. 2022г:</t>
        </is>
      </c>
      <c r="C33" s="243" t="n"/>
      <c r="D33" s="243" t="n"/>
      <c r="E33" s="244" t="n"/>
      <c r="F33" s="250" t="n">
        <v>21001.33</v>
      </c>
      <c r="G33" s="250" t="n">
        <v>0</v>
      </c>
      <c r="H33" s="250" t="n">
        <v>0</v>
      </c>
      <c r="I33" s="250" t="n">
        <v>0</v>
      </c>
      <c r="J33" s="250" t="n">
        <v>21001.33</v>
      </c>
    </row>
    <row r="34" ht="15.6" customFormat="1" customHeight="1" s="149">
      <c r="B34" s="201" t="n"/>
      <c r="C34" s="149" t="n"/>
      <c r="D34" s="149" t="n"/>
      <c r="E34" s="149" t="n"/>
      <c r="F34" s="149" t="n"/>
      <c r="G34" s="149" t="n"/>
      <c r="H34" s="149" t="n"/>
      <c r="I34" s="149" t="n"/>
      <c r="J34" s="149" t="n"/>
    </row>
    <row r="35" ht="15.6" customFormat="1" customHeight="1" s="149">
      <c r="B35" s="149" t="n"/>
      <c r="C35" s="149" t="n"/>
      <c r="D35" s="149" t="n"/>
      <c r="E35" s="149" t="n"/>
      <c r="F35" s="149" t="n"/>
      <c r="G35" s="149" t="n"/>
      <c r="H35" s="149" t="n"/>
      <c r="I35" s="149" t="n"/>
      <c r="J35" s="149" t="n"/>
    </row>
    <row r="36" ht="15.6" customFormat="1" customHeight="1" s="149"/>
    <row r="37" ht="15.6" customFormat="1" customHeight="1" s="149"/>
    <row r="38" ht="15.6" customFormat="1" customHeight="1" s="149"/>
    <row r="39" ht="15.6" customFormat="1" customHeight="1" s="149">
      <c r="C39" s="149" t="inlineStr">
        <is>
          <t>Составил ______________________         М.С. Колотиевская</t>
        </is>
      </c>
    </row>
    <row r="40" ht="15.6" customFormat="1" customHeight="1" s="149">
      <c r="C40" s="99" t="inlineStr">
        <is>
          <t xml:space="preserve">                         (подпись, инициалы, фамилия)</t>
        </is>
      </c>
    </row>
    <row r="41" ht="15.6" customFormat="1" customHeight="1" s="149"/>
    <row r="42" ht="15.6" customHeight="1" s="147">
      <c r="B42" s="149" t="n"/>
      <c r="C42" s="149" t="inlineStr">
        <is>
          <t>Проверил ______________________         М.С. Колотиевская</t>
        </is>
      </c>
      <c r="D42" s="149" t="n"/>
      <c r="E42" s="149" t="n"/>
      <c r="F42" s="149" t="n"/>
      <c r="G42" s="149" t="n"/>
      <c r="H42" s="149" t="n"/>
      <c r="I42" s="149" t="n"/>
      <c r="J42" s="149" t="n"/>
    </row>
    <row r="43" ht="15.6" customHeight="1" s="147">
      <c r="B43" s="149" t="n"/>
      <c r="C43" s="99" t="inlineStr">
        <is>
          <t xml:space="preserve">                        (подпись, инициалы, фамилия)</t>
        </is>
      </c>
      <c r="D43" s="149" t="n"/>
      <c r="E43" s="149" t="n"/>
      <c r="F43" s="149" t="n"/>
      <c r="G43" s="149" t="n"/>
      <c r="H43" s="149" t="n"/>
      <c r="I43" s="149" t="n"/>
      <c r="J43" s="149" t="n"/>
    </row>
    <row r="44" ht="15.6" customHeight="1" s="147"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49" t="n"/>
    </row>
  </sheetData>
  <mergeCells count="27">
    <mergeCell ref="D28:J28"/>
    <mergeCell ref="F29:J29"/>
    <mergeCell ref="D18:J18"/>
    <mergeCell ref="D9:J9"/>
    <mergeCell ref="F10:J10"/>
    <mergeCell ref="F19:J19"/>
    <mergeCell ref="B33:E33"/>
    <mergeCell ref="E29:E30"/>
    <mergeCell ref="B6:K6"/>
    <mergeCell ref="E19:E20"/>
    <mergeCell ref="E10:E11"/>
    <mergeCell ref="B32:E32"/>
    <mergeCell ref="B4:K4"/>
    <mergeCell ref="C28:C30"/>
    <mergeCell ref="C18:C20"/>
    <mergeCell ref="B22:E22"/>
    <mergeCell ref="B18:B20"/>
    <mergeCell ref="D29:D30"/>
    <mergeCell ref="B14:E14"/>
    <mergeCell ref="D19:D20"/>
    <mergeCell ref="B23:E23"/>
    <mergeCell ref="B3:J3"/>
    <mergeCell ref="D10:D11"/>
    <mergeCell ref="B13:E13"/>
    <mergeCell ref="B9:B11"/>
    <mergeCell ref="B28:B30"/>
    <mergeCell ref="C9:C11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270"/>
  <sheetViews>
    <sheetView showGridLines="1" showRowColHeaders="1" tabSelected="0" view="pageBreakPreview" topLeftCell="A251" zoomScale="60" workbookViewId="0">
      <selection activeCell="O16" sqref="O16"/>
    </sheetView>
  </sheetViews>
  <sheetFormatPr baseColWidth="8" defaultColWidth="9.140625" defaultRowHeight="14.4" outlineLevelRow="0"/>
  <cols>
    <col width="9.140625" customWidth="1" style="147" min="1" max="1"/>
    <col width="12.42578125" customWidth="1" style="147" min="2" max="2"/>
    <col width="17" customWidth="1" style="147" min="3" max="3"/>
    <col width="49.5703125" customWidth="1" style="147" min="4" max="4"/>
    <col width="16.42578125" customWidth="1" style="147" min="5" max="5"/>
    <col width="20.5703125" customWidth="1" style="147" min="6" max="6"/>
    <col width="16.140625" customWidth="1" style="147" min="7" max="7"/>
    <col width="16.5703125" customWidth="1" style="147" min="8" max="8"/>
    <col width="9.140625" customWidth="1" style="147" min="9" max="9"/>
  </cols>
  <sheetData>
    <row r="2" ht="15.6" customHeight="1" s="147">
      <c r="A2" s="202" t="inlineStr">
        <is>
          <t xml:space="preserve">Приложение № 3 </t>
        </is>
      </c>
    </row>
    <row r="3" ht="17.45" customHeight="1" s="147">
      <c r="A3" s="216" t="inlineStr">
        <is>
          <t>Объектная ресурсная ведомость</t>
        </is>
      </c>
    </row>
    <row r="4" ht="18.75" customHeight="1" s="147">
      <c r="A4" s="216" t="n"/>
      <c r="B4" s="216" t="n"/>
      <c r="C4" s="21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49" t="n"/>
      <c r="J4" s="149" t="n"/>
      <c r="K4" s="149" t="n"/>
      <c r="L4" s="149" t="n"/>
    </row>
    <row r="5" ht="18" customHeight="1" s="147">
      <c r="A5" s="117" t="n"/>
    </row>
    <row r="6" ht="15.6" customHeight="1" s="147">
      <c r="A6" s="218" t="inlineStr">
        <is>
          <t>Наименование разрабатываемого показателя УНЦ -  Демонтаж закрытого склада</t>
        </is>
      </c>
    </row>
    <row r="7" ht="15.6" customFormat="1" customHeight="1" s="149">
      <c r="A7" s="126" t="n"/>
      <c r="B7" s="126" t="n"/>
      <c r="C7" s="126" t="n"/>
      <c r="D7" s="126" t="n"/>
      <c r="E7" s="126" t="n"/>
      <c r="F7" s="126" t="n"/>
      <c r="G7" s="126" t="n"/>
      <c r="H7" s="126" t="n"/>
    </row>
    <row r="8" ht="38.25" customFormat="1" customHeight="1" s="149">
      <c r="A8" s="208" t="inlineStr">
        <is>
          <t>п/п</t>
        </is>
      </c>
      <c r="B8" s="208" t="inlineStr">
        <is>
          <t>№ЛСР</t>
        </is>
      </c>
      <c r="C8" s="208" t="inlineStr">
        <is>
          <t>Код ресурса</t>
        </is>
      </c>
      <c r="D8" s="208" t="inlineStr">
        <is>
          <t>Наименование ресурса</t>
        </is>
      </c>
      <c r="E8" s="208" t="inlineStr">
        <is>
          <t>Ед. изм.</t>
        </is>
      </c>
      <c r="F8" s="208" t="inlineStr">
        <is>
          <t>Кол-во единиц по данным объекта-представителя</t>
        </is>
      </c>
      <c r="G8" s="208" t="inlineStr">
        <is>
          <t>Сметная стоимость в ценах на 01.01.2000 (руб.)</t>
        </is>
      </c>
      <c r="H8" s="251" t="n"/>
    </row>
    <row r="9" ht="40.7" customFormat="1" customHeight="1" s="149">
      <c r="A9" s="246" t="n"/>
      <c r="B9" s="246" t="n"/>
      <c r="C9" s="246" t="n"/>
      <c r="D9" s="246" t="n"/>
      <c r="E9" s="246" t="n"/>
      <c r="F9" s="246" t="n"/>
      <c r="G9" s="239" t="inlineStr">
        <is>
          <t>на ед.изм.</t>
        </is>
      </c>
      <c r="H9" s="239" t="inlineStr">
        <is>
          <t>общая</t>
        </is>
      </c>
    </row>
    <row r="10" ht="15.6" customFormat="1" customHeight="1" s="149">
      <c r="A10" s="239" t="n">
        <v>1</v>
      </c>
      <c r="B10" s="239" t="n"/>
      <c r="C10" s="239" t="n">
        <v>2</v>
      </c>
      <c r="D10" s="239" t="inlineStr">
        <is>
          <t>З</t>
        </is>
      </c>
      <c r="E10" s="239" t="n">
        <v>4</v>
      </c>
      <c r="F10" s="239" t="n">
        <v>5</v>
      </c>
      <c r="G10" s="239" t="n">
        <v>6</v>
      </c>
      <c r="H10" s="239" t="n">
        <v>7</v>
      </c>
    </row>
    <row r="11" ht="15.6" customFormat="1" customHeight="1" s="15">
      <c r="A11" s="213" t="inlineStr">
        <is>
          <t>Затраты труда рабочих</t>
        </is>
      </c>
      <c r="B11" s="243" t="n"/>
      <c r="C11" s="243" t="n"/>
      <c r="D11" s="243" t="n"/>
      <c r="E11" s="244" t="n"/>
      <c r="F11" s="213" t="n">
        <v>6270.2567869</v>
      </c>
      <c r="G11" s="17" t="n"/>
      <c r="H11" s="17">
        <f>SUM(H12:H35)</f>
        <v/>
      </c>
    </row>
    <row r="12" ht="15.6" customFormat="1" customHeight="1" s="149">
      <c r="A12" s="214" t="n">
        <v>1</v>
      </c>
      <c r="B12" s="214" t="n"/>
      <c r="C12" s="215" t="inlineStr">
        <is>
          <t>1-100-33</t>
        </is>
      </c>
      <c r="D12" s="215" t="inlineStr">
        <is>
          <t>Затраты труда рабочих (ср 3,3)</t>
        </is>
      </c>
      <c r="E12" s="214" t="inlineStr">
        <is>
          <t>чел.-ч</t>
        </is>
      </c>
      <c r="F12" s="214" t="n">
        <v>1656</v>
      </c>
      <c r="G12" s="231" t="n">
        <v>8.859999999999999</v>
      </c>
      <c r="H12" s="231">
        <f>ROUND(F12*G12,2)</f>
        <v/>
      </c>
    </row>
    <row r="13" ht="15.6" customFormat="1" customHeight="1" s="149">
      <c r="A13" s="214" t="n">
        <v>2</v>
      </c>
      <c r="B13" s="214" t="n"/>
      <c r="C13" s="215" t="inlineStr">
        <is>
          <t>1-100-38</t>
        </is>
      </c>
      <c r="D13" s="215" t="inlineStr">
        <is>
          <t>Затраты труда рабочих (ср 3,8)</t>
        </is>
      </c>
      <c r="E13" s="214" t="inlineStr">
        <is>
          <t>чел.-ч</t>
        </is>
      </c>
      <c r="F13" s="214" t="n">
        <v>877.0414391</v>
      </c>
      <c r="G13" s="231" t="n">
        <v>9.4</v>
      </c>
      <c r="H13" s="231">
        <f>ROUND(F13*G13,2)</f>
        <v/>
      </c>
    </row>
    <row r="14" ht="15.6" customFormat="1" customHeight="1" s="149">
      <c r="A14" s="214" t="n">
        <v>3</v>
      </c>
      <c r="B14" s="214" t="n"/>
      <c r="C14" s="215" t="inlineStr">
        <is>
          <t>1-100-36</t>
        </is>
      </c>
      <c r="D14" s="215" t="inlineStr">
        <is>
          <t>Затраты труда рабочих (ср 3,6)</t>
        </is>
      </c>
      <c r="E14" s="214" t="inlineStr">
        <is>
          <t>чел.-ч</t>
        </is>
      </c>
      <c r="F14" s="214" t="n">
        <v>569.7478733</v>
      </c>
      <c r="G14" s="231" t="n">
        <v>9.18</v>
      </c>
      <c r="H14" s="231">
        <f>ROUND(F14*G14,2)</f>
        <v/>
      </c>
    </row>
    <row r="15" ht="15.6" customFormat="1" customHeight="1" s="149">
      <c r="A15" s="214" t="n">
        <v>4</v>
      </c>
      <c r="B15" s="214" t="n"/>
      <c r="C15" s="215" t="inlineStr">
        <is>
          <t>1-100-30</t>
        </is>
      </c>
      <c r="D15" s="215" t="inlineStr">
        <is>
          <t>Затраты труда рабочих (ср 3)</t>
        </is>
      </c>
      <c r="E15" s="214" t="inlineStr">
        <is>
          <t>чел.-ч</t>
        </is>
      </c>
      <c r="F15" s="214" t="n">
        <v>403.18052</v>
      </c>
      <c r="G15" s="231" t="n">
        <v>8.529999999999999</v>
      </c>
      <c r="H15" s="231">
        <f>ROUND(F15*G15,2)</f>
        <v/>
      </c>
    </row>
    <row r="16" ht="15.6" customFormat="1" customHeight="1" s="149">
      <c r="A16" s="214" t="n">
        <v>5</v>
      </c>
      <c r="B16" s="214" t="n"/>
      <c r="C16" s="215" t="inlineStr">
        <is>
          <t>1-100-40</t>
        </is>
      </c>
      <c r="D16" s="215" t="inlineStr">
        <is>
          <t>Затраты труда рабочих (ср 4)</t>
        </is>
      </c>
      <c r="E16" s="214" t="inlineStr">
        <is>
          <t>чел.-ч</t>
        </is>
      </c>
      <c r="F16" s="214" t="n">
        <v>348.3707</v>
      </c>
      <c r="G16" s="231" t="n">
        <v>9.619999999999999</v>
      </c>
      <c r="H16" s="231">
        <f>ROUND(F16*G16,2)</f>
        <v/>
      </c>
    </row>
    <row r="17" ht="15.6" customFormat="1" customHeight="1" s="149">
      <c r="A17" s="214" t="n">
        <v>6</v>
      </c>
      <c r="B17" s="214" t="n"/>
      <c r="C17" s="215" t="inlineStr">
        <is>
          <t>1-100-29</t>
        </is>
      </c>
      <c r="D17" s="215" t="inlineStr">
        <is>
          <t>Затраты труда рабочих (ср 2,9)</t>
        </is>
      </c>
      <c r="E17" s="214" t="inlineStr">
        <is>
          <t>чел.-ч</t>
        </is>
      </c>
      <c r="F17" s="214" t="n">
        <v>251.6968</v>
      </c>
      <c r="G17" s="231" t="n">
        <v>8.460000000000001</v>
      </c>
      <c r="H17" s="231">
        <f>ROUND(F17*G17,2)</f>
        <v/>
      </c>
    </row>
    <row r="18" ht="15.6" customFormat="1" customHeight="1" s="149">
      <c r="A18" s="214" t="n">
        <v>7</v>
      </c>
      <c r="B18" s="214" t="n"/>
      <c r="C18" s="215" t="inlineStr">
        <is>
          <t>1-100-32</t>
        </is>
      </c>
      <c r="D18" s="215" t="inlineStr">
        <is>
          <t>Затраты труда рабочих (ср 3,2)</t>
        </is>
      </c>
      <c r="E18" s="214" t="inlineStr">
        <is>
          <t>чел.-ч</t>
        </is>
      </c>
      <c r="F18" s="214" t="n">
        <v>207.1794071</v>
      </c>
      <c r="G18" s="231" t="n">
        <v>8.74</v>
      </c>
      <c r="H18" s="231">
        <f>ROUND(F18*G18,2)</f>
        <v/>
      </c>
    </row>
    <row r="19" ht="15.6" customFormat="1" customHeight="1" s="149">
      <c r="A19" s="214" t="n">
        <v>8</v>
      </c>
      <c r="B19" s="214" t="n"/>
      <c r="C19" s="215" t="inlineStr">
        <is>
          <t>1-100-27</t>
        </is>
      </c>
      <c r="D19" s="215" t="inlineStr">
        <is>
          <t>Затраты труда рабочих (ср 2,7)</t>
        </is>
      </c>
      <c r="E19" s="214" t="inlineStr">
        <is>
          <t>чел.-ч</t>
        </is>
      </c>
      <c r="F19" s="214" t="n">
        <v>215.0908</v>
      </c>
      <c r="G19" s="231" t="n">
        <v>8.31</v>
      </c>
      <c r="H19" s="231">
        <f>ROUND(F19*G19,2)</f>
        <v/>
      </c>
    </row>
    <row r="20" ht="15.6" customFormat="1" customHeight="1" s="149">
      <c r="A20" s="214" t="n">
        <v>9</v>
      </c>
      <c r="B20" s="214" t="n"/>
      <c r="C20" s="215" t="inlineStr">
        <is>
          <t>1-100-28</t>
        </is>
      </c>
      <c r="D20" s="215" t="inlineStr">
        <is>
          <t>Затраты труда рабочих (ср 2,8)</t>
        </is>
      </c>
      <c r="E20" s="214" t="inlineStr">
        <is>
          <t>чел.-ч</t>
        </is>
      </c>
      <c r="F20" s="214" t="n">
        <v>210.9441</v>
      </c>
      <c r="G20" s="231" t="n">
        <v>8.380000000000001</v>
      </c>
      <c r="H20" s="231">
        <f>ROUND(F20*G20,2)</f>
        <v/>
      </c>
    </row>
    <row r="21" ht="15.6" customFormat="1" customHeight="1" s="149">
      <c r="A21" s="214" t="n">
        <v>10</v>
      </c>
      <c r="B21" s="214" t="n"/>
      <c r="C21" s="215" t="inlineStr">
        <is>
          <t>1-100-22</t>
        </is>
      </c>
      <c r="D21" s="215" t="inlineStr">
        <is>
          <t>Затраты труда рабочих (ср 2,2)</t>
        </is>
      </c>
      <c r="E21" s="214" t="inlineStr">
        <is>
          <t>чел.-ч</t>
        </is>
      </c>
      <c r="F21" s="214" t="n">
        <v>211.2902</v>
      </c>
      <c r="G21" s="231" t="n">
        <v>7.94</v>
      </c>
      <c r="H21" s="231">
        <f>ROUND(F21*G21,2)</f>
        <v/>
      </c>
    </row>
    <row r="22" ht="15.6" customFormat="1" customHeight="1" s="149">
      <c r="A22" s="214" t="n">
        <v>11</v>
      </c>
      <c r="B22" s="214" t="n"/>
      <c r="C22" s="215" t="inlineStr">
        <is>
          <t>1-100-35</t>
        </is>
      </c>
      <c r="D22" s="215" t="inlineStr">
        <is>
          <t>Затраты труда рабочих (ср 3,5)</t>
        </is>
      </c>
      <c r="E22" s="214" t="inlineStr">
        <is>
          <t>чел.-ч</t>
        </is>
      </c>
      <c r="F22" s="214" t="n">
        <v>176.780608</v>
      </c>
      <c r="G22" s="231" t="n">
        <v>9.07</v>
      </c>
      <c r="H22" s="231">
        <f>ROUND(F22*G22,2)</f>
        <v/>
      </c>
    </row>
    <row r="23" ht="15.6" customFormat="1" customHeight="1" s="149">
      <c r="A23" s="214" t="n">
        <v>12</v>
      </c>
      <c r="B23" s="214" t="n"/>
      <c r="C23" s="215" t="inlineStr">
        <is>
          <t>1-100-42</t>
        </is>
      </c>
      <c r="D23" s="215" t="inlineStr">
        <is>
          <t>Затраты труда рабочих (ср 4,2)</t>
        </is>
      </c>
      <c r="E23" s="214" t="inlineStr">
        <is>
          <t>чел.-ч</t>
        </is>
      </c>
      <c r="F23" s="214" t="n">
        <v>141.50955</v>
      </c>
      <c r="G23" s="231" t="n">
        <v>9.92</v>
      </c>
      <c r="H23" s="231">
        <f>ROUND(F23*G23,2)</f>
        <v/>
      </c>
    </row>
    <row r="24" ht="15.6" customFormat="1" customHeight="1" s="149">
      <c r="A24" s="214" t="n">
        <v>13</v>
      </c>
      <c r="B24" s="214" t="n"/>
      <c r="C24" s="215" t="inlineStr">
        <is>
          <t>1-100-44</t>
        </is>
      </c>
      <c r="D24" s="215" t="inlineStr">
        <is>
          <t>Затраты труда рабочих (ср 4,4)</t>
        </is>
      </c>
      <c r="E24" s="214" t="inlineStr">
        <is>
          <t>чел.-ч</t>
        </is>
      </c>
      <c r="F24" s="214" t="n">
        <v>129.5730228</v>
      </c>
      <c r="G24" s="231" t="n">
        <v>10.21</v>
      </c>
      <c r="H24" s="231">
        <f>ROUND(F24*G24,2)</f>
        <v/>
      </c>
    </row>
    <row r="25" ht="15.6" customFormat="1" customHeight="1" s="149">
      <c r="A25" s="214" t="n">
        <v>14</v>
      </c>
      <c r="B25" s="214" t="n"/>
      <c r="C25" s="215" t="inlineStr">
        <is>
          <t>1-100-15</t>
        </is>
      </c>
      <c r="D25" s="215" t="inlineStr">
        <is>
          <t>Затраты труда рабочих (ср 1,5)</t>
        </is>
      </c>
      <c r="E25" s="214" t="inlineStr">
        <is>
          <t>чел.-ч</t>
        </is>
      </c>
      <c r="F25" s="214" t="n">
        <v>160.185</v>
      </c>
      <c r="G25" s="231" t="n">
        <v>7.5</v>
      </c>
      <c r="H25" s="231">
        <f>ROUND(F25*G25,2)</f>
        <v/>
      </c>
    </row>
    <row r="26" ht="15.6" customFormat="1" customHeight="1" s="149">
      <c r="A26" s="214" t="n">
        <v>15</v>
      </c>
      <c r="B26" s="214" t="n"/>
      <c r="C26" s="215" t="inlineStr">
        <is>
          <t>1-100-20</t>
        </is>
      </c>
      <c r="D26" s="215" t="inlineStr">
        <is>
          <t>Затраты труда рабочих (ср 2)</t>
        </is>
      </c>
      <c r="E26" s="214" t="inlineStr">
        <is>
          <t>чел.-ч</t>
        </is>
      </c>
      <c r="F26" s="214" t="n">
        <v>146.84</v>
      </c>
      <c r="G26" s="231" t="n">
        <v>7.8</v>
      </c>
      <c r="H26" s="231">
        <f>ROUND(F26*G26,2)</f>
        <v/>
      </c>
    </row>
    <row r="27" ht="15.6" customFormat="1" customHeight="1" s="149">
      <c r="A27" s="214" t="n">
        <v>16</v>
      </c>
      <c r="B27" s="214" t="n"/>
      <c r="C27" s="215" t="inlineStr">
        <is>
          <t>1-100-31</t>
        </is>
      </c>
      <c r="D27" s="215" t="inlineStr">
        <is>
          <t>Затраты труда рабочих (ср 3,1)</t>
        </is>
      </c>
      <c r="E27" s="214" t="inlineStr">
        <is>
          <t>чел.-ч</t>
        </is>
      </c>
      <c r="F27" s="214" t="n">
        <v>124.8</v>
      </c>
      <c r="G27" s="231" t="n">
        <v>8.640000000000001</v>
      </c>
      <c r="H27" s="231">
        <f>ROUND(F27*G27,2)</f>
        <v/>
      </c>
    </row>
    <row r="28" ht="15.6" customFormat="1" customHeight="1" s="149">
      <c r="A28" s="214" t="n">
        <v>17</v>
      </c>
      <c r="B28" s="214" t="n"/>
      <c r="C28" s="215" t="inlineStr">
        <is>
          <t>1-100-39</t>
        </is>
      </c>
      <c r="D28" s="215" t="inlineStr">
        <is>
          <t>Затраты труда рабочих (ср 3,9)</t>
        </is>
      </c>
      <c r="E28" s="214" t="inlineStr">
        <is>
          <t>чел.-ч</t>
        </is>
      </c>
      <c r="F28" s="214" t="n">
        <v>95.0904</v>
      </c>
      <c r="G28" s="231" t="n">
        <v>9.51</v>
      </c>
      <c r="H28" s="231">
        <f>ROUND(F28*G28,2)</f>
        <v/>
      </c>
    </row>
    <row r="29" ht="15.6" customFormat="1" customHeight="1" s="149">
      <c r="A29" s="214" t="n">
        <v>18</v>
      </c>
      <c r="B29" s="214" t="n"/>
      <c r="C29" s="215" t="inlineStr">
        <is>
          <t>1-100-34</t>
        </is>
      </c>
      <c r="D29" s="215" t="inlineStr">
        <is>
          <t>Затраты труда рабочих (ср 3,4)</t>
        </is>
      </c>
      <c r="E29" s="214" t="inlineStr">
        <is>
          <t>чел.-ч</t>
        </is>
      </c>
      <c r="F29" s="214" t="n">
        <v>98.8929</v>
      </c>
      <c r="G29" s="231" t="n">
        <v>8.970000000000001</v>
      </c>
      <c r="H29" s="231">
        <f>ROUND(F29*G29,2)</f>
        <v/>
      </c>
    </row>
    <row r="30" ht="15.6" customFormat="1" customHeight="1" s="149">
      <c r="A30" s="214" t="n">
        <v>19</v>
      </c>
      <c r="B30" s="214" t="n"/>
      <c r="C30" s="215" t="inlineStr">
        <is>
          <t>1-100-37</t>
        </is>
      </c>
      <c r="D30" s="215" t="inlineStr">
        <is>
          <t>Затраты труда рабочих (ср 3,7)</t>
        </is>
      </c>
      <c r="E30" s="214" t="inlineStr">
        <is>
          <t>чел.-ч</t>
        </is>
      </c>
      <c r="F30" s="214" t="n">
        <v>85.68000000000001</v>
      </c>
      <c r="G30" s="231" t="n">
        <v>9.289999999999999</v>
      </c>
      <c r="H30" s="231">
        <f>ROUND(F30*G30,2)</f>
        <v/>
      </c>
    </row>
    <row r="31" ht="15.6" customFormat="1" customHeight="1" s="149">
      <c r="A31" s="214" t="n">
        <v>20</v>
      </c>
      <c r="B31" s="214" t="n"/>
      <c r="C31" s="215" t="inlineStr">
        <is>
          <t>1-100-59</t>
        </is>
      </c>
      <c r="D31" s="215" t="inlineStr">
        <is>
          <t>Затраты труда рабочих (ср 5,9)</t>
        </is>
      </c>
      <c r="E31" s="214" t="inlineStr">
        <is>
          <t>чел.-ч</t>
        </is>
      </c>
      <c r="F31" s="214" t="n">
        <v>48.4785</v>
      </c>
      <c r="G31" s="231" t="n">
        <v>12.74</v>
      </c>
      <c r="H31" s="231">
        <f>ROUND(F31*G31,2)</f>
        <v/>
      </c>
    </row>
    <row r="32" ht="15.6" customFormat="1" customHeight="1" s="149">
      <c r="A32" s="214" t="n">
        <v>21</v>
      </c>
      <c r="B32" s="214" t="n"/>
      <c r="C32" s="215" t="inlineStr">
        <is>
          <t>1-100-41</t>
        </is>
      </c>
      <c r="D32" s="215" t="inlineStr">
        <is>
          <t>Затраты труда рабочих (ср 4,1)</t>
        </is>
      </c>
      <c r="E32" s="214" t="inlineStr">
        <is>
          <t>чел.-ч</t>
        </is>
      </c>
      <c r="F32" s="214" t="n">
        <v>47.46546</v>
      </c>
      <c r="G32" s="231" t="n">
        <v>9.76</v>
      </c>
      <c r="H32" s="231">
        <f>ROUND(F32*G32,2)</f>
        <v/>
      </c>
    </row>
    <row r="33" ht="15.6" customFormat="1" customHeight="1" s="149">
      <c r="A33" s="214" t="n">
        <v>22</v>
      </c>
      <c r="B33" s="214" t="n"/>
      <c r="C33" s="215" t="inlineStr">
        <is>
          <t>1-100-54</t>
        </is>
      </c>
      <c r="D33" s="215" t="inlineStr">
        <is>
          <t>Затраты труда рабочих (ср 5,4)</t>
        </is>
      </c>
      <c r="E33" s="214" t="inlineStr">
        <is>
          <t>чел.-ч</t>
        </is>
      </c>
      <c r="F33" s="214" t="n">
        <v>31.74728</v>
      </c>
      <c r="G33" s="231" t="n">
        <v>11.82</v>
      </c>
      <c r="H33" s="231">
        <f>ROUND(F33*G33,2)</f>
        <v/>
      </c>
    </row>
    <row r="34" ht="15.6" customFormat="1" customHeight="1" s="149">
      <c r="A34" s="214" t="n">
        <v>23</v>
      </c>
      <c r="B34" s="214" t="n"/>
      <c r="C34" s="215" t="inlineStr">
        <is>
          <t>1-100-43</t>
        </is>
      </c>
      <c r="D34" s="215" t="inlineStr">
        <is>
          <t>Затраты труда рабочих (ср 4,3)</t>
        </is>
      </c>
      <c r="E34" s="214" t="inlineStr">
        <is>
          <t>чел.-ч</t>
        </is>
      </c>
      <c r="F34" s="214" t="n">
        <v>22.4772416</v>
      </c>
      <c r="G34" s="231" t="n">
        <v>10.06</v>
      </c>
      <c r="H34" s="231">
        <f>ROUND(F34*G34,2)</f>
        <v/>
      </c>
    </row>
    <row r="35" ht="15.6" customFormat="1" customHeight="1" s="149">
      <c r="A35" s="214" t="n">
        <v>24</v>
      </c>
      <c r="B35" s="214" t="n"/>
      <c r="C35" s="215" t="inlineStr">
        <is>
          <t>1-100-45</t>
        </is>
      </c>
      <c r="D35" s="215" t="inlineStr">
        <is>
          <t>Затраты труда рабочих (ср 4,5)</t>
        </is>
      </c>
      <c r="E35" s="214" t="inlineStr">
        <is>
          <t>чел.-ч</t>
        </is>
      </c>
      <c r="F35" s="214" t="n">
        <v>10.194985</v>
      </c>
      <c r="G35" s="231" t="n">
        <v>10.35</v>
      </c>
      <c r="H35" s="231">
        <f>ROUND(F35*G35,2)</f>
        <v/>
      </c>
    </row>
    <row r="36" ht="15.6" customFormat="1" customHeight="1" s="15">
      <c r="A36" s="213" t="inlineStr">
        <is>
          <t>Затраты труда машинистов</t>
        </is>
      </c>
      <c r="B36" s="243" t="n"/>
      <c r="C36" s="243" t="n"/>
      <c r="D36" s="243" t="n"/>
      <c r="E36" s="244" t="n"/>
      <c r="F36" s="213" t="n">
        <v>618.863309</v>
      </c>
      <c r="G36" s="17" t="n"/>
      <c r="H36" s="17">
        <f>SUM(H37:H37)</f>
        <v/>
      </c>
    </row>
    <row r="37" ht="15.6" customFormat="1" customHeight="1" s="149">
      <c r="A37" s="214" t="n">
        <v>25</v>
      </c>
      <c r="B37" s="214" t="n"/>
      <c r="C37" s="215" t="n">
        <v>2</v>
      </c>
      <c r="D37" s="215" t="inlineStr">
        <is>
          <t>Затраты труда машинистов</t>
        </is>
      </c>
      <c r="E37" s="214" t="inlineStr">
        <is>
          <t>чел.-ч</t>
        </is>
      </c>
      <c r="F37" s="214" t="n">
        <v>618.863309</v>
      </c>
      <c r="G37" s="231" t="n">
        <v>13.19</v>
      </c>
      <c r="H37" s="231">
        <f>ROUND(F37*G37,2)</f>
        <v/>
      </c>
    </row>
    <row r="38" ht="15.6" customFormat="1" customHeight="1" s="15">
      <c r="A38" s="213" t="inlineStr">
        <is>
          <t>Машины и механизмы</t>
        </is>
      </c>
      <c r="B38" s="243" t="n"/>
      <c r="C38" s="243" t="n"/>
      <c r="D38" s="243" t="n"/>
      <c r="E38" s="244" t="n"/>
      <c r="F38" s="213" t="n"/>
      <c r="G38" s="17" t="n"/>
      <c r="H38" s="17">
        <f>SUM(H39:H93)</f>
        <v/>
      </c>
    </row>
    <row r="39" ht="31.35" customFormat="1" customHeight="1" s="149">
      <c r="A39" s="214" t="n">
        <v>26</v>
      </c>
      <c r="B39" s="214" t="n"/>
      <c r="C39" s="22" t="inlineStr">
        <is>
          <t>91.05.06-009</t>
        </is>
      </c>
      <c r="D39" s="215" t="inlineStr">
        <is>
          <t>Краны на гусеничном ходу, грузоподъемность 50-63 т</t>
        </is>
      </c>
      <c r="E39" s="214" t="inlineStr">
        <is>
          <t>маш.час</t>
        </is>
      </c>
      <c r="F39" s="214" t="n">
        <v>111.9</v>
      </c>
      <c r="G39" s="231" t="n">
        <v>290.01</v>
      </c>
      <c r="H39" s="231">
        <f>ROUND(F39*G39,2)</f>
        <v/>
      </c>
    </row>
    <row r="40" ht="31.35" customFormat="1" customHeight="1" s="149">
      <c r="A40" s="214" t="n">
        <v>27</v>
      </c>
      <c r="B40" s="214" t="n"/>
      <c r="C40" s="22" t="inlineStr">
        <is>
          <t>91.05.06-007</t>
        </is>
      </c>
      <c r="D40" s="215" t="inlineStr">
        <is>
          <t>Краны на гусеничном ходу, грузоподъемность 25 т</t>
        </is>
      </c>
      <c r="E40" s="214" t="inlineStr">
        <is>
          <t>маш.час</t>
        </is>
      </c>
      <c r="F40" s="214" t="n">
        <v>58.1128559</v>
      </c>
      <c r="G40" s="231" t="n">
        <v>120.04</v>
      </c>
      <c r="H40" s="231">
        <f>ROUND(F40*G40,2)</f>
        <v/>
      </c>
    </row>
    <row r="41" ht="46.9" customFormat="1" customHeight="1" s="149">
      <c r="A41" s="214" t="n">
        <v>28</v>
      </c>
      <c r="B41" s="214" t="n"/>
      <c r="C41" s="22" t="inlineStr">
        <is>
          <t>91.18.01-007</t>
        </is>
      </c>
      <c r="D41" s="21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214" t="inlineStr">
        <is>
          <t>маш.час</t>
        </is>
      </c>
      <c r="F41" s="214" t="n">
        <v>71.90508</v>
      </c>
      <c r="G41" s="231" t="n">
        <v>90</v>
      </c>
      <c r="H41" s="231">
        <f>ROUND(F41*G41,2)</f>
        <v/>
      </c>
    </row>
    <row r="42" ht="31.35" customFormat="1" customHeight="1" s="149">
      <c r="A42" s="214" t="n">
        <v>29</v>
      </c>
      <c r="B42" s="214" t="n"/>
      <c r="C42" s="22" t="inlineStr">
        <is>
          <t>91.01.05-086</t>
        </is>
      </c>
      <c r="D42" s="215" t="inlineStr">
        <is>
          <t>Экскаваторы одноковшовые дизельные на гусеничном ходу, емкость ковша 0,65 м3</t>
        </is>
      </c>
      <c r="E42" s="214" t="inlineStr">
        <is>
          <t>маш.час</t>
        </is>
      </c>
      <c r="F42" s="214" t="n">
        <v>34.956</v>
      </c>
      <c r="G42" s="231" t="n">
        <v>115.27</v>
      </c>
      <c r="H42" s="231">
        <f>ROUND(F42*G42,2)</f>
        <v/>
      </c>
    </row>
    <row r="43" ht="31.35" customFormat="1" customHeight="1" s="149">
      <c r="A43" s="214" t="n">
        <v>30</v>
      </c>
      <c r="B43" s="214" t="n"/>
      <c r="C43" s="22" t="inlineStr">
        <is>
          <t>91.05.05-015</t>
        </is>
      </c>
      <c r="D43" s="215" t="inlineStr">
        <is>
          <t>Краны на автомобильном ходу, грузоподъемность 16 т</t>
        </is>
      </c>
      <c r="E43" s="214" t="inlineStr">
        <is>
          <t>маш.час</t>
        </is>
      </c>
      <c r="F43" s="214" t="n">
        <v>28.5000895</v>
      </c>
      <c r="G43" s="231" t="n">
        <v>115.4</v>
      </c>
      <c r="H43" s="231">
        <f>ROUND(F43*G43,2)</f>
        <v/>
      </c>
    </row>
    <row r="44" ht="15.6" customFormat="1" customHeight="1" s="149">
      <c r="A44" s="214" t="n">
        <v>31</v>
      </c>
      <c r="B44" s="214" t="n"/>
      <c r="C44" s="22" t="inlineStr">
        <is>
          <t>91.05.02-005</t>
        </is>
      </c>
      <c r="D44" s="215" t="inlineStr">
        <is>
          <t>Краны козловые, грузоподъемность 32 т</t>
        </is>
      </c>
      <c r="E44" s="214" t="inlineStr">
        <is>
          <t>маш.час</t>
        </is>
      </c>
      <c r="F44" s="214" t="n">
        <v>24.6207936</v>
      </c>
      <c r="G44" s="231" t="n">
        <v>120.24</v>
      </c>
      <c r="H44" s="231">
        <f>ROUND(F44*G44,2)</f>
        <v/>
      </c>
    </row>
    <row r="45" ht="15.6" customFormat="1" customHeight="1" s="149">
      <c r="A45" s="214" t="n">
        <v>32</v>
      </c>
      <c r="B45" s="214" t="n"/>
      <c r="C45" s="22" t="inlineStr">
        <is>
          <t>91.14.02-001</t>
        </is>
      </c>
      <c r="D45" s="215" t="inlineStr">
        <is>
          <t>Автомобили бортовые, грузоподъемность до 5 т</t>
        </is>
      </c>
      <c r="E45" s="214" t="inlineStr">
        <is>
          <t>маш.час</t>
        </is>
      </c>
      <c r="F45" s="214" t="n">
        <v>44.7072709</v>
      </c>
      <c r="G45" s="231" t="n">
        <v>65.70999999999999</v>
      </c>
      <c r="H45" s="231">
        <f>ROUND(F45*G45,2)</f>
        <v/>
      </c>
    </row>
    <row r="46" ht="46.9" customFormat="1" customHeight="1" s="149">
      <c r="A46" s="214" t="n">
        <v>33</v>
      </c>
      <c r="B46" s="214" t="n"/>
      <c r="C46" s="22" t="inlineStr">
        <is>
          <t>91.21.01-012</t>
        </is>
      </c>
      <c r="D46" s="215" t="inlineStr">
        <is>
          <t>Агрегаты окрасочные высокого давления для окраски поверхностей конструкций, мощность 1 кВт</t>
        </is>
      </c>
      <c r="E46" s="214" t="inlineStr">
        <is>
          <t>маш.час</t>
        </is>
      </c>
      <c r="F46" s="214" t="n">
        <v>336.37454</v>
      </c>
      <c r="G46" s="231" t="n">
        <v>6.82</v>
      </c>
      <c r="H46" s="231">
        <f>ROUND(F46*G46,2)</f>
        <v/>
      </c>
    </row>
    <row r="47" ht="15.6" customFormat="1" customHeight="1" s="149">
      <c r="A47" s="214" t="n">
        <v>34</v>
      </c>
      <c r="B47" s="214" t="n"/>
      <c r="C47" s="22" t="inlineStr">
        <is>
          <t>91.05.01-017</t>
        </is>
      </c>
      <c r="D47" s="215" t="inlineStr">
        <is>
          <t>Краны башенные, грузоподъемность 8 т</t>
        </is>
      </c>
      <c r="E47" s="214" t="inlineStr">
        <is>
          <t>маш.час</t>
        </is>
      </c>
      <c r="F47" s="214" t="n">
        <v>24.294054</v>
      </c>
      <c r="G47" s="231" t="n">
        <v>86.40000000000001</v>
      </c>
      <c r="H47" s="231">
        <f>ROUND(F47*G47,2)</f>
        <v/>
      </c>
    </row>
    <row r="48" ht="31.35" customFormat="1" customHeight="1" s="149">
      <c r="A48" s="214" t="n">
        <v>35</v>
      </c>
      <c r="B48" s="214" t="n"/>
      <c r="C48" s="22" t="inlineStr">
        <is>
          <t>91.17.04-171</t>
        </is>
      </c>
      <c r="D48" s="215" t="inlineStr">
        <is>
          <t>Преобразователи сварочные номинальным сварочным током 315-500 А</t>
        </is>
      </c>
      <c r="E48" s="214" t="inlineStr">
        <is>
          <t>маш.час</t>
        </is>
      </c>
      <c r="F48" s="214" t="n">
        <v>168.0975548</v>
      </c>
      <c r="G48" s="231" t="n">
        <v>12.31</v>
      </c>
      <c r="H48" s="231">
        <f>ROUND(F48*G48,2)</f>
        <v/>
      </c>
    </row>
    <row r="49" ht="15.6" customFormat="1" customHeight="1" s="149">
      <c r="A49" s="214" t="n">
        <v>36</v>
      </c>
      <c r="B49" s="214" t="n"/>
      <c r="C49" s="22" t="inlineStr">
        <is>
          <t>91.05.01-025</t>
        </is>
      </c>
      <c r="D49" s="215" t="inlineStr">
        <is>
          <t>Краны башенные, грузоподъемность 25-75 т</t>
        </is>
      </c>
      <c r="E49" s="214" t="inlineStr">
        <is>
          <t>маш.час</t>
        </is>
      </c>
      <c r="F49" s="214" t="n">
        <v>5.6480548</v>
      </c>
      <c r="G49" s="231" t="n">
        <v>312.21</v>
      </c>
      <c r="H49" s="231">
        <f>ROUND(F49*G49,2)</f>
        <v/>
      </c>
    </row>
    <row r="50" ht="31.35" customFormat="1" customHeight="1" s="149">
      <c r="A50" s="214" t="n">
        <v>37</v>
      </c>
      <c r="B50" s="214" t="n"/>
      <c r="C50" s="22" t="inlineStr">
        <is>
          <t>91.05.06-008</t>
        </is>
      </c>
      <c r="D50" s="215" t="inlineStr">
        <is>
          <t>Краны на гусеничном ходу, грузоподъемность 40 т</t>
        </is>
      </c>
      <c r="E50" s="214" t="inlineStr">
        <is>
          <t>маш.час</t>
        </is>
      </c>
      <c r="F50" s="214" t="n">
        <v>8.785853700000001</v>
      </c>
      <c r="G50" s="231" t="n">
        <v>175.56</v>
      </c>
      <c r="H50" s="231">
        <f>ROUND(F50*G50,2)</f>
        <v/>
      </c>
    </row>
    <row r="51" ht="15.6" customFormat="1" customHeight="1" s="149">
      <c r="A51" s="214" t="n">
        <v>38</v>
      </c>
      <c r="B51" s="214" t="n"/>
      <c r="C51" s="22" t="inlineStr">
        <is>
          <t>91.14.01-004</t>
        </is>
      </c>
      <c r="D51" s="215" t="inlineStr">
        <is>
          <t>Автобетоносмесители, объем барабана 7 м3</t>
        </is>
      </c>
      <c r="E51" s="214" t="inlineStr">
        <is>
          <t>маш.-ч</t>
        </is>
      </c>
      <c r="F51" s="214" t="n">
        <v>8.271000000000001</v>
      </c>
      <c r="G51" s="231" t="n">
        <v>184.39</v>
      </c>
      <c r="H51" s="231">
        <f>ROUND(F51*G51,2)</f>
        <v/>
      </c>
    </row>
    <row r="52" ht="31.35" customFormat="1" customHeight="1" s="149">
      <c r="A52" s="214" t="n">
        <v>39</v>
      </c>
      <c r="B52" s="214" t="n"/>
      <c r="C52" s="22" t="inlineStr">
        <is>
          <t>91.05.06-012</t>
        </is>
      </c>
      <c r="D52" s="215" t="inlineStr">
        <is>
          <t>Краны на гусеничном ходу, грузоподъемность до 16 т</t>
        </is>
      </c>
      <c r="E52" s="214" t="inlineStr">
        <is>
          <t>маш.час</t>
        </is>
      </c>
      <c r="F52" s="214" t="n">
        <v>12.4007326</v>
      </c>
      <c r="G52" s="231" t="n">
        <v>96.89</v>
      </c>
      <c r="H52" s="231">
        <f>ROUND(F52*G52,2)</f>
        <v/>
      </c>
    </row>
    <row r="53" ht="15.6" customFormat="1" customHeight="1" s="149">
      <c r="A53" s="214" t="n">
        <v>40</v>
      </c>
      <c r="B53" s="214" t="n"/>
      <c r="C53" s="22" t="inlineStr">
        <is>
          <t>91.01.01-036</t>
        </is>
      </c>
      <c r="D53" s="215" t="inlineStr">
        <is>
          <t>Бульдозеры, мощность 96 кВт (130 л.с.)</t>
        </is>
      </c>
      <c r="E53" s="214" t="inlineStr">
        <is>
          <t>маш.час</t>
        </is>
      </c>
      <c r="F53" s="214" t="n">
        <v>9.058104</v>
      </c>
      <c r="G53" s="231" t="n">
        <v>94.05</v>
      </c>
      <c r="H53" s="231">
        <f>ROUND(F53*G53,2)</f>
        <v/>
      </c>
    </row>
    <row r="54" ht="31.35" customFormat="1" customHeight="1" s="149">
      <c r="A54" s="214" t="n">
        <v>41</v>
      </c>
      <c r="B54" s="214" t="n"/>
      <c r="C54" s="22" t="inlineStr">
        <is>
          <t>91.06.06-047</t>
        </is>
      </c>
      <c r="D54" s="215" t="inlineStr">
        <is>
          <t>Подъемники одномачтовые, грузоподъемность до 500 кг, высота подъема 35 м</t>
        </is>
      </c>
      <c r="E54" s="214" t="inlineStr">
        <is>
          <t>маш.час</t>
        </is>
      </c>
      <c r="F54" s="214" t="n">
        <v>24.7096</v>
      </c>
      <c r="G54" s="231" t="n">
        <v>29.46</v>
      </c>
      <c r="H54" s="231">
        <f>ROUND(F54*G54,2)</f>
        <v/>
      </c>
    </row>
    <row r="55" ht="15.6" customFormat="1" customHeight="1" s="149">
      <c r="A55" s="214" t="n">
        <v>42</v>
      </c>
      <c r="B55" s="214" t="n"/>
      <c r="C55" s="22" t="inlineStr">
        <is>
          <t>91.06.09-061</t>
        </is>
      </c>
      <c r="D55" s="215" t="inlineStr">
        <is>
          <t>Подмости самоходные, высота подъема 12 м</t>
        </is>
      </c>
      <c r="E55" s="214" t="inlineStr">
        <is>
          <t>маш.час</t>
        </is>
      </c>
      <c r="F55" s="214" t="n">
        <v>16.08</v>
      </c>
      <c r="G55" s="231" t="n">
        <v>35.3</v>
      </c>
      <c r="H55" s="231">
        <f>ROUND(F55*G55,2)</f>
        <v/>
      </c>
    </row>
    <row r="56" ht="31.35" customFormat="1" customHeight="1" s="149">
      <c r="A56" s="214" t="n">
        <v>43</v>
      </c>
      <c r="B56" s="214" t="n"/>
      <c r="C56" s="22" t="inlineStr">
        <is>
          <t>91.08.01-011</t>
        </is>
      </c>
      <c r="D56" s="215" t="inlineStr">
        <is>
          <t>Укладчики литого асфальтобетона, ширина укладки от 3 до 9 м</t>
        </is>
      </c>
      <c r="E56" s="214" t="inlineStr">
        <is>
          <t>маш.час</t>
        </is>
      </c>
      <c r="F56" s="214" t="n">
        <v>0.8188</v>
      </c>
      <c r="G56" s="231" t="n">
        <v>680.14</v>
      </c>
      <c r="H56" s="231">
        <f>ROUND(F56*G56,2)</f>
        <v/>
      </c>
    </row>
    <row r="57" ht="31.35" customFormat="1" customHeight="1" s="149">
      <c r="A57" s="214" t="n">
        <v>44</v>
      </c>
      <c r="B57" s="214" t="n"/>
      <c r="C57" s="22" t="inlineStr">
        <is>
          <t>91.08.11-101</t>
        </is>
      </c>
      <c r="D57" s="215" t="inlineStr">
        <is>
          <t>Установки для транспортировки литого асфальтобетона, емкость 4400 л</t>
        </is>
      </c>
      <c r="E57" s="214" t="inlineStr">
        <is>
          <t>маш.час</t>
        </is>
      </c>
      <c r="F57" s="214" t="n">
        <v>0.8188</v>
      </c>
      <c r="G57" s="231" t="n">
        <v>560.7</v>
      </c>
      <c r="H57" s="231">
        <f>ROUND(F57*G57,2)</f>
        <v/>
      </c>
    </row>
    <row r="58" ht="15.6" customFormat="1" customHeight="1" s="149">
      <c r="A58" s="214" t="n">
        <v>45</v>
      </c>
      <c r="B58" s="214" t="n"/>
      <c r="C58" s="22" t="inlineStr">
        <is>
          <t>91.06.05-011</t>
        </is>
      </c>
      <c r="D58" s="215" t="inlineStr">
        <is>
          <t>Погрузчики, грузоподъемность 5 т</t>
        </is>
      </c>
      <c r="E58" s="214" t="inlineStr">
        <is>
          <t>маш.час</t>
        </is>
      </c>
      <c r="F58" s="214" t="n">
        <v>4.674706</v>
      </c>
      <c r="G58" s="231" t="n">
        <v>89.98999999999999</v>
      </c>
      <c r="H58" s="231">
        <f>ROUND(F58*G58,2)</f>
        <v/>
      </c>
    </row>
    <row r="59" ht="15.6" customFormat="1" customHeight="1" s="149">
      <c r="A59" s="214" t="n">
        <v>46</v>
      </c>
      <c r="B59" s="214" t="n"/>
      <c r="C59" s="22" t="inlineStr">
        <is>
          <t>91.06.09-001</t>
        </is>
      </c>
      <c r="D59" s="215" t="inlineStr">
        <is>
          <t>Вышки телескопические 25 м</t>
        </is>
      </c>
      <c r="E59" s="214" t="inlineStr">
        <is>
          <t>маш.час</t>
        </is>
      </c>
      <c r="F59" s="214" t="n">
        <v>2.76</v>
      </c>
      <c r="G59" s="231" t="n">
        <v>142.7</v>
      </c>
      <c r="H59" s="231">
        <f>ROUND(F59*G59,2)</f>
        <v/>
      </c>
    </row>
    <row r="60" ht="31.35" customFormat="1" customHeight="1" s="149">
      <c r="A60" s="214" t="n">
        <v>47</v>
      </c>
      <c r="B60" s="214" t="n"/>
      <c r="C60" s="22" t="inlineStr">
        <is>
          <t>91.17.04-034</t>
        </is>
      </c>
      <c r="D60" s="215" t="inlineStr">
        <is>
          <t>Агрегаты сварочные однопостовые для ручной электродуговой сварки</t>
        </is>
      </c>
      <c r="E60" s="214" t="inlineStr">
        <is>
          <t>маш.час</t>
        </is>
      </c>
      <c r="F60" s="214" t="n">
        <v>33.411489</v>
      </c>
      <c r="G60" s="231" t="n">
        <v>11.77</v>
      </c>
      <c r="H60" s="231">
        <f>ROUND(F60*G60,2)</f>
        <v/>
      </c>
    </row>
    <row r="61" ht="31.35" customFormat="1" customHeight="1" s="149">
      <c r="A61" s="214" t="n">
        <v>48</v>
      </c>
      <c r="B61" s="214" t="n"/>
      <c r="C61" s="22" t="inlineStr">
        <is>
          <t>91.17.04-233</t>
        </is>
      </c>
      <c r="D61" s="215" t="inlineStr">
        <is>
          <t>Установки для сварки ручной дуговой (постоянного тока)</t>
        </is>
      </c>
      <c r="E61" s="214" t="inlineStr">
        <is>
          <t>маш.час</t>
        </is>
      </c>
      <c r="F61" s="214" t="n">
        <v>44.332488</v>
      </c>
      <c r="G61" s="231" t="n">
        <v>8.1</v>
      </c>
      <c r="H61" s="231">
        <f>ROUND(F61*G61,2)</f>
        <v/>
      </c>
    </row>
    <row r="62" ht="31.35" customFormat="1" customHeight="1" s="149">
      <c r="A62" s="214" t="n">
        <v>49</v>
      </c>
      <c r="B62" s="214" t="n"/>
      <c r="C62" s="22" t="inlineStr">
        <is>
          <t>91.06.06-048</t>
        </is>
      </c>
      <c r="D62" s="215" t="inlineStr">
        <is>
          <t>Подъемники одномачтовые, грузоподъемность до 500 кг, высота подъема 45 м</t>
        </is>
      </c>
      <c r="E62" s="214" t="inlineStr">
        <is>
          <t>маш.час</t>
        </is>
      </c>
      <c r="F62" s="214" t="n">
        <v>10.49349</v>
      </c>
      <c r="G62" s="231" t="n">
        <v>31.26</v>
      </c>
      <c r="H62" s="231">
        <f>ROUND(F62*G62,2)</f>
        <v/>
      </c>
    </row>
    <row r="63" ht="31.35" customFormat="1" customHeight="1" s="149">
      <c r="A63" s="214" t="n">
        <v>50</v>
      </c>
      <c r="B63" s="214" t="n"/>
      <c r="C63" s="22" t="inlineStr">
        <is>
          <t>91.08.07-016</t>
        </is>
      </c>
      <c r="D63" s="215" t="inlineStr">
        <is>
          <t>Распределители щебня, производительность 65 м/мин</t>
        </is>
      </c>
      <c r="E63" s="214" t="inlineStr">
        <is>
          <t>маш.час</t>
        </is>
      </c>
      <c r="F63" s="214" t="n">
        <v>0.8188</v>
      </c>
      <c r="G63" s="231" t="n">
        <v>354.7</v>
      </c>
      <c r="H63" s="231">
        <f>ROUND(F63*G63,2)</f>
        <v/>
      </c>
    </row>
    <row r="64" ht="46.9" customFormat="1" customHeight="1" s="149">
      <c r="A64" s="214" t="n">
        <v>51</v>
      </c>
      <c r="B64" s="214" t="n"/>
      <c r="C64" s="22" t="inlineStr">
        <is>
          <t>91.06.05-057</t>
        </is>
      </c>
      <c r="D64" s="215" t="inlineStr">
        <is>
          <t>Погрузчики одноковшовые универсальные фронтальные пневмоколесные, грузоподъемность 3 т</t>
        </is>
      </c>
      <c r="E64" s="214" t="inlineStr">
        <is>
          <t>маш.час</t>
        </is>
      </c>
      <c r="F64" s="214" t="n">
        <v>2.3822</v>
      </c>
      <c r="G64" s="231" t="n">
        <v>90.40000000000001</v>
      </c>
      <c r="H64" s="231">
        <f>ROUND(F64*G64,2)</f>
        <v/>
      </c>
    </row>
    <row r="65" ht="15.6" customFormat="1" customHeight="1" s="149">
      <c r="A65" s="214" t="n">
        <v>52</v>
      </c>
      <c r="B65" s="214" t="n"/>
      <c r="C65" s="22" t="inlineStr">
        <is>
          <t>91.08.04-021</t>
        </is>
      </c>
      <c r="D65" s="215" t="inlineStr">
        <is>
          <t>Котлы битумные передвижные 400 л</t>
        </is>
      </c>
      <c r="E65" s="214" t="inlineStr">
        <is>
          <t>маш.час</t>
        </is>
      </c>
      <c r="F65" s="214" t="n">
        <v>6.4043</v>
      </c>
      <c r="G65" s="231" t="n">
        <v>30</v>
      </c>
      <c r="H65" s="231">
        <f>ROUND(F65*G65,2)</f>
        <v/>
      </c>
    </row>
    <row r="66" ht="31.35" customFormat="1" customHeight="1" s="149">
      <c r="A66" s="214" t="n">
        <v>53</v>
      </c>
      <c r="B66" s="214" t="n"/>
      <c r="C66" s="22" t="inlineStr">
        <is>
          <t>91.06.06-042</t>
        </is>
      </c>
      <c r="D66" s="215" t="inlineStr">
        <is>
          <t>Подъемники гидравлические, высота подъема 10 м</t>
        </is>
      </c>
      <c r="E66" s="214" t="inlineStr">
        <is>
          <t>маш.час</t>
        </is>
      </c>
      <c r="F66" s="214" t="n">
        <v>6.075</v>
      </c>
      <c r="G66" s="231" t="n">
        <v>29.6</v>
      </c>
      <c r="H66" s="231">
        <f>ROUND(F66*G66,2)</f>
        <v/>
      </c>
    </row>
    <row r="67" ht="15.6" customFormat="1" customHeight="1" s="149">
      <c r="A67" s="214" t="n">
        <v>54</v>
      </c>
      <c r="B67" s="214" t="n"/>
      <c r="C67" s="22" t="inlineStr">
        <is>
          <t>91.17.04-042</t>
        </is>
      </c>
      <c r="D67" s="215" t="inlineStr">
        <is>
          <t>Аппараты для газовой сварки и резки</t>
        </is>
      </c>
      <c r="E67" s="214" t="inlineStr">
        <is>
          <t>маш.час</t>
        </is>
      </c>
      <c r="F67" s="214" t="n">
        <v>140.5861622</v>
      </c>
      <c r="G67" s="231" t="n">
        <v>1.2</v>
      </c>
      <c r="H67" s="231">
        <f>ROUND(F67*G67,2)</f>
        <v/>
      </c>
    </row>
    <row r="68" ht="31.35" customFormat="1" customHeight="1" s="149">
      <c r="A68" s="214" t="n">
        <v>55</v>
      </c>
      <c r="B68" s="214" t="n"/>
      <c r="C68" s="22" t="inlineStr">
        <is>
          <t>91.08.09-023</t>
        </is>
      </c>
      <c r="D68" s="215" t="inlineStr">
        <is>
          <t>Трамбовки пневматические при работе от передвижных компрессорных станций</t>
        </is>
      </c>
      <c r="E68" s="214" t="inlineStr">
        <is>
          <t>маш.час</t>
        </is>
      </c>
      <c r="F68" s="214" t="n">
        <v>284.0313</v>
      </c>
      <c r="G68" s="231" t="n">
        <v>0.55</v>
      </c>
      <c r="H68" s="231">
        <f>ROUND(F68*G68,2)</f>
        <v/>
      </c>
    </row>
    <row r="69" ht="31.35" customFormat="1" customHeight="1" s="149">
      <c r="A69" s="214" t="n">
        <v>56</v>
      </c>
      <c r="B69" s="214" t="n"/>
      <c r="C69" s="22" t="inlineStr">
        <is>
          <t>91.08.09-024</t>
        </is>
      </c>
      <c r="D69" s="215" t="inlineStr">
        <is>
          <t>Трамбовки пневматические при работе от стационарного компрессора</t>
        </is>
      </c>
      <c r="E69" s="214" t="inlineStr">
        <is>
          <t>маш.час</t>
        </is>
      </c>
      <c r="F69" s="214" t="n">
        <v>20.54</v>
      </c>
      <c r="G69" s="231" t="n">
        <v>4.91</v>
      </c>
      <c r="H69" s="231">
        <f>ROUND(F69*G69,2)</f>
        <v/>
      </c>
    </row>
    <row r="70" ht="15.6" customFormat="1" customHeight="1" s="149">
      <c r="A70" s="214" t="n">
        <v>57</v>
      </c>
      <c r="B70" s="214" t="n"/>
      <c r="C70" s="22" t="inlineStr">
        <is>
          <t>91.21.19-026</t>
        </is>
      </c>
      <c r="D70" s="215" t="inlineStr">
        <is>
          <t>Станки для рубки арматуры</t>
        </is>
      </c>
      <c r="E70" s="214" t="inlineStr">
        <is>
          <t>маш.час</t>
        </is>
      </c>
      <c r="F70" s="214" t="n">
        <v>2.32065</v>
      </c>
      <c r="G70" s="231" t="n">
        <v>28.63</v>
      </c>
      <c r="H70" s="231">
        <f>ROUND(F70*G70,2)</f>
        <v/>
      </c>
    </row>
    <row r="71" ht="15.6" customFormat="1" customHeight="1" s="149">
      <c r="A71" s="214" t="n">
        <v>58</v>
      </c>
      <c r="B71" s="214" t="n"/>
      <c r="C71" s="22" t="inlineStr">
        <is>
          <t>91.14.02-004</t>
        </is>
      </c>
      <c r="D71" s="215" t="inlineStr">
        <is>
          <t>Автомобили бортовые, грузоподъемность до 15 т</t>
        </is>
      </c>
      <c r="E71" s="214" t="inlineStr">
        <is>
          <t>маш.час</t>
        </is>
      </c>
      <c r="F71" s="214" t="n">
        <v>0.66</v>
      </c>
      <c r="G71" s="231" t="n">
        <v>92.94</v>
      </c>
      <c r="H71" s="231">
        <f>ROUND(F71*G71,2)</f>
        <v/>
      </c>
    </row>
    <row r="72" ht="31.35" customFormat="1" customHeight="1" s="149">
      <c r="A72" s="214" t="n">
        <v>59</v>
      </c>
      <c r="B72" s="214" t="n"/>
      <c r="C72" s="22" t="inlineStr">
        <is>
          <t>91.06.03-060</t>
        </is>
      </c>
      <c r="D72" s="215" t="inlineStr">
        <is>
          <t>Лебедки электрические тяговым усилием до 5,79 кН (0,59 т)</t>
        </is>
      </c>
      <c r="E72" s="214" t="inlineStr">
        <is>
          <t>маш.час</t>
        </is>
      </c>
      <c r="F72" s="214" t="n">
        <v>30.291916</v>
      </c>
      <c r="G72" s="231" t="n">
        <v>1.7</v>
      </c>
      <c r="H72" s="231">
        <f>ROUND(F72*G72,2)</f>
        <v/>
      </c>
    </row>
    <row r="73" ht="15.6" customFormat="1" customHeight="1" s="149">
      <c r="A73" s="214" t="n">
        <v>60</v>
      </c>
      <c r="B73" s="214" t="n"/>
      <c r="C73" s="22" t="inlineStr">
        <is>
          <t>91.13.01-039</t>
        </is>
      </c>
      <c r="D73" s="215" t="inlineStr">
        <is>
          <t>Машины сушильные, мощность 26 кВт (35 л.с.)</t>
        </is>
      </c>
      <c r="E73" s="214" t="inlineStr">
        <is>
          <t>маш.час</t>
        </is>
      </c>
      <c r="F73" s="214" t="n">
        <v>0.1656</v>
      </c>
      <c r="G73" s="231" t="n">
        <v>304.23</v>
      </c>
      <c r="H73" s="231">
        <f>ROUND(F73*G73,2)</f>
        <v/>
      </c>
    </row>
    <row r="74" ht="15.6" customFormat="1" customHeight="1" s="149">
      <c r="A74" s="214" t="n">
        <v>61</v>
      </c>
      <c r="B74" s="214" t="n"/>
      <c r="C74" s="22" t="inlineStr">
        <is>
          <t>91.08.01-021</t>
        </is>
      </c>
      <c r="D74" s="215" t="inlineStr">
        <is>
          <t>Укладчики асфальтобетона</t>
        </is>
      </c>
      <c r="E74" s="214" t="inlineStr">
        <is>
          <t>маш.час</t>
        </is>
      </c>
      <c r="F74" s="214" t="n">
        <v>0.2552</v>
      </c>
      <c r="G74" s="231" t="n">
        <v>195.2</v>
      </c>
      <c r="H74" s="231">
        <f>ROUND(F74*G74,2)</f>
        <v/>
      </c>
    </row>
    <row r="75" ht="31.35" customFormat="1" customHeight="1" s="149">
      <c r="A75" s="214" t="n">
        <v>62</v>
      </c>
      <c r="B75" s="214" t="n"/>
      <c r="C75" s="22" t="inlineStr">
        <is>
          <t>91.08.03-015</t>
        </is>
      </c>
      <c r="D75" s="215" t="inlineStr">
        <is>
          <t>Катки самоходные гладкие вибрационные, масса 5 т</t>
        </is>
      </c>
      <c r="E75" s="214" t="inlineStr">
        <is>
          <t>маш.час</t>
        </is>
      </c>
      <c r="F75" s="214" t="n">
        <v>0.2709</v>
      </c>
      <c r="G75" s="231" t="n">
        <v>176.03</v>
      </c>
      <c r="H75" s="231">
        <f>ROUND(F75*G75,2)</f>
        <v/>
      </c>
    </row>
    <row r="76" ht="31.35" customFormat="1" customHeight="1" s="149">
      <c r="A76" s="214" t="n">
        <v>63</v>
      </c>
      <c r="B76" s="214" t="n"/>
      <c r="C76" s="22" t="inlineStr">
        <is>
          <t>91.08.03-016</t>
        </is>
      </c>
      <c r="D76" s="215" t="inlineStr">
        <is>
          <t>Катки самоходные гладкие вибрационные, масса 8 т</t>
        </is>
      </c>
      <c r="E76" s="214" t="inlineStr">
        <is>
          <t>маш.час</t>
        </is>
      </c>
      <c r="F76" s="214" t="n">
        <v>0.204</v>
      </c>
      <c r="G76" s="231" t="n">
        <v>226.54</v>
      </c>
      <c r="H76" s="231">
        <f>ROUND(F76*G76,2)</f>
        <v/>
      </c>
    </row>
    <row r="77" ht="31.35" customFormat="1" customHeight="1" s="149">
      <c r="A77" s="214" t="n">
        <v>64</v>
      </c>
      <c r="B77" s="214" t="n"/>
      <c r="C77" s="22" t="inlineStr">
        <is>
          <t>91.06.03-055</t>
        </is>
      </c>
      <c r="D77" s="215" t="inlineStr">
        <is>
          <t>Лебедки электрические тяговым усилием 19,62 кН (2 т)</t>
        </is>
      </c>
      <c r="E77" s="214" t="inlineStr">
        <is>
          <t>маш.час</t>
        </is>
      </c>
      <c r="F77" s="214" t="n">
        <v>6.6</v>
      </c>
      <c r="G77" s="231" t="n">
        <v>6.66</v>
      </c>
      <c r="H77" s="231">
        <f>ROUND(F77*G77,2)</f>
        <v/>
      </c>
    </row>
    <row r="78" ht="31.35" customFormat="1" customHeight="1" s="149">
      <c r="A78" s="214" t="n">
        <v>65</v>
      </c>
      <c r="B78" s="214" t="n"/>
      <c r="C78" s="22" t="inlineStr">
        <is>
          <t>91.08.03-009</t>
        </is>
      </c>
      <c r="D78" s="215" t="inlineStr">
        <is>
          <t>Катки самоходные гладкие вибрационные, масса 2,2 т</t>
        </is>
      </c>
      <c r="E78" s="214" t="inlineStr">
        <is>
          <t>маш.час</t>
        </is>
      </c>
      <c r="F78" s="214" t="n">
        <v>0.3956</v>
      </c>
      <c r="G78" s="231" t="n">
        <v>103.16</v>
      </c>
      <c r="H78" s="231">
        <f>ROUND(F78*G78,2)</f>
        <v/>
      </c>
    </row>
    <row r="79" ht="15.6" customFormat="1" customHeight="1" s="149">
      <c r="A79" s="214" t="n">
        <v>66</v>
      </c>
      <c r="B79" s="214" t="n"/>
      <c r="C79" s="22" t="inlineStr">
        <is>
          <t>91.07.04-002</t>
        </is>
      </c>
      <c r="D79" s="215" t="inlineStr">
        <is>
          <t>Вибраторы поверхностные</t>
        </is>
      </c>
      <c r="E79" s="214" t="inlineStr">
        <is>
          <t>маш.час</t>
        </is>
      </c>
      <c r="F79" s="214" t="n">
        <v>51.10853</v>
      </c>
      <c r="G79" s="231" t="n">
        <v>0.5</v>
      </c>
      <c r="H79" s="231">
        <f>ROUND(F79*G79,2)</f>
        <v/>
      </c>
    </row>
    <row r="80" ht="15.6" customFormat="1" customHeight="1" s="149">
      <c r="A80" s="214" t="n">
        <v>67</v>
      </c>
      <c r="B80" s="214" t="n"/>
      <c r="C80" s="22" t="inlineStr">
        <is>
          <t>91.13.01-038</t>
        </is>
      </c>
      <c r="D80" s="215" t="inlineStr">
        <is>
          <t>Машины поливомоечные 6000 л</t>
        </is>
      </c>
      <c r="E80" s="214" t="inlineStr">
        <is>
          <t>маш.час</t>
        </is>
      </c>
      <c r="F80" s="214" t="n">
        <v>0.2116</v>
      </c>
      <c r="G80" s="231" t="n">
        <v>110</v>
      </c>
      <c r="H80" s="231">
        <f>ROUND(F80*G80,2)</f>
        <v/>
      </c>
    </row>
    <row r="81" ht="15.6" customFormat="1" customHeight="1" s="149">
      <c r="A81" s="214" t="n">
        <v>68</v>
      </c>
      <c r="B81" s="214" t="n"/>
      <c r="C81" s="22" t="inlineStr">
        <is>
          <t>91.07.04-001</t>
        </is>
      </c>
      <c r="D81" s="215" t="inlineStr">
        <is>
          <t>Вибраторы глубинные</t>
        </is>
      </c>
      <c r="E81" s="214" t="inlineStr">
        <is>
          <t>маш.час</t>
        </is>
      </c>
      <c r="F81" s="214" t="n">
        <v>11.44925</v>
      </c>
      <c r="G81" s="231" t="n">
        <v>1.9</v>
      </c>
      <c r="H81" s="231">
        <f>ROUND(F81*G81,2)</f>
        <v/>
      </c>
    </row>
    <row r="82" ht="15.6" customFormat="1" customHeight="1" s="149">
      <c r="A82" s="214" t="n">
        <v>69</v>
      </c>
      <c r="B82" s="214" t="n"/>
      <c r="C82" s="22" t="inlineStr">
        <is>
          <t>91.14.03-001</t>
        </is>
      </c>
      <c r="D82" s="215" t="inlineStr">
        <is>
          <t>Автомобили-самосвалы, грузоподъемность до 7 т</t>
        </is>
      </c>
      <c r="E82" s="214" t="inlineStr">
        <is>
          <t>маш.час</t>
        </is>
      </c>
      <c r="F82" s="214" t="n">
        <v>0.1564</v>
      </c>
      <c r="G82" s="231" t="n">
        <v>89.54000000000001</v>
      </c>
      <c r="H82" s="231">
        <f>ROUND(F82*G82,2)</f>
        <v/>
      </c>
    </row>
    <row r="83" ht="31.35" customFormat="1" customHeight="1" s="149">
      <c r="A83" s="214" t="n">
        <v>70</v>
      </c>
      <c r="B83" s="214" t="n"/>
      <c r="C83" s="22" t="inlineStr">
        <is>
          <t>91.06.03-061</t>
        </is>
      </c>
      <c r="D83" s="215" t="inlineStr">
        <is>
          <t>Лебедки электрические тяговым усилием до 12,26 кН (1,25 т)</t>
        </is>
      </c>
      <c r="E83" s="214" t="inlineStr">
        <is>
          <t>маш.час</t>
        </is>
      </c>
      <c r="F83" s="214" t="n">
        <v>3.5346</v>
      </c>
      <c r="G83" s="231" t="n">
        <v>3.28</v>
      </c>
      <c r="H83" s="231">
        <f>ROUND(F83*G83,2)</f>
        <v/>
      </c>
    </row>
    <row r="84" ht="31.35" customFormat="1" customHeight="1" s="149">
      <c r="A84" s="214" t="n">
        <v>71</v>
      </c>
      <c r="B84" s="214" t="n"/>
      <c r="C84" s="22" t="inlineStr">
        <is>
          <t>91.06.01-003</t>
        </is>
      </c>
      <c r="D84" s="215" t="inlineStr">
        <is>
          <t>Домкраты гидравлические, грузоподъемность 63-100 т</t>
        </is>
      </c>
      <c r="E84" s="214" t="inlineStr">
        <is>
          <t>маш.час</t>
        </is>
      </c>
      <c r="F84" s="214" t="n">
        <v>12.3895809</v>
      </c>
      <c r="G84" s="231" t="n">
        <v>0.9</v>
      </c>
      <c r="H84" s="231">
        <f>ROUND(F84*G84,2)</f>
        <v/>
      </c>
    </row>
    <row r="85" ht="15.6" customFormat="1" customHeight="1" s="149">
      <c r="A85" s="214" t="n">
        <v>72</v>
      </c>
      <c r="B85" s="214" t="n"/>
      <c r="C85" s="22" t="inlineStr">
        <is>
          <t>91.21.19-021</t>
        </is>
      </c>
      <c r="D85" s="215" t="inlineStr">
        <is>
          <t>Станки для гибки арматуры</t>
        </is>
      </c>
      <c r="E85" s="214" t="inlineStr">
        <is>
          <t>маш.час</t>
        </is>
      </c>
      <c r="F85" s="214" t="n">
        <v>3.86981</v>
      </c>
      <c r="G85" s="231" t="n">
        <v>2.33</v>
      </c>
      <c r="H85" s="231">
        <f>ROUND(F85*G85,2)</f>
        <v/>
      </c>
    </row>
    <row r="86" ht="15.6" customFormat="1" customHeight="1" s="149">
      <c r="A86" s="214" t="n">
        <v>73</v>
      </c>
      <c r="B86" s="214" t="n"/>
      <c r="C86" s="22" t="inlineStr">
        <is>
          <t>91.21.22-638</t>
        </is>
      </c>
      <c r="D86" s="215" t="inlineStr">
        <is>
          <t>Пылесосы промышленные, мощность до 2000 Вт</t>
        </is>
      </c>
      <c r="E86" s="214" t="inlineStr">
        <is>
          <t>маш.час</t>
        </is>
      </c>
      <c r="F86" s="214" t="n">
        <v>2.107</v>
      </c>
      <c r="G86" s="231" t="n">
        <v>3.29</v>
      </c>
      <c r="H86" s="231">
        <f>ROUND(F86*G86,2)</f>
        <v/>
      </c>
    </row>
    <row r="87" ht="15.6" customFormat="1" customHeight="1" s="149">
      <c r="A87" s="214" t="n">
        <v>74</v>
      </c>
      <c r="B87" s="214" t="n"/>
      <c r="C87" s="22" t="inlineStr">
        <is>
          <t>91.14.04-001</t>
        </is>
      </c>
      <c r="D87" s="215" t="inlineStr">
        <is>
          <t>Тягачи седельные, грузоподъемность 12 т</t>
        </is>
      </c>
      <c r="E87" s="214" t="inlineStr">
        <is>
          <t>маш.час</t>
        </is>
      </c>
      <c r="F87" s="214" t="n">
        <v>0.061724</v>
      </c>
      <c r="G87" s="231" t="n">
        <v>102.84</v>
      </c>
      <c r="H87" s="231">
        <f>ROUND(F87*G87,2)</f>
        <v/>
      </c>
    </row>
    <row r="88" ht="15.6" customFormat="1" customHeight="1" s="149">
      <c r="A88" s="214" t="n">
        <v>75</v>
      </c>
      <c r="B88" s="214" t="n"/>
      <c r="C88" s="22" t="inlineStr">
        <is>
          <t>91.13.01-051</t>
        </is>
      </c>
      <c r="D88" s="215" t="inlineStr">
        <is>
          <t>Тракторы с щетками дорожными навесными</t>
        </is>
      </c>
      <c r="E88" s="214" t="inlineStr">
        <is>
          <t>маш.час</t>
        </is>
      </c>
      <c r="F88" s="214" t="n">
        <v>0.06</v>
      </c>
      <c r="G88" s="231" t="n">
        <v>62.3</v>
      </c>
      <c r="H88" s="231">
        <f>ROUND(F88*G88,2)</f>
        <v/>
      </c>
    </row>
    <row r="89" ht="15.6" customFormat="1" customHeight="1" s="149">
      <c r="A89" s="214" t="n">
        <v>76</v>
      </c>
      <c r="B89" s="214" t="n"/>
      <c r="C89" s="22" t="inlineStr">
        <is>
          <t>91.06.08-003</t>
        </is>
      </c>
      <c r="D89" s="215" t="inlineStr">
        <is>
          <t>Тельферы электрические 2 т</t>
        </is>
      </c>
      <c r="E89" s="214" t="inlineStr">
        <is>
          <t>маш.час</t>
        </is>
      </c>
      <c r="F89" s="214" t="n">
        <v>0.339482</v>
      </c>
      <c r="G89" s="231" t="n">
        <v>4.77</v>
      </c>
      <c r="H89" s="231">
        <f>ROUND(F89*G89,2)</f>
        <v/>
      </c>
    </row>
    <row r="90" ht="31.35" customFormat="1" customHeight="1" s="149">
      <c r="A90" s="214" t="n">
        <v>77</v>
      </c>
      <c r="B90" s="214" t="n"/>
      <c r="C90" s="22" t="inlineStr">
        <is>
          <t>91.14.05-011</t>
        </is>
      </c>
      <c r="D90" s="215" t="inlineStr">
        <is>
          <t>Полуприцепы общего назначения, грузоподъемность 12 т</t>
        </is>
      </c>
      <c r="E90" s="214" t="inlineStr">
        <is>
          <t>маш.час</t>
        </is>
      </c>
      <c r="F90" s="214" t="n">
        <v>0.061724</v>
      </c>
      <c r="G90" s="231" t="n">
        <v>12</v>
      </c>
      <c r="H90" s="231">
        <f>ROUND(F90*G90,2)</f>
        <v/>
      </c>
    </row>
    <row r="91" ht="31.35" customFormat="1" customHeight="1" s="149">
      <c r="A91" s="214" t="n">
        <v>78</v>
      </c>
      <c r="B91" s="214" t="n"/>
      <c r="C91" s="22" t="inlineStr">
        <is>
          <t>91.04.01-041</t>
        </is>
      </c>
      <c r="D91" s="215" t="inlineStr">
        <is>
          <t>Молотки бурильные легкие при работе от передвижных компрессорных станций</t>
        </is>
      </c>
      <c r="E91" s="214" t="inlineStr">
        <is>
          <t>маш.час</t>
        </is>
      </c>
      <c r="F91" s="214" t="n">
        <v>0.19</v>
      </c>
      <c r="G91" s="231" t="n">
        <v>2.99</v>
      </c>
      <c r="H91" s="231">
        <f>ROUND(F91*G91,2)</f>
        <v/>
      </c>
    </row>
    <row r="92" ht="15.6" customFormat="1" customHeight="1" s="149">
      <c r="A92" s="214" t="n">
        <v>79</v>
      </c>
      <c r="B92" s="214" t="n"/>
      <c r="C92" s="22" t="inlineStr">
        <is>
          <t>91.08.02-011</t>
        </is>
      </c>
      <c r="D92" s="215" t="inlineStr">
        <is>
          <t>Гудронаторы ручные</t>
        </is>
      </c>
      <c r="E92" s="214" t="inlineStr">
        <is>
          <t>маш.час</t>
        </is>
      </c>
      <c r="F92" s="214" t="n">
        <v>0.0192</v>
      </c>
      <c r="G92" s="231" t="n">
        <v>17.2</v>
      </c>
      <c r="H92" s="231">
        <f>ROUND(F92*G92,2)</f>
        <v/>
      </c>
    </row>
    <row r="93" ht="15.6" customFormat="1" customHeight="1" s="149">
      <c r="A93" s="214" t="n">
        <v>80</v>
      </c>
      <c r="B93" s="214" t="n"/>
      <c r="C93" s="22" t="inlineStr">
        <is>
          <t>91.21.16-012</t>
        </is>
      </c>
      <c r="D93" s="215" t="inlineStr">
        <is>
          <t>Прессы гидравлические с электроприводом</t>
        </is>
      </c>
      <c r="E93" s="214" t="inlineStr">
        <is>
          <t>маш.час</t>
        </is>
      </c>
      <c r="F93" s="214" t="n">
        <v>0.173</v>
      </c>
      <c r="G93" s="231" t="n">
        <v>1.11</v>
      </c>
      <c r="H93" s="231">
        <f>ROUND(F93*G93,2)</f>
        <v/>
      </c>
    </row>
    <row r="94" ht="15.6" customFormat="1" customHeight="1" s="15">
      <c r="A94" s="213" t="inlineStr">
        <is>
          <t>Материалы</t>
        </is>
      </c>
      <c r="B94" s="243" t="n"/>
      <c r="C94" s="243" t="n"/>
      <c r="D94" s="243" t="n"/>
      <c r="E94" s="244" t="n"/>
      <c r="F94" s="213" t="n"/>
      <c r="G94" s="17" t="n"/>
      <c r="H94" s="17">
        <f>SUM(H95:H258)</f>
        <v/>
      </c>
    </row>
    <row r="95" ht="109.15" customFormat="1" customHeight="1" s="149">
      <c r="A95" s="214" t="n">
        <v>81</v>
      </c>
      <c r="B95" s="214" t="n"/>
      <c r="C95" s="22" t="inlineStr">
        <is>
          <t>07.2.05.05-0088</t>
        </is>
      </c>
      <c r="D95" s="215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250 мм, тип покрытия полиэстер, толщина металлических облицовок 0,7 мм (Россия)</t>
        </is>
      </c>
      <c r="E95" s="214" t="inlineStr">
        <is>
          <t>м2</t>
        </is>
      </c>
      <c r="F95" s="214" t="n">
        <v>1995.6</v>
      </c>
      <c r="G95" s="231" t="n">
        <v>325.11</v>
      </c>
      <c r="H95" s="231">
        <f>ROUND(F95*G95,2)</f>
        <v/>
      </c>
    </row>
    <row r="96" ht="46.9" customFormat="1" customHeight="1" s="149">
      <c r="A96" s="214" t="n">
        <v>82</v>
      </c>
      <c r="B96" s="214" t="n"/>
      <c r="C96" s="22" t="inlineStr">
        <is>
          <t>07.2.07.12-0025</t>
        </is>
      </c>
      <c r="D96" s="215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E96" s="214" t="inlineStr">
        <is>
          <t>т</t>
        </is>
      </c>
      <c r="F96" s="214" t="n">
        <v>29.523714</v>
      </c>
      <c r="G96" s="231" t="n">
        <v>7980</v>
      </c>
      <c r="H96" s="231">
        <f>ROUND(F96*G96,2)</f>
        <v/>
      </c>
    </row>
    <row r="97" ht="31.35" customFormat="1" customHeight="1" s="149">
      <c r="A97" s="214" t="n">
        <v>83</v>
      </c>
      <c r="B97" s="214" t="n"/>
      <c r="C97" s="22" t="inlineStr">
        <is>
          <t>04.1.02.05-0009</t>
        </is>
      </c>
      <c r="D97" s="215" t="inlineStr">
        <is>
          <t>Смеси бетонные тяжелого бетона (БСТ), класс В25 (М350)</t>
        </is>
      </c>
      <c r="E97" s="214" t="inlineStr">
        <is>
          <t>м3</t>
        </is>
      </c>
      <c r="F97" s="214" t="n">
        <v>116.9683</v>
      </c>
      <c r="G97" s="231" t="n">
        <v>725.6900000000001</v>
      </c>
      <c r="H97" s="231">
        <f>ROUND(F97*G97,2)</f>
        <v/>
      </c>
    </row>
    <row r="98" ht="31.35" customFormat="1" customHeight="1" s="149">
      <c r="A98" s="214" t="n">
        <v>84</v>
      </c>
      <c r="B98" s="214" t="n"/>
      <c r="C98" s="22" t="inlineStr">
        <is>
          <t>14.4.01.02-0003</t>
        </is>
      </c>
      <c r="D98" s="215" t="inlineStr">
        <is>
          <t>Грунт-эмаль акриловая однокомпонентная, марка "Pioner Topcoat"</t>
        </is>
      </c>
      <c r="E98" s="214" t="inlineStr">
        <is>
          <t>л</t>
        </is>
      </c>
      <c r="F98" s="214" t="n">
        <v>150.5</v>
      </c>
      <c r="G98" s="231" t="n">
        <v>250.78</v>
      </c>
      <c r="H98" s="231">
        <f>ROUND(F98*G98,2)</f>
        <v/>
      </c>
    </row>
    <row r="99" ht="62.45" customFormat="1" customHeight="1" s="149">
      <c r="A99" s="214" t="n">
        <v>85</v>
      </c>
      <c r="B99" s="214" t="n"/>
      <c r="C99" s="22" t="inlineStr">
        <is>
          <t>04.1.01.01-0124</t>
        </is>
      </c>
      <c r="D99" s="215" t="inlineStr">
        <is>
          <t>Смеси бетонные легкого бетона (БСЛ) на пористых заполнителях, средняя плотность D1400 кг/м3, крупность заполнителя более 10 мм, класс В25 (М350)</t>
        </is>
      </c>
      <c r="E99" s="214" t="inlineStr">
        <is>
          <t>м3</t>
        </is>
      </c>
      <c r="F99" s="214" t="n">
        <v>30.702</v>
      </c>
      <c r="G99" s="231" t="n">
        <v>939.5</v>
      </c>
      <c r="H99" s="231">
        <f>ROUND(F99*G99,2)</f>
        <v/>
      </c>
    </row>
    <row r="100" ht="15.6" customFormat="1" customHeight="1" s="149">
      <c r="A100" s="214" t="n">
        <v>86</v>
      </c>
      <c r="B100" s="214" t="n"/>
      <c r="C100" s="22" t="inlineStr">
        <is>
          <t>13.2.03.02-0002</t>
        </is>
      </c>
      <c r="D100" s="215" t="inlineStr">
        <is>
          <t>Камни бортовые, марка 2ГП</t>
        </is>
      </c>
      <c r="E100" s="214" t="inlineStr">
        <is>
          <t>м</t>
        </is>
      </c>
      <c r="F100" s="214" t="n">
        <v>60</v>
      </c>
      <c r="G100" s="231" t="n">
        <v>476.18</v>
      </c>
      <c r="H100" s="231">
        <f>ROUND(F100*G100,2)</f>
        <v/>
      </c>
    </row>
    <row r="101" ht="46.9" customFormat="1" customHeight="1" s="149">
      <c r="A101" s="214" t="n">
        <v>87</v>
      </c>
      <c r="B101" s="214" t="n"/>
      <c r="C101" s="22" t="inlineStr">
        <is>
          <t>07.2.07.12-0024</t>
        </is>
      </c>
      <c r="D101" s="215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E101" s="214" t="inlineStr">
        <is>
          <t>т</t>
        </is>
      </c>
      <c r="F101" s="214" t="n">
        <v>3.443393</v>
      </c>
      <c r="G101" s="231" t="n">
        <v>8128</v>
      </c>
      <c r="H101" s="231">
        <f>ROUND(F101*G101,2)</f>
        <v/>
      </c>
    </row>
    <row r="102" ht="15.6" customFormat="1" customHeight="1" s="149">
      <c r="A102" s="214" t="n">
        <v>88</v>
      </c>
      <c r="B102" s="214" t="n"/>
      <c r="C102" s="22" t="inlineStr">
        <is>
          <t>Прайс из СД ОП</t>
        </is>
      </c>
      <c r="D102" s="215" t="inlineStr">
        <is>
          <t>Распашные ворота с калиткой</t>
        </is>
      </c>
      <c r="E102" s="214" t="inlineStr">
        <is>
          <t>шт</t>
        </is>
      </c>
      <c r="F102" s="214" t="n">
        <v>3</v>
      </c>
      <c r="G102" s="231" t="n">
        <v>6932.64</v>
      </c>
      <c r="H102" s="231">
        <f>ROUND(F102*G102,2)</f>
        <v/>
      </c>
    </row>
    <row r="103" ht="46.9" customFormat="1" customHeight="1" s="149">
      <c r="A103" s="214" t="n">
        <v>89</v>
      </c>
      <c r="B103" s="214" t="n"/>
      <c r="C103" s="22" t="inlineStr">
        <is>
          <t>06.1.01.05-0077</t>
        </is>
      </c>
      <c r="D103" s="215" t="inlineStr">
        <is>
          <t>Кирпич керамический полнотелый с технологическими пустотами утолщенный, размер 250х120х88 мм, марка 150</t>
        </is>
      </c>
      <c r="E103" s="214" t="inlineStr">
        <is>
          <t>1000 шт</t>
        </is>
      </c>
      <c r="F103" s="214" t="n">
        <v>13.626037</v>
      </c>
      <c r="G103" s="231" t="n">
        <v>1375.06</v>
      </c>
      <c r="H103" s="231">
        <f>ROUND(F103*G103,2)</f>
        <v/>
      </c>
    </row>
    <row r="104" ht="31.35" customFormat="1" customHeight="1" s="149">
      <c r="A104" s="214" t="n">
        <v>90</v>
      </c>
      <c r="B104" s="214" t="n"/>
      <c r="C104" s="22" t="inlineStr">
        <is>
          <t>07.2.03.06-0092</t>
        </is>
      </c>
      <c r="D104" s="215" t="inlineStr">
        <is>
          <t>Пути подвесных кранов из прокатных двутавров с прямолинейными звеньями типа М</t>
        </is>
      </c>
      <c r="E104" s="214" t="inlineStr">
        <is>
          <t>т</t>
        </is>
      </c>
      <c r="F104" s="214" t="n">
        <v>1.903749</v>
      </c>
      <c r="G104" s="231" t="n">
        <v>9327.68</v>
      </c>
      <c r="H104" s="231">
        <f>ROUND(F104*G104,2)</f>
        <v/>
      </c>
    </row>
    <row r="105" ht="46.9" customFormat="1" customHeight="1" s="149">
      <c r="A105" s="214" t="n">
        <v>91</v>
      </c>
      <c r="B105" s="214" t="n"/>
      <c r="C105" s="22" t="inlineStr">
        <is>
          <t>02.3.01.05-0080</t>
        </is>
      </c>
      <c r="D105" s="215" t="inlineStr">
        <is>
          <t>Песок из отсевов дробления I класс, М 600, повышенной крупности, обогащенный, круглые сита</t>
        </is>
      </c>
      <c r="E105" s="214" t="inlineStr">
        <is>
          <t>м3</t>
        </is>
      </c>
      <c r="F105" s="214" t="n">
        <v>306</v>
      </c>
      <c r="G105" s="231" t="n">
        <v>57.65</v>
      </c>
      <c r="H105" s="231">
        <f>ROUND(F105*G105,2)</f>
        <v/>
      </c>
    </row>
    <row r="106" ht="46.9" customFormat="1" customHeight="1" s="149">
      <c r="A106" s="214" t="n">
        <v>92</v>
      </c>
      <c r="B106" s="214" t="n"/>
      <c r="C106" s="22" t="inlineStr">
        <is>
          <t>06.2.05.03-0005</t>
        </is>
      </c>
      <c r="D106" s="215" t="inlineStr">
        <is>
          <t>Гранит керамический многоцветный полированный, размер 300х600х10 мм, 600х600х10 мм</t>
        </is>
      </c>
      <c r="E106" s="214" t="inlineStr">
        <is>
          <t>м2</t>
        </is>
      </c>
      <c r="F106" s="214" t="n">
        <v>67</v>
      </c>
      <c r="G106" s="231" t="n">
        <v>253.09</v>
      </c>
      <c r="H106" s="231">
        <f>ROUND(F106*G106,2)</f>
        <v/>
      </c>
    </row>
    <row r="107" ht="62.45" customFormat="1" customHeight="1" s="149">
      <c r="A107" s="214" t="n">
        <v>93</v>
      </c>
      <c r="B107" s="214" t="n"/>
      <c r="C107" s="22" t="inlineStr">
        <is>
          <t>07.2.07.12-0001</t>
        </is>
      </c>
      <c r="D107" s="215" t="inlineStr">
        <is>
          <t>Элементы конструктивные вспомогательного назначения массой не более 50 кг с преобладанием толстолистовой стали без отверстий и сборосварочных операций</t>
        </is>
      </c>
      <c r="E107" s="214" t="inlineStr">
        <is>
          <t>т</t>
        </is>
      </c>
      <c r="F107" s="214" t="n">
        <v>2.074566</v>
      </c>
      <c r="G107" s="231" t="n">
        <v>6550</v>
      </c>
      <c r="H107" s="231">
        <f>ROUND(F107*G107,2)</f>
        <v/>
      </c>
    </row>
    <row r="108" ht="15.6" customFormat="1" customHeight="1" s="149">
      <c r="A108" s="214" t="n">
        <v>94</v>
      </c>
      <c r="B108" s="214" t="n"/>
      <c r="C108" s="22" t="inlineStr">
        <is>
          <t>04.3.01.09-0018</t>
        </is>
      </c>
      <c r="D108" s="215" t="inlineStr">
        <is>
          <t>Раствор готовый кладочный, цементный, М300</t>
        </is>
      </c>
      <c r="E108" s="214" t="inlineStr">
        <is>
          <t>м3</t>
        </is>
      </c>
      <c r="F108" s="214" t="n">
        <v>15.351</v>
      </c>
      <c r="G108" s="231" t="n">
        <v>711.5</v>
      </c>
      <c r="H108" s="231">
        <f>ROUND(F108*G108,2)</f>
        <v/>
      </c>
    </row>
    <row r="109" ht="46.9" customFormat="1" customHeight="1" s="149">
      <c r="A109" s="214" t="n">
        <v>95</v>
      </c>
      <c r="B109" s="214" t="n"/>
      <c r="C109" s="22" t="inlineStr">
        <is>
          <t>08.4.03.03-0032</t>
        </is>
      </c>
      <c r="D109" s="215" t="inlineStr">
        <is>
          <t>Сталь арматурная, горячекатаная, периодического профиля, класс А-III, диаметр 12 мм</t>
        </is>
      </c>
      <c r="E109" s="214" t="inlineStr">
        <is>
          <t>т</t>
        </is>
      </c>
      <c r="F109" s="214" t="n">
        <v>1.299</v>
      </c>
      <c r="G109" s="231" t="n">
        <v>7997.23</v>
      </c>
      <c r="H109" s="231">
        <f>ROUND(F109*G109,2)</f>
        <v/>
      </c>
    </row>
    <row r="110" ht="15.6" customFormat="1" customHeight="1" s="149">
      <c r="A110" s="214" t="n">
        <v>96</v>
      </c>
      <c r="B110" s="214" t="n"/>
      <c r="C110" s="22" t="inlineStr">
        <is>
          <t>01.7.15.02-0054</t>
        </is>
      </c>
      <c r="D110" s="215" t="inlineStr">
        <is>
          <t>Болты анкерные оцинкованные</t>
        </is>
      </c>
      <c r="E110" s="214" t="inlineStr">
        <is>
          <t>кг</t>
        </is>
      </c>
      <c r="F110" s="214" t="n">
        <v>700</v>
      </c>
      <c r="G110" s="231" t="n">
        <v>11.54</v>
      </c>
      <c r="H110" s="231">
        <f>ROUND(F110*G110,2)</f>
        <v/>
      </c>
    </row>
    <row r="111" ht="15.6" customFormat="1" customHeight="1" s="149">
      <c r="A111" s="214" t="n">
        <v>97</v>
      </c>
      <c r="B111" s="214" t="n"/>
      <c r="C111" s="22" t="inlineStr">
        <is>
          <t>01.7.07.12-0024</t>
        </is>
      </c>
      <c r="D111" s="215" t="inlineStr">
        <is>
          <t>Пленка полиэтиленовая, толщина 0,15 мм</t>
        </is>
      </c>
      <c r="E111" s="214" t="inlineStr">
        <is>
          <t>м2</t>
        </is>
      </c>
      <c r="F111" s="214" t="n">
        <v>2185.3808</v>
      </c>
      <c r="G111" s="231" t="n">
        <v>3.62</v>
      </c>
      <c r="H111" s="231">
        <f>ROUND(F111*G111,2)</f>
        <v/>
      </c>
    </row>
    <row r="112" ht="46.9" customFormat="1" customHeight="1" s="149">
      <c r="A112" s="214" t="n">
        <v>98</v>
      </c>
      <c r="B112" s="214" t="n"/>
      <c r="C112" s="22" t="inlineStr">
        <is>
          <t>07.2.06.01-0019</t>
        </is>
      </c>
      <c r="D112" s="215" t="inlineStr">
        <is>
          <t>Комплектующие для навесных вентилируемых фасадов марки NAVEK, профиль вертикальный 80 мм из оцинкованной стали</t>
        </is>
      </c>
      <c r="E112" s="214" t="inlineStr">
        <is>
          <t>м</t>
        </is>
      </c>
      <c r="F112" s="214" t="n">
        <v>270</v>
      </c>
      <c r="G112" s="231" t="n">
        <v>29.24</v>
      </c>
      <c r="H112" s="231">
        <f>ROUND(F112*G112,2)</f>
        <v/>
      </c>
    </row>
    <row r="113" ht="31.35" customFormat="1" customHeight="1" s="149">
      <c r="A113" s="214" t="n">
        <v>99</v>
      </c>
      <c r="B113" s="214" t="n"/>
      <c r="C113" s="22" t="inlineStr">
        <is>
          <t>08.1.02.17-0161</t>
        </is>
      </c>
      <c r="D113" s="215" t="inlineStr">
        <is>
          <t>Сетка тканая с квадратными ячейками № 05, без покрытия</t>
        </is>
      </c>
      <c r="E113" s="214" t="inlineStr">
        <is>
          <t>м2</t>
        </is>
      </c>
      <c r="F113" s="214" t="n">
        <v>273.24</v>
      </c>
      <c r="G113" s="231" t="n">
        <v>28.25</v>
      </c>
      <c r="H113" s="231">
        <f>ROUND(F113*G113,2)</f>
        <v/>
      </c>
    </row>
    <row r="114" ht="46.9" customFormat="1" customHeight="1" s="149">
      <c r="A114" s="214" t="n">
        <v>100</v>
      </c>
      <c r="B114" s="214" t="n"/>
      <c r="C114" s="22" t="inlineStr">
        <is>
          <t>04.1.02.02-0003</t>
        </is>
      </c>
      <c r="D114" s="215" t="inlineStr">
        <is>
          <t>Смеси бетонные тяжелого бетона (БСТ) для гидротехнических сооружений на сульфатостойких цементах, класс В7,5 (М100)</t>
        </is>
      </c>
      <c r="E114" s="214" t="inlineStr">
        <is>
          <t>м3</t>
        </is>
      </c>
      <c r="F114" s="214" t="n">
        <v>8.262</v>
      </c>
      <c r="G114" s="231" t="n">
        <v>646.02</v>
      </c>
      <c r="H114" s="231">
        <f>ROUND(F114*G114,2)</f>
        <v/>
      </c>
    </row>
    <row r="115" ht="15.6" customFormat="1" customHeight="1" s="149">
      <c r="A115" s="214" t="n">
        <v>101</v>
      </c>
      <c r="B115" s="214" t="n"/>
      <c r="C115" s="22" t="inlineStr">
        <is>
          <t>04.2.02.01-0001</t>
        </is>
      </c>
      <c r="D115" s="215" t="inlineStr">
        <is>
          <t>Смеси асфальтобетонные литые тип I</t>
        </is>
      </c>
      <c r="E115" s="214" t="inlineStr">
        <is>
          <t>т</t>
        </is>
      </c>
      <c r="F115" s="214" t="n">
        <v>9.843999999999999</v>
      </c>
      <c r="G115" s="231" t="n">
        <v>534.37</v>
      </c>
      <c r="H115" s="231">
        <f>ROUND(F115*G115,2)</f>
        <v/>
      </c>
    </row>
    <row r="116" ht="46.9" customFormat="1" customHeight="1" s="149">
      <c r="A116" s="214" t="n">
        <v>102</v>
      </c>
      <c r="B116" s="214" t="n"/>
      <c r="C116" s="22" t="inlineStr">
        <is>
          <t>12.1.01.05-0016</t>
        </is>
      </c>
      <c r="D116" s="215" t="inlineStr">
        <is>
          <t>Кронштейн желоба из оцинкованной стали для водосточных систем, диаметр 185 мм, длина 350 мм</t>
        </is>
      </c>
      <c r="E116" s="214" t="inlineStr">
        <is>
          <t>шт</t>
        </is>
      </c>
      <c r="F116" s="214" t="n">
        <v>94</v>
      </c>
      <c r="G116" s="231" t="n">
        <v>52.41</v>
      </c>
      <c r="H116" s="231">
        <f>ROUND(F116*G116,2)</f>
        <v/>
      </c>
    </row>
    <row r="117" ht="15.6" customFormat="1" customHeight="1" s="149">
      <c r="A117" s="214" t="n">
        <v>103</v>
      </c>
      <c r="B117" s="214" t="n"/>
      <c r="C117" s="22" t="inlineStr">
        <is>
          <t>Прайс из СД ОП</t>
        </is>
      </c>
      <c r="D117" s="215" t="inlineStr">
        <is>
          <t>Заглушка 13940</t>
        </is>
      </c>
      <c r="E117" s="214" t="inlineStr">
        <is>
          <t>шт</t>
        </is>
      </c>
      <c r="F117" s="214" t="n">
        <v>8</v>
      </c>
      <c r="G117" s="231" t="n">
        <v>600.6900000000001</v>
      </c>
      <c r="H117" s="231">
        <f>ROUND(F117*G117,2)</f>
        <v/>
      </c>
    </row>
    <row r="118" ht="62.45" customFormat="1" customHeight="1" s="149">
      <c r="A118" s="214" t="n">
        <v>104</v>
      </c>
      <c r="B118" s="214" t="n"/>
      <c r="C118" s="22" t="inlineStr">
        <is>
          <t>08.3.06.01-0013</t>
        </is>
      </c>
      <c r="D118" s="215" t="inlineStr">
        <is>
          <t>Прокат рифленый чечевичного рифления, шириной от 1 до 1,9 м из горячекатаных листов с обрезными кромками сталь С235, толщиной: 4 мм</t>
        </is>
      </c>
      <c r="E118" s="214" t="inlineStr">
        <is>
          <t>т</t>
        </is>
      </c>
      <c r="F118" s="214" t="n">
        <v>0.6899999999999999</v>
      </c>
      <c r="G118" s="231" t="n">
        <v>6950.56</v>
      </c>
      <c r="H118" s="231">
        <f>ROUND(F118*G118,2)</f>
        <v/>
      </c>
    </row>
    <row r="119" ht="31.35" customFormat="1" customHeight="1" s="149">
      <c r="A119" s="214" t="n">
        <v>105</v>
      </c>
      <c r="B119" s="214" t="n"/>
      <c r="C119" s="22" t="inlineStr">
        <is>
          <t>12.1.01.05-0073</t>
        </is>
      </c>
      <c r="D119" s="215" t="inlineStr">
        <is>
          <t>Труба из оцинкованной стали для водосточных систем, диаметр 150 мм, длина 1000 мм</t>
        </is>
      </c>
      <c r="E119" s="214" t="inlineStr">
        <is>
          <t>шт</t>
        </is>
      </c>
      <c r="F119" s="214" t="n">
        <v>44</v>
      </c>
      <c r="G119" s="231" t="n">
        <v>104.82</v>
      </c>
      <c r="H119" s="231">
        <f>ROUND(F119*G119,2)</f>
        <v/>
      </c>
    </row>
    <row r="120" ht="15.6" customFormat="1" customHeight="1" s="149">
      <c r="A120" s="214" t="n">
        <v>106</v>
      </c>
      <c r="B120" s="214" t="n"/>
      <c r="C120" s="22" t="inlineStr">
        <is>
          <t>02.2.05.04-1562</t>
        </is>
      </c>
      <c r="D120" s="215" t="inlineStr">
        <is>
          <t>Щебень М 300, фракция 5(3)-10 мм, группа 2</t>
        </is>
      </c>
      <c r="E120" s="214" t="inlineStr">
        <is>
          <t>м3</t>
        </is>
      </c>
      <c r="F120" s="214" t="n">
        <v>30</v>
      </c>
      <c r="G120" s="231" t="n">
        <v>142.75</v>
      </c>
      <c r="H120" s="231">
        <f>ROUND(F120*G120,2)</f>
        <v/>
      </c>
    </row>
    <row r="121" ht="46.9" customFormat="1" customHeight="1" s="149">
      <c r="A121" s="214" t="n">
        <v>107</v>
      </c>
      <c r="B121" s="214" t="n"/>
      <c r="C121" s="22" t="inlineStr">
        <is>
          <t>12.2.05.09-0034</t>
        </is>
      </c>
      <c r="D121" s="215" t="inlineStr">
        <is>
          <t>Плиты пенополистирольные экструзионные ТЕХНОПЛЕКС (ТУ 2244-047-17925162-2006), марки 35 Стандарт (толщ.80мм)</t>
        </is>
      </c>
      <c r="E121" s="214" t="inlineStr">
        <is>
          <t>м3</t>
        </is>
      </c>
      <c r="F121" s="214" t="n">
        <v>5.36</v>
      </c>
      <c r="G121" s="231" t="n">
        <v>790.61</v>
      </c>
      <c r="H121" s="231">
        <f>ROUND(F121*G121,2)</f>
        <v/>
      </c>
    </row>
    <row r="122" ht="15.6" customFormat="1" customHeight="1" s="149">
      <c r="A122" s="214" t="n">
        <v>108</v>
      </c>
      <c r="B122" s="214" t="n"/>
      <c r="C122" s="22" t="inlineStr">
        <is>
          <t>08.3.05.05-0051</t>
        </is>
      </c>
      <c r="D122" s="215" t="inlineStr">
        <is>
          <t>Сталь листовая оцинкованная, толщина 0,5 мм</t>
        </is>
      </c>
      <c r="E122" s="214" t="inlineStr">
        <is>
          <t>т</t>
        </is>
      </c>
      <c r="F122" s="214" t="n">
        <v>0.3644</v>
      </c>
      <c r="G122" s="231" t="n">
        <v>11200</v>
      </c>
      <c r="H122" s="231">
        <f>ROUND(F122*G122,2)</f>
        <v/>
      </c>
    </row>
    <row r="123" ht="31.35" customFormat="1" customHeight="1" s="149">
      <c r="A123" s="214" t="n">
        <v>109</v>
      </c>
      <c r="B123" s="214" t="n"/>
      <c r="C123" s="22" t="inlineStr">
        <is>
          <t>04.3.01.07-0012</t>
        </is>
      </c>
      <c r="D123" s="215" t="inlineStr">
        <is>
          <t>Раствор готовый отделочный тяжелый, известковый, состав 1:2,5</t>
        </is>
      </c>
      <c r="E123" s="214" t="inlineStr">
        <is>
          <t>м3</t>
        </is>
      </c>
      <c r="F123" s="214" t="n">
        <v>7.843</v>
      </c>
      <c r="G123" s="231" t="n">
        <v>510.4</v>
      </c>
      <c r="H123" s="231">
        <f>ROUND(F123*G123,2)</f>
        <v/>
      </c>
    </row>
    <row r="124" ht="31.35" customFormat="1" customHeight="1" s="149">
      <c r="A124" s="214" t="n">
        <v>110</v>
      </c>
      <c r="B124" s="214" t="n"/>
      <c r="C124" s="22" t="inlineStr">
        <is>
          <t>08.1.02.03-0001</t>
        </is>
      </c>
      <c r="D124" s="215" t="inlineStr">
        <is>
          <t>Аквилон из оцинкованной стали с полимерным покрытием</t>
        </is>
      </c>
      <c r="E124" s="214" t="inlineStr">
        <is>
          <t>м</t>
        </is>
      </c>
      <c r="F124" s="214" t="n">
        <v>110.88</v>
      </c>
      <c r="G124" s="231" t="n">
        <v>31.05</v>
      </c>
      <c r="H124" s="231">
        <f>ROUND(F124*G124,2)</f>
        <v/>
      </c>
    </row>
    <row r="125" ht="31.35" customFormat="1" customHeight="1" s="149">
      <c r="A125" s="214" t="n">
        <v>111</v>
      </c>
      <c r="B125" s="214" t="n"/>
      <c r="C125" s="22" t="inlineStr">
        <is>
          <t>04.3.01.12-0005</t>
        </is>
      </c>
      <c r="D125" s="215" t="inlineStr">
        <is>
          <t>Раствор кладочный, цементно-известковый, М100</t>
        </is>
      </c>
      <c r="E125" s="214" t="inlineStr">
        <is>
          <t>м3</t>
        </is>
      </c>
      <c r="F125" s="214" t="n">
        <v>6.4584</v>
      </c>
      <c r="G125" s="231" t="n">
        <v>529.41</v>
      </c>
      <c r="H125" s="231">
        <f>ROUND(F125*G125,2)</f>
        <v/>
      </c>
    </row>
    <row r="126" ht="15.6" customFormat="1" customHeight="1" s="149">
      <c r="A126" s="214" t="n">
        <v>112</v>
      </c>
      <c r="B126" s="214" t="n"/>
      <c r="C126" s="22" t="inlineStr">
        <is>
          <t>Прайс из СД ОП</t>
        </is>
      </c>
      <c r="D126" s="215" t="inlineStr">
        <is>
          <t>Навесной корпус щитка освещения  DSO1 13432</t>
        </is>
      </c>
      <c r="E126" s="214" t="inlineStr">
        <is>
          <t>шт</t>
        </is>
      </c>
      <c r="F126" s="214" t="n">
        <v>1</v>
      </c>
      <c r="G126" s="231" t="n">
        <v>2422.36</v>
      </c>
      <c r="H126" s="231">
        <f>ROUND(F126*G126,2)</f>
        <v/>
      </c>
    </row>
    <row r="127" ht="31.35" customFormat="1" customHeight="1" s="149">
      <c r="A127" s="214" t="n">
        <v>113</v>
      </c>
      <c r="B127" s="214" t="n"/>
      <c r="C127" s="22" t="inlineStr">
        <is>
          <t>08.1.02.03-0081</t>
        </is>
      </c>
      <c r="D127" s="215" t="inlineStr">
        <is>
          <t>Планка откосная из оцинкованной стали с полимерным покрытием, ширина 250 мм</t>
        </is>
      </c>
      <c r="E127" s="214" t="inlineStr">
        <is>
          <t>м</t>
        </is>
      </c>
      <c r="F127" s="214" t="n">
        <v>110.88</v>
      </c>
      <c r="G127" s="231" t="n">
        <v>21.05</v>
      </c>
      <c r="H127" s="231">
        <f>ROUND(F127*G127,2)</f>
        <v/>
      </c>
    </row>
    <row r="128" ht="31.35" customFormat="1" customHeight="1" s="149">
      <c r="A128" s="214" t="n">
        <v>114</v>
      </c>
      <c r="B128" s="214" t="n"/>
      <c r="C128" s="22" t="inlineStr">
        <is>
          <t>04.1.02.05-0006</t>
        </is>
      </c>
      <c r="D128" s="215" t="inlineStr">
        <is>
          <t>Смеси бетонные тяжелого бетона (БСТ), класс В15 (М200)</t>
        </is>
      </c>
      <c r="E128" s="214" t="inlineStr">
        <is>
          <t>м3</t>
        </is>
      </c>
      <c r="F128" s="214" t="n">
        <v>3.54</v>
      </c>
      <c r="G128" s="231" t="n">
        <v>592.76</v>
      </c>
      <c r="H128" s="231">
        <f>ROUND(F128*G128,2)</f>
        <v/>
      </c>
    </row>
    <row r="129" ht="15.6" customFormat="1" customHeight="1" s="149">
      <c r="A129" s="214" t="n">
        <v>115</v>
      </c>
      <c r="B129" s="214" t="n"/>
      <c r="C129" s="22" t="inlineStr">
        <is>
          <t>02.2.05.04-1567</t>
        </is>
      </c>
      <c r="D129" s="215" t="inlineStr">
        <is>
          <t>Щебень М 400, фракция 5(3)-10 мм, группа 2</t>
        </is>
      </c>
      <c r="E129" s="214" t="inlineStr">
        <is>
          <t>м3</t>
        </is>
      </c>
      <c r="F129" s="214" t="n">
        <v>15.351</v>
      </c>
      <c r="G129" s="231" t="n">
        <v>131.08</v>
      </c>
      <c r="H129" s="231">
        <f>ROUND(F129*G129,2)</f>
        <v/>
      </c>
    </row>
    <row r="130" ht="15.6" customFormat="1" customHeight="1" s="149">
      <c r="A130" s="214" t="n">
        <v>116</v>
      </c>
      <c r="B130" s="214" t="n"/>
      <c r="C130" s="22" t="inlineStr">
        <is>
          <t>12.1.02.11-0017</t>
        </is>
      </c>
      <c r="D130" s="215" t="inlineStr">
        <is>
          <t>ИЗОСПАН: C</t>
        </is>
      </c>
      <c r="E130" s="214" t="inlineStr">
        <is>
          <t>10 м2</t>
        </is>
      </c>
      <c r="F130" s="214" t="n">
        <v>41.8</v>
      </c>
      <c r="G130" s="231" t="n">
        <v>42</v>
      </c>
      <c r="H130" s="231">
        <f>ROUND(F130*G130,2)</f>
        <v/>
      </c>
    </row>
    <row r="131" ht="31.35" customFormat="1" customHeight="1" s="149">
      <c r="A131" s="214" t="n">
        <v>117</v>
      </c>
      <c r="B131" s="214" t="n"/>
      <c r="C131" s="22" t="inlineStr">
        <is>
          <t>21.1.06.10-0604</t>
        </is>
      </c>
      <c r="D131" s="215" t="inlineStr">
        <is>
          <t>Кабель силовой с медными жилами ВВГнг-LS 5х4-1000</t>
        </is>
      </c>
      <c r="E131" s="214" t="inlineStr">
        <is>
          <t>1000 м</t>
        </is>
      </c>
      <c r="F131" s="214" t="n">
        <v>0.06</v>
      </c>
      <c r="G131" s="231" t="n">
        <v>28604.12</v>
      </c>
      <c r="H131" s="231">
        <f>ROUND(F131*G131,2)</f>
        <v/>
      </c>
    </row>
    <row r="132" ht="31.35" customFormat="1" customHeight="1" s="149">
      <c r="A132" s="214" t="n">
        <v>118</v>
      </c>
      <c r="B132" s="214" t="n"/>
      <c r="C132" s="22" t="inlineStr">
        <is>
          <t>20.5.02.04-0006</t>
        </is>
      </c>
      <c r="D132" s="215" t="inlineStr">
        <is>
          <t>Коробка ответвительная КОР-94-3У2 IP43, размер 80х80х43 мм</t>
        </is>
      </c>
      <c r="E132" s="214" t="inlineStr">
        <is>
          <t>10 шт</t>
        </is>
      </c>
      <c r="F132" s="214" t="n">
        <v>13</v>
      </c>
      <c r="G132" s="231" t="n">
        <v>130.1</v>
      </c>
      <c r="H132" s="231">
        <f>ROUND(F132*G132,2)</f>
        <v/>
      </c>
    </row>
    <row r="133" ht="31.35" customFormat="1" customHeight="1" s="149">
      <c r="A133" s="214" t="n">
        <v>119</v>
      </c>
      <c r="B133" s="214" t="n"/>
      <c r="C133" s="22" t="inlineStr">
        <is>
          <t>21.1.06.10-0579</t>
        </is>
      </c>
      <c r="D133" s="215" t="inlineStr">
        <is>
          <t>Кабель силовой с медными жилами ВВГнг-LS 3х2,5-1000</t>
        </is>
      </c>
      <c r="E133" s="214" t="inlineStr">
        <is>
          <t>1000 м</t>
        </is>
      </c>
      <c r="F133" s="214" t="n">
        <v>0.12</v>
      </c>
      <c r="G133" s="231" t="n">
        <v>13942.81</v>
      </c>
      <c r="H133" s="231">
        <f>ROUND(F133*G133,2)</f>
        <v/>
      </c>
    </row>
    <row r="134" ht="15.6" customFormat="1" customHeight="1" s="149">
      <c r="A134" s="214" t="n">
        <v>120</v>
      </c>
      <c r="B134" s="214" t="n"/>
      <c r="C134" s="22" t="inlineStr">
        <is>
          <t>01.7.15.03-0042</t>
        </is>
      </c>
      <c r="D134" s="215" t="inlineStr">
        <is>
          <t>Болты с гайками и шайбами строительные</t>
        </is>
      </c>
      <c r="E134" s="214" t="inlineStr">
        <is>
          <t>кг</t>
        </is>
      </c>
      <c r="F134" s="214" t="n">
        <v>174.0839724</v>
      </c>
      <c r="G134" s="231" t="n">
        <v>9.039999999999999</v>
      </c>
      <c r="H134" s="231">
        <f>ROUND(F134*G134,2)</f>
        <v/>
      </c>
    </row>
    <row r="135" ht="31.35" customFormat="1" customHeight="1" s="149">
      <c r="A135" s="214" t="n">
        <v>121</v>
      </c>
      <c r="B135" s="214" t="n"/>
      <c r="C135" s="22" t="inlineStr">
        <is>
          <t>Прайс из СД ОП</t>
        </is>
      </c>
      <c r="D135" s="215" t="inlineStr">
        <is>
          <t>Соединители, моносоединение, 4 штуки в комплекте А9ХРСМО4</t>
        </is>
      </c>
      <c r="E135" s="214" t="inlineStr">
        <is>
          <t>шт</t>
        </is>
      </c>
      <c r="F135" s="214" t="n">
        <v>1</v>
      </c>
      <c r="G135" s="231" t="n">
        <v>1456.67</v>
      </c>
      <c r="H135" s="231">
        <f>ROUND(F135*G135,2)</f>
        <v/>
      </c>
    </row>
    <row r="136" ht="31.35" customFormat="1" customHeight="1" s="149">
      <c r="A136" s="214" t="n">
        <v>122</v>
      </c>
      <c r="B136" s="214" t="n"/>
      <c r="C136" s="22" t="inlineStr">
        <is>
          <t>08.4.03.02-0002</t>
        </is>
      </c>
      <c r="D136" s="215" t="inlineStr">
        <is>
          <t>Сталь арматурная, горячекатаная, гладкая, класс А-I, диаметр 8 мм</t>
        </is>
      </c>
      <c r="E136" s="214" t="inlineStr">
        <is>
          <t>т</t>
        </is>
      </c>
      <c r="F136" s="214" t="n">
        <v>0.2112</v>
      </c>
      <c r="G136" s="231" t="n">
        <v>6780</v>
      </c>
      <c r="H136" s="231">
        <f>ROUND(F136*G136,2)</f>
        <v/>
      </c>
    </row>
    <row r="137" ht="15.6" customFormat="1" customHeight="1" s="149">
      <c r="A137" s="214" t="n">
        <v>123</v>
      </c>
      <c r="B137" s="214" t="n"/>
      <c r="C137" s="22" t="inlineStr">
        <is>
          <t>01.7.11.07-0036</t>
        </is>
      </c>
      <c r="D137" s="215" t="inlineStr">
        <is>
          <t>Электроды сварочные Э46, диаметр 4 мм</t>
        </is>
      </c>
      <c r="E137" s="214" t="inlineStr">
        <is>
          <t>кг</t>
        </is>
      </c>
      <c r="F137" s="214" t="n">
        <v>131.879276</v>
      </c>
      <c r="G137" s="231" t="n">
        <v>10.75</v>
      </c>
      <c r="H137" s="231">
        <f>ROUND(F137*G137,2)</f>
        <v/>
      </c>
    </row>
    <row r="138" ht="46.9" customFormat="1" customHeight="1" s="149">
      <c r="A138" s="214" t="n">
        <v>124</v>
      </c>
      <c r="B138" s="214" t="n"/>
      <c r="C138" s="22" t="inlineStr">
        <is>
          <t>07.2.06.01-0004</t>
        </is>
      </c>
      <c r="D138" s="215" t="inlineStr">
        <is>
          <t>Комплектующие для навесных вентилируемых фасадов кронштейн 110 мм из оцинкованной стали</t>
        </is>
      </c>
      <c r="E138" s="214" t="inlineStr">
        <is>
          <t>шт</t>
        </is>
      </c>
      <c r="F138" s="214" t="n">
        <v>270</v>
      </c>
      <c r="G138" s="231" t="n">
        <v>4.94</v>
      </c>
      <c r="H138" s="231">
        <f>ROUND(F138*G138,2)</f>
        <v/>
      </c>
    </row>
    <row r="139" ht="15.6" customFormat="1" customHeight="1" s="149">
      <c r="A139" s="214" t="n">
        <v>125</v>
      </c>
      <c r="B139" s="214" t="n"/>
      <c r="C139" s="22" t="inlineStr">
        <is>
          <t>02.1.01.01-0001</t>
        </is>
      </c>
      <c r="D139" s="215" t="inlineStr">
        <is>
          <t>Глина</t>
        </is>
      </c>
      <c r="E139" s="214" t="inlineStr">
        <is>
          <t>м3</t>
        </is>
      </c>
      <c r="F139" s="214" t="n">
        <v>14.375</v>
      </c>
      <c r="G139" s="231" t="n">
        <v>87.8</v>
      </c>
      <c r="H139" s="231">
        <f>ROUND(F139*G139,2)</f>
        <v/>
      </c>
    </row>
    <row r="140" ht="15.6" customFormat="1" customHeight="1" s="149">
      <c r="A140" s="214" t="n">
        <v>126</v>
      </c>
      <c r="B140" s="214" t="n"/>
      <c r="C140" s="22" t="inlineStr">
        <is>
          <t>14.5.09.07-0022</t>
        </is>
      </c>
      <c r="D140" s="215" t="inlineStr">
        <is>
          <t>Растворитель № 646</t>
        </is>
      </c>
      <c r="E140" s="214" t="inlineStr">
        <is>
          <t>т</t>
        </is>
      </c>
      <c r="F140" s="214" t="n">
        <v>0.117</v>
      </c>
      <c r="G140" s="231" t="n">
        <v>10465</v>
      </c>
      <c r="H140" s="231">
        <f>ROUND(F140*G140,2)</f>
        <v/>
      </c>
    </row>
    <row r="141" ht="15.6" customFormat="1" customHeight="1" s="149">
      <c r="A141" s="214" t="n">
        <v>127</v>
      </c>
      <c r="B141" s="214" t="n"/>
      <c r="C141" s="22" t="inlineStr">
        <is>
          <t>01.7.11.07-0032</t>
        </is>
      </c>
      <c r="D141" s="215" t="inlineStr">
        <is>
          <t>Электроды сварочные Э42, диаметр 4 мм</t>
        </is>
      </c>
      <c r="E141" s="214" t="inlineStr">
        <is>
          <t>т</t>
        </is>
      </c>
      <c r="F141" s="214" t="n">
        <v>0.1168613</v>
      </c>
      <c r="G141" s="231" t="n">
        <v>10315.01</v>
      </c>
      <c r="H141" s="231">
        <f>ROUND(F141*G141,2)</f>
        <v/>
      </c>
    </row>
    <row r="142" ht="31.35" customFormat="1" customHeight="1" s="149">
      <c r="A142" s="214" t="n">
        <v>128</v>
      </c>
      <c r="B142" s="214" t="n"/>
      <c r="C142" s="22" t="inlineStr">
        <is>
          <t>Прайс из СД ОП</t>
        </is>
      </c>
      <c r="D142" s="215" t="inlineStr">
        <is>
          <t>Выключатель автоматический трехполюсный IC60N A9F78110 на ток 10А</t>
        </is>
      </c>
      <c r="E142" s="214" t="inlineStr">
        <is>
          <t>шт</t>
        </is>
      </c>
      <c r="F142" s="214" t="n">
        <v>3</v>
      </c>
      <c r="G142" s="231" t="n">
        <v>382.8</v>
      </c>
      <c r="H142" s="231">
        <f>ROUND(F142*G142,2)</f>
        <v/>
      </c>
    </row>
    <row r="143" ht="15.6" customFormat="1" customHeight="1" s="149">
      <c r="A143" s="214" t="n">
        <v>129</v>
      </c>
      <c r="B143" s="214" t="n"/>
      <c r="C143" s="22" t="inlineStr">
        <is>
          <t>11.2.13.04-0011</t>
        </is>
      </c>
      <c r="D143" s="215" t="inlineStr">
        <is>
          <t>Щиты из досок, толщина 25 мм</t>
        </is>
      </c>
      <c r="E143" s="214" t="inlineStr">
        <is>
          <t>м2</t>
        </is>
      </c>
      <c r="F143" s="214" t="n">
        <v>30.45878</v>
      </c>
      <c r="G143" s="231" t="n">
        <v>35.53</v>
      </c>
      <c r="H143" s="231">
        <f>ROUND(F143*G143,2)</f>
        <v/>
      </c>
    </row>
    <row r="144" ht="31.35" customFormat="1" customHeight="1" s="149">
      <c r="A144" s="214" t="n">
        <v>130</v>
      </c>
      <c r="B144" s="214" t="n"/>
      <c r="C144" s="22" t="inlineStr">
        <is>
          <t>08.4.03.02-0001</t>
        </is>
      </c>
      <c r="D144" s="215" t="inlineStr">
        <is>
          <t>Сталь арматурная, горячекатаная, гладкая, класс А-I, диаметр 6 мм</t>
        </is>
      </c>
      <c r="E144" s="214" t="inlineStr">
        <is>
          <t>т</t>
        </is>
      </c>
      <c r="F144" s="214" t="n">
        <v>0.1385</v>
      </c>
      <c r="G144" s="231" t="n">
        <v>7418.82</v>
      </c>
      <c r="H144" s="231">
        <f>ROUND(F144*G144,2)</f>
        <v/>
      </c>
    </row>
    <row r="145" ht="15.6" customFormat="1" customHeight="1" s="149">
      <c r="A145" s="214" t="n">
        <v>131</v>
      </c>
      <c r="B145" s="214" t="n"/>
      <c r="C145" s="22" t="inlineStr">
        <is>
          <t>08.1.02.11-0013</t>
        </is>
      </c>
      <c r="D145" s="215" t="inlineStr">
        <is>
          <t>Поковки оцинкованные, масса 2,825 кг</t>
        </is>
      </c>
      <c r="E145" s="214" t="inlineStr">
        <is>
          <t>т</t>
        </is>
      </c>
      <c r="F145" s="214" t="n">
        <v>0.12763</v>
      </c>
      <c r="G145" s="231" t="n">
        <v>7977</v>
      </c>
      <c r="H145" s="231">
        <f>ROUND(F145*G145,2)</f>
        <v/>
      </c>
    </row>
    <row r="146" ht="15.6" customFormat="1" customHeight="1" s="149">
      <c r="A146" s="214" t="n">
        <v>132</v>
      </c>
      <c r="B146" s="214" t="n"/>
      <c r="C146" s="22" t="inlineStr">
        <is>
          <t>04.2.04.01-0013</t>
        </is>
      </c>
      <c r="D146" s="215" t="inlineStr">
        <is>
          <t>Смеси асфальтобетонные тип Гх марка I</t>
        </is>
      </c>
      <c r="E146" s="214" t="inlineStr">
        <is>
          <t>т</t>
        </is>
      </c>
      <c r="F146" s="214" t="n">
        <v>3.2</v>
      </c>
      <c r="G146" s="231" t="n">
        <v>312.46</v>
      </c>
      <c r="H146" s="231">
        <f>ROUND(F146*G146,2)</f>
        <v/>
      </c>
    </row>
    <row r="147" ht="46.9" customFormat="1" customHeight="1" s="149">
      <c r="A147" s="214" t="n">
        <v>133</v>
      </c>
      <c r="B147" s="214" t="n"/>
      <c r="C147" s="22" t="inlineStr">
        <is>
          <t>12.1.01.05-0006</t>
        </is>
      </c>
      <c r="D147" s="215" t="inlineStr">
        <is>
          <t>Воронка выпускная металлическая для водосточных систем, покрытие полиэстер, диаметр 185/150 мм</t>
        </is>
      </c>
      <c r="E147" s="214" t="inlineStr">
        <is>
          <t>шт</t>
        </is>
      </c>
      <c r="F147" s="214" t="n">
        <v>4</v>
      </c>
      <c r="G147" s="231" t="n">
        <v>249.4</v>
      </c>
      <c r="H147" s="231">
        <f>ROUND(F147*G147,2)</f>
        <v/>
      </c>
    </row>
    <row r="148" ht="46.9" customFormat="1" customHeight="1" s="149">
      <c r="A148" s="214" t="n">
        <v>134</v>
      </c>
      <c r="B148" s="214" t="n"/>
      <c r="C148" s="22" t="inlineStr">
        <is>
          <t>12.1.01.05-0048</t>
        </is>
      </c>
      <c r="D148" s="215" t="inlineStr">
        <is>
          <t>Колено трубы сливное 60° металлическое для водосточных систем, покрытие полиэстер, диаметр 150 мм</t>
        </is>
      </c>
      <c r="E148" s="214" t="inlineStr">
        <is>
          <t>шт</t>
        </is>
      </c>
      <c r="F148" s="214" t="n">
        <v>12</v>
      </c>
      <c r="G148" s="231" t="n">
        <v>83.12</v>
      </c>
      <c r="H148" s="231">
        <f>ROUND(F148*G148,2)</f>
        <v/>
      </c>
    </row>
    <row r="149" ht="15.6" customFormat="1" customHeight="1" s="149">
      <c r="A149" s="214" t="n">
        <v>135</v>
      </c>
      <c r="B149" s="214" t="n"/>
      <c r="C149" s="22" t="inlineStr">
        <is>
          <t>04.3.01.09-0011</t>
        </is>
      </c>
      <c r="D149" s="215" t="inlineStr">
        <is>
          <t>Раствор готовый кладочный, цементный, М25</t>
        </is>
      </c>
      <c r="E149" s="214" t="inlineStr">
        <is>
          <t>м3</t>
        </is>
      </c>
      <c r="F149" s="214" t="n">
        <v>2.134312</v>
      </c>
      <c r="G149" s="231" t="n">
        <v>463.3</v>
      </c>
      <c r="H149" s="231">
        <f>ROUND(F149*G149,2)</f>
        <v/>
      </c>
    </row>
    <row r="150" ht="46.9" customFormat="1" customHeight="1" s="149">
      <c r="A150" s="214" t="n">
        <v>136</v>
      </c>
      <c r="B150" s="214" t="n"/>
      <c r="C150" s="22" t="inlineStr">
        <is>
          <t>08.1.02.07-0035</t>
        </is>
      </c>
      <c r="D150" s="215" t="inlineStr">
        <is>
          <t>Дополнительные элементы металлочерепичной кровли желоб водосточный оцинкованный, длиной 2000 мм</t>
        </is>
      </c>
      <c r="E150" s="214" t="inlineStr">
        <is>
          <t>шт</t>
        </is>
      </c>
      <c r="F150" s="214" t="n">
        <v>26</v>
      </c>
      <c r="G150" s="231" t="n">
        <v>35.69</v>
      </c>
      <c r="H150" s="231">
        <f>ROUND(F150*G150,2)</f>
        <v/>
      </c>
    </row>
    <row r="151" ht="31.35" customFormat="1" customHeight="1" s="149">
      <c r="A151" s="214" t="n">
        <v>137</v>
      </c>
      <c r="B151" s="214" t="n"/>
      <c r="C151" s="22" t="inlineStr">
        <is>
          <t>08.1.02.03-0051</t>
        </is>
      </c>
      <c r="D151" s="215" t="inlineStr">
        <is>
          <t>Наличник из оцинкованной стали с полимерным покрытием</t>
        </is>
      </c>
      <c r="E151" s="214" t="inlineStr">
        <is>
          <t>м</t>
        </is>
      </c>
      <c r="F151" s="214" t="n">
        <v>23.184</v>
      </c>
      <c r="G151" s="231" t="n">
        <v>38.82</v>
      </c>
      <c r="H151" s="231">
        <f>ROUND(F151*G151,2)</f>
        <v/>
      </c>
    </row>
    <row r="152" ht="31.35" customFormat="1" customHeight="1" s="149">
      <c r="A152" s="214" t="n">
        <v>138</v>
      </c>
      <c r="B152" s="214" t="n"/>
      <c r="C152" s="22" t="inlineStr">
        <is>
          <t>Прайс из СД ОП</t>
        </is>
      </c>
      <c r="D152" s="215" t="inlineStr">
        <is>
          <t>Выключатель автоматический трехполюсный IC60N A9F78325 на ток 25А</t>
        </is>
      </c>
      <c r="E152" s="214" t="inlineStr">
        <is>
          <t>шт</t>
        </is>
      </c>
      <c r="F152" s="214" t="n">
        <v>2</v>
      </c>
      <c r="G152" s="231" t="n">
        <v>445.23</v>
      </c>
      <c r="H152" s="231">
        <f>ROUND(F152*G152,2)</f>
        <v/>
      </c>
    </row>
    <row r="153" ht="46.9" customFormat="1" customHeight="1" s="149">
      <c r="A153" s="214" t="n">
        <v>139</v>
      </c>
      <c r="B153" s="214" t="n"/>
      <c r="C153" s="22" t="inlineStr">
        <is>
          <t>08.4.01.02-0011</t>
        </is>
      </c>
      <c r="D153" s="215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E153" s="214" t="inlineStr">
        <is>
          <t>т</t>
        </is>
      </c>
      <c r="F153" s="214" t="n">
        <v>0.1512</v>
      </c>
      <c r="G153" s="231" t="n">
        <v>5804</v>
      </c>
      <c r="H153" s="231">
        <f>ROUND(F153*G153,2)</f>
        <v/>
      </c>
    </row>
    <row r="154" ht="15.6" customFormat="1" customHeight="1" s="149">
      <c r="A154" s="214" t="n">
        <v>140</v>
      </c>
      <c r="B154" s="214" t="n"/>
      <c r="C154" s="22" t="inlineStr">
        <is>
          <t>08.3.07.01-0042</t>
        </is>
      </c>
      <c r="D154" s="215" t="inlineStr">
        <is>
          <t>Сталь полосовая 40х4 мм, кипящая</t>
        </is>
      </c>
      <c r="E154" s="214" t="inlineStr">
        <is>
          <t>т</t>
        </is>
      </c>
      <c r="F154" s="214" t="n">
        <v>0.138</v>
      </c>
      <c r="G154" s="231" t="n">
        <v>6200</v>
      </c>
      <c r="H154" s="231">
        <f>ROUND(F154*G154,2)</f>
        <v/>
      </c>
    </row>
    <row r="155" ht="46.9" customFormat="1" customHeight="1" s="149">
      <c r="A155" s="214" t="n">
        <v>141</v>
      </c>
      <c r="B155" s="214" t="n"/>
      <c r="C155" s="22" t="inlineStr">
        <is>
          <t>07.2.07.12-0020</t>
        </is>
      </c>
      <c r="D155" s="215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55" s="214" t="inlineStr">
        <is>
          <t>т</t>
        </is>
      </c>
      <c r="F155" s="214" t="n">
        <v>0.1106123</v>
      </c>
      <c r="G155" s="231" t="n">
        <v>7712</v>
      </c>
      <c r="H155" s="231">
        <f>ROUND(F155*G155,2)</f>
        <v/>
      </c>
    </row>
    <row r="156" ht="15.6" customFormat="1" customHeight="1" s="149">
      <c r="A156" s="214" t="n">
        <v>142</v>
      </c>
      <c r="B156" s="214" t="n"/>
      <c r="C156" s="22" t="inlineStr">
        <is>
          <t>08.3.11.01-0091</t>
        </is>
      </c>
      <c r="D156" s="215" t="inlineStr">
        <is>
          <t>Швеллеры № 40, марка стали Ст0</t>
        </is>
      </c>
      <c r="E156" s="214" t="inlineStr">
        <is>
          <t>т</t>
        </is>
      </c>
      <c r="F156" s="214" t="n">
        <v>0.164874</v>
      </c>
      <c r="G156" s="231" t="n">
        <v>4920</v>
      </c>
      <c r="H156" s="231">
        <f>ROUND(F156*G156,2)</f>
        <v/>
      </c>
    </row>
    <row r="157" ht="15.6" customFormat="1" customHeight="1" s="149">
      <c r="A157" s="214" t="n">
        <v>143</v>
      </c>
      <c r="B157" s="214" t="n"/>
      <c r="C157" s="22" t="inlineStr">
        <is>
          <t>02.2.05.02-0003</t>
        </is>
      </c>
      <c r="D157" s="215" t="inlineStr">
        <is>
          <t>Щебень аглопоритовый М 600, фракция 5-10 мм</t>
        </is>
      </c>
      <c r="E157" s="214" t="inlineStr">
        <is>
          <t>м3</t>
        </is>
      </c>
      <c r="F157" s="214" t="n">
        <v>7.93</v>
      </c>
      <c r="G157" s="231" t="n">
        <v>99.79000000000001</v>
      </c>
      <c r="H157" s="231">
        <f>ROUND(F157*G157,2)</f>
        <v/>
      </c>
    </row>
    <row r="158" ht="15.6" customFormat="1" customHeight="1" s="149">
      <c r="A158" s="214" t="n">
        <v>144</v>
      </c>
      <c r="B158" s="214" t="n"/>
      <c r="C158" s="22" t="inlineStr">
        <is>
          <t>20.1.02.10-0032</t>
        </is>
      </c>
      <c r="D158" s="215" t="inlineStr">
        <is>
          <t>Подвесы скользящего и концевого крепления</t>
        </is>
      </c>
      <c r="E158" s="214" t="inlineStr">
        <is>
          <t>100 шт</t>
        </is>
      </c>
      <c r="F158" s="214" t="n">
        <v>0.549</v>
      </c>
      <c r="G158" s="231" t="n">
        <v>1440</v>
      </c>
      <c r="H158" s="231">
        <f>ROUND(F158*G158,2)</f>
        <v/>
      </c>
    </row>
    <row r="159" ht="15.6" customFormat="1" customHeight="1" s="149">
      <c r="A159" s="214" t="n">
        <v>145</v>
      </c>
      <c r="B159" s="214" t="n"/>
      <c r="C159" s="22" t="inlineStr">
        <is>
          <t>14.4.04.08-0007</t>
        </is>
      </c>
      <c r="D159" s="215" t="inlineStr">
        <is>
          <t>Эмаль ПФ-133, темно-серая</t>
        </is>
      </c>
      <c r="E159" s="214" t="inlineStr">
        <is>
          <t>т</t>
        </is>
      </c>
      <c r="F159" s="214" t="n">
        <v>0.02709</v>
      </c>
      <c r="G159" s="231" t="n">
        <v>24950</v>
      </c>
      <c r="H159" s="231">
        <f>ROUND(F159*G159,2)</f>
        <v/>
      </c>
    </row>
    <row r="160" ht="15.6" customFormat="1" customHeight="1" s="149">
      <c r="A160" s="214" t="n">
        <v>146</v>
      </c>
      <c r="B160" s="214" t="n"/>
      <c r="C160" s="22" t="inlineStr">
        <is>
          <t>Прайс из СД ОП</t>
        </is>
      </c>
      <c r="D160" s="215" t="inlineStr">
        <is>
          <t>Гребенчатая шина А9ХРН324</t>
        </is>
      </c>
      <c r="E160" s="214" t="inlineStr">
        <is>
          <t>шт</t>
        </is>
      </c>
      <c r="F160" s="214" t="n">
        <v>1</v>
      </c>
      <c r="G160" s="231" t="n">
        <v>604.9400000000001</v>
      </c>
      <c r="H160" s="231">
        <f>ROUND(F160*G160,2)</f>
        <v/>
      </c>
    </row>
    <row r="161" ht="31.35" customFormat="1" customHeight="1" s="149">
      <c r="A161" s="214" t="n">
        <v>147</v>
      </c>
      <c r="B161" s="214" t="n"/>
      <c r="C161" s="22" t="inlineStr">
        <is>
          <t>14.4.02.09-0301</t>
        </is>
      </c>
      <c r="D161" s="215" t="inlineStr">
        <is>
          <t>Композиция антикоррозионная цинкнаполненная</t>
        </is>
      </c>
      <c r="E161" s="214" t="inlineStr">
        <is>
          <t>кг</t>
        </is>
      </c>
      <c r="F161" s="214" t="n">
        <v>2.53</v>
      </c>
      <c r="G161" s="231" t="n">
        <v>238.48</v>
      </c>
      <c r="H161" s="231">
        <f>ROUND(F161*G161,2)</f>
        <v/>
      </c>
    </row>
    <row r="162" ht="15.6" customFormat="1" customHeight="1" s="149">
      <c r="A162" s="214" t="n">
        <v>148</v>
      </c>
      <c r="B162" s="214" t="n"/>
      <c r="C162" s="22" t="inlineStr">
        <is>
          <t>01.7.15.02-0055</t>
        </is>
      </c>
      <c r="D162" s="215" t="inlineStr">
        <is>
          <t>Болты высокопрочные</t>
        </is>
      </c>
      <c r="E162" s="214" t="inlineStr">
        <is>
          <t>т</t>
        </is>
      </c>
      <c r="F162" s="214" t="n">
        <v>0.02</v>
      </c>
      <c r="G162" s="231" t="n">
        <v>27595</v>
      </c>
      <c r="H162" s="231">
        <f>ROUND(F162*G162,2)</f>
        <v/>
      </c>
    </row>
    <row r="163" ht="15.6" customFormat="1" customHeight="1" s="149">
      <c r="A163" s="214" t="n">
        <v>149</v>
      </c>
      <c r="B163" s="214" t="n"/>
      <c r="C163" s="22" t="inlineStr">
        <is>
          <t>20.1.02.20-0001</t>
        </is>
      </c>
      <c r="D163" s="215" t="inlineStr">
        <is>
          <t>Анкер тросовый</t>
        </is>
      </c>
      <c r="E163" s="214" t="inlineStr">
        <is>
          <t>100 шт</t>
        </is>
      </c>
      <c r="F163" s="214" t="n">
        <v>0.1836</v>
      </c>
      <c r="G163" s="231" t="n">
        <v>3000</v>
      </c>
      <c r="H163" s="231">
        <f>ROUND(F163*G163,2)</f>
        <v/>
      </c>
    </row>
    <row r="164" ht="31.35" customFormat="1" customHeight="1" s="149">
      <c r="A164" s="214" t="n">
        <v>150</v>
      </c>
      <c r="B164" s="214" t="n"/>
      <c r="C164" s="22" t="inlineStr">
        <is>
          <t>Прайс из СД ОП</t>
        </is>
      </c>
      <c r="D164" s="215" t="inlineStr">
        <is>
          <t>Выключатель автоматический трехполюсный IC60N A9F79332 на ток 32А</t>
        </is>
      </c>
      <c r="E164" s="214" t="inlineStr">
        <is>
          <t>шт</t>
        </is>
      </c>
      <c r="F164" s="214" t="n">
        <v>1</v>
      </c>
      <c r="G164" s="231" t="n">
        <v>514.15</v>
      </c>
      <c r="H164" s="231">
        <f>ROUND(F164*G164,2)</f>
        <v/>
      </c>
    </row>
    <row r="165" ht="15.6" customFormat="1" customHeight="1" s="149">
      <c r="A165" s="214" t="n">
        <v>151</v>
      </c>
      <c r="B165" s="214" t="n"/>
      <c r="C165" s="22" t="inlineStr">
        <is>
          <t>01.3.02.08-0001</t>
        </is>
      </c>
      <c r="D165" s="215" t="inlineStr">
        <is>
          <t>Кислород газообразный технический</t>
        </is>
      </c>
      <c r="E165" s="214" t="inlineStr">
        <is>
          <t>м3</t>
        </is>
      </c>
      <c r="F165" s="214" t="n">
        <v>82.01067430000001</v>
      </c>
      <c r="G165" s="231" t="n">
        <v>6.22</v>
      </c>
      <c r="H165" s="231">
        <f>ROUND(F165*G165,2)</f>
        <v/>
      </c>
    </row>
    <row r="166" ht="31.35" customFormat="1" customHeight="1" s="149">
      <c r="A166" s="214" t="n">
        <v>152</v>
      </c>
      <c r="B166" s="214" t="n"/>
      <c r="C166" s="22" t="inlineStr">
        <is>
          <t>21.1.06.10-0573</t>
        </is>
      </c>
      <c r="D166" s="215" t="inlineStr">
        <is>
          <t>Кабель силовой с медными жилами ВВГнг-LS 2х2,5-1000</t>
        </is>
      </c>
      <c r="E166" s="214" t="inlineStr">
        <is>
          <t>1000 м</t>
        </is>
      </c>
      <c r="F166" s="214" t="n">
        <v>0.055</v>
      </c>
      <c r="G166" s="231" t="n">
        <v>7930.97</v>
      </c>
      <c r="H166" s="231">
        <f>ROUND(F166*G166,2)</f>
        <v/>
      </c>
    </row>
    <row r="167" ht="46.9" customFormat="1" customHeight="1" s="149">
      <c r="A167" s="214" t="n">
        <v>153</v>
      </c>
      <c r="B167" s="214" t="n"/>
      <c r="C167" s="22" t="inlineStr">
        <is>
          <t>11.1.03.06-0095</t>
        </is>
      </c>
      <c r="D167" s="215" t="inlineStr">
        <is>
          <t>Доска обрезная, хвойных пород, ширина 75-150 мм, толщина 44 мм и более, длина 4-6,5 м, сорт III</t>
        </is>
      </c>
      <c r="E167" s="214" t="inlineStr">
        <is>
          <t>м3</t>
        </is>
      </c>
      <c r="F167" s="214" t="n">
        <v>0.405762</v>
      </c>
      <c r="G167" s="231" t="n">
        <v>1056</v>
      </c>
      <c r="H167" s="231">
        <f>ROUND(F167*G167,2)</f>
        <v/>
      </c>
    </row>
    <row r="168" ht="15.6" customFormat="1" customHeight="1" s="149">
      <c r="A168" s="214" t="n">
        <v>154</v>
      </c>
      <c r="B168" s="214" t="n"/>
      <c r="C168" s="22" t="inlineStr">
        <is>
          <t>14.4.01.01-0003</t>
        </is>
      </c>
      <c r="D168" s="215" t="inlineStr">
        <is>
          <t>Грунтовка ГФ-021</t>
        </is>
      </c>
      <c r="E168" s="214" t="inlineStr">
        <is>
          <t>т</t>
        </is>
      </c>
      <c r="F168" s="214" t="n">
        <v>0.0262457</v>
      </c>
      <c r="G168" s="231" t="n">
        <v>15620</v>
      </c>
      <c r="H168" s="231">
        <f>ROUND(F168*G168,2)</f>
        <v/>
      </c>
    </row>
    <row r="169" ht="31.35" customFormat="1" customHeight="1" s="149">
      <c r="A169" s="214" t="n">
        <v>155</v>
      </c>
      <c r="B169" s="214" t="n"/>
      <c r="C169" s="22" t="inlineStr">
        <is>
          <t>20.5.02.04-0007</t>
        </is>
      </c>
      <c r="D169" s="215" t="inlineStr">
        <is>
          <t>Коробка ответвительная КОР-94-4У2 IP43, размер 80х80х43 мм</t>
        </is>
      </c>
      <c r="E169" s="214" t="inlineStr">
        <is>
          <t>10 шт</t>
        </is>
      </c>
      <c r="F169" s="214" t="n">
        <v>3</v>
      </c>
      <c r="G169" s="231" t="n">
        <v>130.4</v>
      </c>
      <c r="H169" s="231">
        <f>ROUND(F169*G169,2)</f>
        <v/>
      </c>
    </row>
    <row r="170" ht="31.35" customFormat="1" customHeight="1" s="149">
      <c r="A170" s="214" t="n">
        <v>156</v>
      </c>
      <c r="B170" s="214" t="n"/>
      <c r="C170" s="22" t="inlineStr">
        <is>
          <t>21.1.06.10-0588</t>
        </is>
      </c>
      <c r="D170" s="215" t="inlineStr">
        <is>
          <t>Кабель силовой с медными жилами ВВГнг-LS 4х2,5-1000</t>
        </is>
      </c>
      <c r="E170" s="214" t="inlineStr">
        <is>
          <t>1000 м</t>
        </is>
      </c>
      <c r="F170" s="214" t="n">
        <v>0.025</v>
      </c>
      <c r="G170" s="231" t="n">
        <v>14732.92</v>
      </c>
      <c r="H170" s="231">
        <f>ROUND(F170*G170,2)</f>
        <v/>
      </c>
    </row>
    <row r="171" ht="46.9" customFormat="1" customHeight="1" s="149">
      <c r="A171" s="214" t="n">
        <v>157</v>
      </c>
      <c r="B171" s="214" t="n"/>
      <c r="C171" s="22" t="inlineStr">
        <is>
          <t>01.7.16.02-0003</t>
        </is>
      </c>
      <c r="D171" s="215" t="inlineStr">
        <is>
          <t>Детали стальных трубчатых лесов, укомплектованные пробками, крючками и хомутами, окрашенные</t>
        </is>
      </c>
      <c r="E171" s="214" t="inlineStr">
        <is>
          <t>т</t>
        </is>
      </c>
      <c r="F171" s="214" t="n">
        <v>0.06032</v>
      </c>
      <c r="G171" s="231" t="n">
        <v>6102</v>
      </c>
      <c r="H171" s="231">
        <f>ROUND(F171*G171,2)</f>
        <v/>
      </c>
    </row>
    <row r="172" ht="31.35" customFormat="1" customHeight="1" s="149">
      <c r="A172" s="214" t="n">
        <v>158</v>
      </c>
      <c r="B172" s="214" t="n"/>
      <c r="C172" s="22" t="inlineStr">
        <is>
          <t>14.5.01.10-0025</t>
        </is>
      </c>
      <c r="D172" s="215" t="inlineStr">
        <is>
          <t>Пена монтажная для герметизации стыков в баллончике емкостью 0,85 л</t>
        </is>
      </c>
      <c r="E172" s="214" t="inlineStr">
        <is>
          <t>шт</t>
        </is>
      </c>
      <c r="F172" s="214" t="n">
        <v>5.04</v>
      </c>
      <c r="G172" s="231" t="n">
        <v>72.8</v>
      </c>
      <c r="H172" s="231">
        <f>ROUND(F172*G172,2)</f>
        <v/>
      </c>
    </row>
    <row r="173" ht="15.6" customFormat="1" customHeight="1" s="149">
      <c r="A173" s="214" t="n">
        <v>159</v>
      </c>
      <c r="B173" s="214" t="n"/>
      <c r="C173" s="22" t="inlineStr">
        <is>
          <t>01.7.15.03-0042</t>
        </is>
      </c>
      <c r="D173" s="215" t="inlineStr">
        <is>
          <t>Болты с гайками и шайбами строительные</t>
        </is>
      </c>
      <c r="E173" s="214" t="inlineStr">
        <is>
          <t>кг</t>
        </is>
      </c>
      <c r="F173" s="214" t="n">
        <v>39.999342</v>
      </c>
      <c r="G173" s="231" t="n">
        <v>9.039999999999999</v>
      </c>
      <c r="H173" s="231">
        <f>ROUND(F173*G173,2)</f>
        <v/>
      </c>
    </row>
    <row r="174" ht="31.35" customFormat="1" customHeight="1" s="149">
      <c r="A174" s="214" t="n">
        <v>160</v>
      </c>
      <c r="B174" s="214" t="n"/>
      <c r="C174" s="22" t="inlineStr">
        <is>
          <t>20.4.01.01-0031</t>
        </is>
      </c>
      <c r="D174" s="215" t="inlineStr">
        <is>
          <t>Выключатель одноклавишный для открытой проводки</t>
        </is>
      </c>
      <c r="E174" s="214" t="inlineStr">
        <is>
          <t>10 шт</t>
        </is>
      </c>
      <c r="F174" s="214" t="n">
        <v>5</v>
      </c>
      <c r="G174" s="231" t="n">
        <v>68</v>
      </c>
      <c r="H174" s="231">
        <f>ROUND(F174*G174,2)</f>
        <v/>
      </c>
    </row>
    <row r="175" ht="15.6" customFormat="1" customHeight="1" s="149">
      <c r="A175" s="214" t="n">
        <v>161</v>
      </c>
      <c r="B175" s="214" t="n"/>
      <c r="C175" s="22" t="inlineStr">
        <is>
          <t>01.7.20.08-0071</t>
        </is>
      </c>
      <c r="D175" s="215" t="inlineStr">
        <is>
          <t>Канат пеньковый пропитанный</t>
        </is>
      </c>
      <c r="E175" s="214" t="inlineStr">
        <is>
          <t>т</t>
        </is>
      </c>
      <c r="F175" s="214" t="n">
        <v>0.0085363</v>
      </c>
      <c r="G175" s="231" t="n">
        <v>37900</v>
      </c>
      <c r="H175" s="231">
        <f>ROUND(F175*G175,2)</f>
        <v/>
      </c>
    </row>
    <row r="176" ht="31.35" customFormat="1" customHeight="1" s="149">
      <c r="A176" s="214" t="n">
        <v>162</v>
      </c>
      <c r="B176" s="214" t="n"/>
      <c r="C176" s="22" t="inlineStr">
        <is>
          <t>11.1.03.01-0077</t>
        </is>
      </c>
      <c r="D176" s="215" t="inlineStr">
        <is>
          <t>Бруски обрезные, хвойных пород, длина 4-6,5 м, ширина 75-150 мм, толщина 40-75 мм, сорт I</t>
        </is>
      </c>
      <c r="E176" s="214" t="inlineStr">
        <is>
          <t>м3</t>
        </is>
      </c>
      <c r="F176" s="214" t="n">
        <v>0.1893593</v>
      </c>
      <c r="G176" s="231" t="n">
        <v>1700</v>
      </c>
      <c r="H176" s="231">
        <f>ROUND(F176*G176,2)</f>
        <v/>
      </c>
    </row>
    <row r="177" ht="31.35" customFormat="1" customHeight="1" s="149">
      <c r="A177" s="214" t="n">
        <v>163</v>
      </c>
      <c r="B177" s="214" t="n"/>
      <c r="C177" s="22" t="inlineStr">
        <is>
          <t>02.3.01.02-0033</t>
        </is>
      </c>
      <c r="D177" s="215" t="inlineStr">
        <is>
          <t>Песок природный обогащенный для строительных работ средний</t>
        </is>
      </c>
      <c r="E177" s="214" t="inlineStr">
        <is>
          <t>м3</t>
        </is>
      </c>
      <c r="F177" s="214" t="n">
        <v>4.1</v>
      </c>
      <c r="G177" s="231" t="n">
        <v>70.59999999999999</v>
      </c>
      <c r="H177" s="231">
        <f>ROUND(F177*G177,2)</f>
        <v/>
      </c>
    </row>
    <row r="178" ht="31.35" customFormat="1" customHeight="1" s="149">
      <c r="A178" s="214" t="n">
        <v>164</v>
      </c>
      <c r="B178" s="214" t="n"/>
      <c r="C178" s="22" t="inlineStr">
        <is>
          <t>01.7.15.07-0149</t>
        </is>
      </c>
      <c r="D178" s="215" t="inlineStr">
        <is>
          <t>Дюбель распорный, марка IZM, размер 10х220 мм</t>
        </is>
      </c>
      <c r="E178" s="214" t="inlineStr">
        <is>
          <t>100 шт</t>
        </is>
      </c>
      <c r="F178" s="214" t="n">
        <v>2.7</v>
      </c>
      <c r="G178" s="231" t="n">
        <v>104.84</v>
      </c>
      <c r="H178" s="231">
        <f>ROUND(F178*G178,2)</f>
        <v/>
      </c>
    </row>
    <row r="179" ht="15.6" customFormat="1" customHeight="1" s="149">
      <c r="A179" s="214" t="n">
        <v>165</v>
      </c>
      <c r="B179" s="214" t="n"/>
      <c r="C179" s="22" t="inlineStr">
        <is>
          <t>14.4.04.08-0003</t>
        </is>
      </c>
      <c r="D179" s="215" t="inlineStr">
        <is>
          <t>Эмаль ПФ-115, серая</t>
        </is>
      </c>
      <c r="E179" s="214" t="inlineStr">
        <is>
          <t>т</t>
        </is>
      </c>
      <c r="F179" s="214" t="n">
        <v>0.0196344</v>
      </c>
      <c r="G179" s="231" t="n">
        <v>14312.87</v>
      </c>
      <c r="H179" s="231">
        <f>ROUND(F179*G179,2)</f>
        <v/>
      </c>
    </row>
    <row r="180" ht="15.6" customFormat="1" customHeight="1" s="149">
      <c r="A180" s="214" t="n">
        <v>166</v>
      </c>
      <c r="B180" s="214" t="n"/>
      <c r="C180" s="22" t="inlineStr">
        <is>
          <t>01.7.07.29-0111</t>
        </is>
      </c>
      <c r="D180" s="215" t="inlineStr">
        <is>
          <t>Пакля пропитанная</t>
        </is>
      </c>
      <c r="E180" s="214" t="inlineStr">
        <is>
          <t>кг</t>
        </is>
      </c>
      <c r="F180" s="214" t="n">
        <v>30.36</v>
      </c>
      <c r="G180" s="231" t="n">
        <v>9.039999999999999</v>
      </c>
      <c r="H180" s="231">
        <f>ROUND(F180*G180,2)</f>
        <v/>
      </c>
    </row>
    <row r="181" ht="15.6" customFormat="1" customHeight="1" s="149">
      <c r="A181" s="214" t="n">
        <v>167</v>
      </c>
      <c r="B181" s="214" t="n"/>
      <c r="C181" s="22" t="inlineStr">
        <is>
          <t>01.7.15.06-0111</t>
        </is>
      </c>
      <c r="D181" s="215" t="inlineStr">
        <is>
          <t>Гвозди строительные</t>
        </is>
      </c>
      <c r="E181" s="214" t="inlineStr">
        <is>
          <t>т</t>
        </is>
      </c>
      <c r="F181" s="214" t="n">
        <v>0.0225644</v>
      </c>
      <c r="G181" s="231" t="n">
        <v>11978</v>
      </c>
      <c r="H181" s="231">
        <f>ROUND(F181*G181,2)</f>
        <v/>
      </c>
    </row>
    <row r="182" ht="15.6" customFormat="1" customHeight="1" s="149">
      <c r="A182" s="214" t="n">
        <v>168</v>
      </c>
      <c r="B182" s="214" t="n"/>
      <c r="C182" s="22" t="inlineStr">
        <is>
          <t>11.2.13.06-0011</t>
        </is>
      </c>
      <c r="D182" s="215" t="inlineStr">
        <is>
          <t>Щиты настила, все толщины</t>
        </is>
      </c>
      <c r="E182" s="214" t="inlineStr">
        <is>
          <t>м2</t>
        </is>
      </c>
      <c r="F182" s="214" t="n">
        <v>7.176</v>
      </c>
      <c r="G182" s="231" t="n">
        <v>35.22</v>
      </c>
      <c r="H182" s="231">
        <f>ROUND(F182*G182,2)</f>
        <v/>
      </c>
    </row>
    <row r="183" ht="15.6" customFormat="1" customHeight="1" s="149">
      <c r="A183" s="214" t="n">
        <v>169</v>
      </c>
      <c r="B183" s="214" t="n"/>
      <c r="C183" s="22" t="inlineStr">
        <is>
          <t>14.5.09.07-0030</t>
        </is>
      </c>
      <c r="D183" s="215" t="inlineStr">
        <is>
          <t>Растворитель Р-4</t>
        </is>
      </c>
      <c r="E183" s="214" t="inlineStr">
        <is>
          <t>кг</t>
        </is>
      </c>
      <c r="F183" s="214" t="n">
        <v>24.2284134</v>
      </c>
      <c r="G183" s="231" t="n">
        <v>9.42</v>
      </c>
      <c r="H183" s="231">
        <f>ROUND(F183*G183,2)</f>
        <v/>
      </c>
    </row>
    <row r="184" ht="46.9" customFormat="1" customHeight="1" s="149">
      <c r="A184" s="214" t="n">
        <v>170</v>
      </c>
      <c r="B184" s="214" t="n"/>
      <c r="C184" s="22" t="inlineStr">
        <is>
          <t>Прайс лист №24 от 27.01.16 Кабель и провод</t>
        </is>
      </c>
      <c r="D184" s="215" t="inlineStr">
        <is>
          <t>Лампа светодиодная Р55-Н Е27 90LED</t>
        </is>
      </c>
      <c r="E184" s="214" t="inlineStr">
        <is>
          <t>шт</t>
        </is>
      </c>
      <c r="F184" s="214" t="n">
        <v>2</v>
      </c>
      <c r="G184" s="231" t="n">
        <v>108.2</v>
      </c>
      <c r="H184" s="231">
        <f>ROUND(F184*G184,2)</f>
        <v/>
      </c>
    </row>
    <row r="185" ht="31.35" customFormat="1" customHeight="1" s="149">
      <c r="A185" s="214" t="n">
        <v>171</v>
      </c>
      <c r="B185" s="214" t="n"/>
      <c r="C185" s="22" t="inlineStr">
        <is>
          <t>11.1.03.01-0079</t>
        </is>
      </c>
      <c r="D185" s="215" t="inlineStr">
        <is>
          <t>Бруски обрезные, хвойных пород, длина 4-6,5 м, ширина 75-150 мм, толщина 40-75 мм, сорт III</t>
        </is>
      </c>
      <c r="E185" s="214" t="inlineStr">
        <is>
          <t>м3</t>
        </is>
      </c>
      <c r="F185" s="214" t="n">
        <v>0.16304</v>
      </c>
      <c r="G185" s="231" t="n">
        <v>1287</v>
      </c>
      <c r="H185" s="231">
        <f>ROUND(F185*G185,2)</f>
        <v/>
      </c>
    </row>
    <row r="186" ht="15.6" customFormat="1" customHeight="1" s="149">
      <c r="A186" s="214" t="n">
        <v>172</v>
      </c>
      <c r="B186" s="214" t="n"/>
      <c r="C186" s="22" t="inlineStr">
        <is>
          <t>01.3.01.03-0002</t>
        </is>
      </c>
      <c r="D186" s="215" t="inlineStr">
        <is>
          <t>Керосин для технических целей</t>
        </is>
      </c>
      <c r="E186" s="214" t="inlineStr">
        <is>
          <t>т</t>
        </is>
      </c>
      <c r="F186" s="214" t="n">
        <v>0.0763752</v>
      </c>
      <c r="G186" s="231" t="n">
        <v>2606.9</v>
      </c>
      <c r="H186" s="231">
        <f>ROUND(F186*G186,2)</f>
        <v/>
      </c>
    </row>
    <row r="187" ht="31.35" customFormat="1" customHeight="1" s="149">
      <c r="A187" s="214" t="n">
        <v>173</v>
      </c>
      <c r="B187" s="214" t="n"/>
      <c r="C187" s="22" t="inlineStr">
        <is>
          <t>11.1.02.04-0031</t>
        </is>
      </c>
      <c r="D187" s="215" t="inlineStr">
        <is>
          <t>Лесоматериалы круглые, хвойных пород, для строительства, диаметр 14-24 см, длина 3-6,5 м</t>
        </is>
      </c>
      <c r="E187" s="214" t="inlineStr">
        <is>
          <t>м3</t>
        </is>
      </c>
      <c r="F187" s="214" t="n">
        <v>0.35052</v>
      </c>
      <c r="G187" s="231" t="n">
        <v>558.33</v>
      </c>
      <c r="H187" s="231">
        <f>ROUND(F187*G187,2)</f>
        <v/>
      </c>
    </row>
    <row r="188" ht="15.6" customFormat="1" customHeight="1" s="149">
      <c r="A188" s="214" t="n">
        <v>174</v>
      </c>
      <c r="B188" s="214" t="n"/>
      <c r="C188" s="22" t="inlineStr">
        <is>
          <t>01.2.03.03-0044</t>
        </is>
      </c>
      <c r="D188" s="215" t="inlineStr">
        <is>
          <t>Мастика битумно-латексная кровельная</t>
        </is>
      </c>
      <c r="E188" s="214" t="inlineStr">
        <is>
          <t>т</t>
        </is>
      </c>
      <c r="F188" s="214" t="n">
        <v>0.0602</v>
      </c>
      <c r="G188" s="231" t="n">
        <v>3039.7</v>
      </c>
      <c r="H188" s="231">
        <f>ROUND(F188*G188,2)</f>
        <v/>
      </c>
    </row>
    <row r="189" ht="15.6" customFormat="1" customHeight="1" s="149">
      <c r="A189" s="214" t="n">
        <v>175</v>
      </c>
      <c r="B189" s="214" t="n"/>
      <c r="C189" s="22" t="inlineStr">
        <is>
          <t>01.3.02.09-0022</t>
        </is>
      </c>
      <c r="D189" s="215" t="inlineStr">
        <is>
          <t>Пропан-бутан смесь техническая</t>
        </is>
      </c>
      <c r="E189" s="214" t="inlineStr">
        <is>
          <t>кг</t>
        </is>
      </c>
      <c r="F189" s="214" t="n">
        <v>29.2820431</v>
      </c>
      <c r="G189" s="231" t="n">
        <v>6.09</v>
      </c>
      <c r="H189" s="231">
        <f>ROUND(F189*G189,2)</f>
        <v/>
      </c>
    </row>
    <row r="190" ht="31.35" customFormat="1" customHeight="1" s="149">
      <c r="A190" s="214" t="n">
        <v>176</v>
      </c>
      <c r="B190" s="214" t="n"/>
      <c r="C190" s="22" t="inlineStr">
        <is>
          <t>08.3.03.06-0002</t>
        </is>
      </c>
      <c r="D190" s="215" t="inlineStr">
        <is>
          <t>Проволока горячекатаная в мотках, диаметр 6,3-6,5 мм</t>
        </is>
      </c>
      <c r="E190" s="214" t="inlineStr">
        <is>
          <t>т</t>
        </is>
      </c>
      <c r="F190" s="214" t="n">
        <v>0.0396393</v>
      </c>
      <c r="G190" s="231" t="n">
        <v>4455.2</v>
      </c>
      <c r="H190" s="231">
        <f>ROUND(F190*G190,2)</f>
        <v/>
      </c>
    </row>
    <row r="191" ht="15.6" customFormat="1" customHeight="1" s="149">
      <c r="A191" s="214" t="n">
        <v>177</v>
      </c>
      <c r="B191" s="214" t="n"/>
      <c r="C191" s="22" t="inlineStr">
        <is>
          <t>01.7.20.08-0051</t>
        </is>
      </c>
      <c r="D191" s="215" t="inlineStr">
        <is>
          <t>Ветошь</t>
        </is>
      </c>
      <c r="E191" s="214" t="inlineStr">
        <is>
          <t>кг</t>
        </is>
      </c>
      <c r="F191" s="214" t="n">
        <v>90.3205</v>
      </c>
      <c r="G191" s="231" t="n">
        <v>1.82</v>
      </c>
      <c r="H191" s="231">
        <f>ROUND(F191*G191,2)</f>
        <v/>
      </c>
    </row>
    <row r="192" ht="15.6" customFormat="1" customHeight="1" s="149">
      <c r="A192" s="214" t="n">
        <v>178</v>
      </c>
      <c r="B192" s="214" t="n"/>
      <c r="C192" s="22" t="inlineStr">
        <is>
          <t>01.7.06.11-0013</t>
        </is>
      </c>
      <c r="D192" s="215" t="inlineStr">
        <is>
          <t>Лента уплотнительная шириной 70 мм</t>
        </is>
      </c>
      <c r="E192" s="214" t="inlineStr">
        <is>
          <t>м</t>
        </is>
      </c>
      <c r="F192" s="214" t="n">
        <v>145</v>
      </c>
      <c r="G192" s="231" t="n">
        <v>1.09</v>
      </c>
      <c r="H192" s="231">
        <f>ROUND(F192*G192,2)</f>
        <v/>
      </c>
    </row>
    <row r="193" ht="15.6" customFormat="1" customHeight="1" s="149">
      <c r="A193" s="214" t="n">
        <v>179</v>
      </c>
      <c r="B193" s="214" t="n"/>
      <c r="C193" s="22" t="inlineStr">
        <is>
          <t>01.7.03.01-0001</t>
        </is>
      </c>
      <c r="D193" s="215" t="inlineStr">
        <is>
          <t>Вода</t>
        </is>
      </c>
      <c r="E193" s="214" t="inlineStr">
        <is>
          <t>м3</t>
        </is>
      </c>
      <c r="F193" s="214" t="n">
        <v>63.46333</v>
      </c>
      <c r="G193" s="231" t="n">
        <v>2.44</v>
      </c>
      <c r="H193" s="231">
        <f>ROUND(F193*G193,2)</f>
        <v/>
      </c>
    </row>
    <row r="194" ht="31.35" customFormat="1" customHeight="1" s="149">
      <c r="A194" s="214" t="n">
        <v>180</v>
      </c>
      <c r="B194" s="214" t="n"/>
      <c r="C194" s="22" t="inlineStr">
        <is>
          <t>07.2.07.13-0081</t>
        </is>
      </c>
      <c r="D194" s="215" t="inlineStr">
        <is>
          <t>Конструкции стальные приспособлений для монтажа</t>
        </is>
      </c>
      <c r="E194" s="214" t="inlineStr">
        <is>
          <t>т</t>
        </is>
      </c>
      <c r="F194" s="214" t="n">
        <v>0.02</v>
      </c>
      <c r="G194" s="231" t="n">
        <v>7441</v>
      </c>
      <c r="H194" s="231">
        <f>ROUND(F194*G194,2)</f>
        <v/>
      </c>
    </row>
    <row r="195" ht="31.35" customFormat="1" customHeight="1" s="149">
      <c r="A195" s="214" t="n">
        <v>181</v>
      </c>
      <c r="B195" s="214" t="n"/>
      <c r="C195" s="22" t="inlineStr">
        <is>
          <t>01.7.17.11-0011</t>
        </is>
      </c>
      <c r="D195" s="215" t="inlineStr">
        <is>
          <t>Шкурка шлифовальная двухслойная с зернистостью 40-25</t>
        </is>
      </c>
      <c r="E195" s="214" t="inlineStr">
        <is>
          <t>м2</t>
        </is>
      </c>
      <c r="F195" s="214" t="n">
        <v>2.024</v>
      </c>
      <c r="G195" s="231" t="n">
        <v>72.31999999999999</v>
      </c>
      <c r="H195" s="231">
        <f>ROUND(F195*G195,2)</f>
        <v/>
      </c>
    </row>
    <row r="196" ht="15.6" customFormat="1" customHeight="1" s="149">
      <c r="A196" s="214" t="n">
        <v>182</v>
      </c>
      <c r="B196" s="214" t="n"/>
      <c r="C196" s="22" t="inlineStr">
        <is>
          <t>01.7.11.07-0054</t>
        </is>
      </c>
      <c r="D196" s="215" t="inlineStr">
        <is>
          <t>Электроды сварочные Э42, диаметр 6 мм</t>
        </is>
      </c>
      <c r="E196" s="214" t="inlineStr">
        <is>
          <t>т</t>
        </is>
      </c>
      <c r="F196" s="214" t="n">
        <v>0.0126838</v>
      </c>
      <c r="G196" s="231" t="n">
        <v>9424</v>
      </c>
      <c r="H196" s="231">
        <f>ROUND(F196*G196,2)</f>
        <v/>
      </c>
    </row>
    <row r="197" ht="15.6" customFormat="1" customHeight="1" s="149">
      <c r="A197" s="214" t="n">
        <v>183</v>
      </c>
      <c r="B197" s="214" t="n"/>
      <c r="C197" s="22" t="inlineStr">
        <is>
          <t>08.3.03.05-0002</t>
        </is>
      </c>
      <c r="D197" s="215" t="inlineStr">
        <is>
          <t>Проволока канатная оцинкованная, диаметр 3 мм</t>
        </is>
      </c>
      <c r="E197" s="214" t="inlineStr">
        <is>
          <t>т</t>
        </is>
      </c>
      <c r="F197" s="214" t="n">
        <v>0.01443</v>
      </c>
      <c r="G197" s="231" t="n">
        <v>8190</v>
      </c>
      <c r="H197" s="231">
        <f>ROUND(F197*G197,2)</f>
        <v/>
      </c>
    </row>
    <row r="198" ht="31.35" customFormat="1" customHeight="1" s="149">
      <c r="A198" s="214" t="n">
        <v>184</v>
      </c>
      <c r="B198" s="214" t="n"/>
      <c r="C198" s="22" t="inlineStr">
        <is>
          <t>11.1.03.06-0087</t>
        </is>
      </c>
      <c r="D198" s="215" t="inlineStr">
        <is>
          <t>Доска обрезная, хвойных пород, ширина 75-150 мм, толщина 25 мм, длина 4-6,5 м, сорт III</t>
        </is>
      </c>
      <c r="E198" s="214" t="inlineStr">
        <is>
          <t>м3</t>
        </is>
      </c>
      <c r="F198" s="214" t="n">
        <v>0.1016</v>
      </c>
      <c r="G198" s="231" t="n">
        <v>1100</v>
      </c>
      <c r="H198" s="231">
        <f>ROUND(F198*G198,2)</f>
        <v/>
      </c>
    </row>
    <row r="199" ht="15.6" customFormat="1" customHeight="1" s="149">
      <c r="A199" s="214" t="n">
        <v>185</v>
      </c>
      <c r="B199" s="214" t="n"/>
      <c r="C199" s="22" t="inlineStr">
        <is>
          <t>Прайс из СД ОП</t>
        </is>
      </c>
      <c r="D199" s="215" t="inlineStr">
        <is>
          <t>Лапки для крепления щитка к стене 13935</t>
        </is>
      </c>
      <c r="E199" s="214" t="inlineStr">
        <is>
          <t>шт</t>
        </is>
      </c>
      <c r="F199" s="214" t="n">
        <v>1</v>
      </c>
      <c r="G199" s="231" t="n">
        <v>100.59</v>
      </c>
      <c r="H199" s="231">
        <f>ROUND(F199*G199,2)</f>
        <v/>
      </c>
    </row>
    <row r="200" ht="15.6" customFormat="1" customHeight="1" s="149">
      <c r="A200" s="214" t="n">
        <v>186</v>
      </c>
      <c r="B200" s="214" t="n"/>
      <c r="C200" s="22" t="inlineStr">
        <is>
          <t>Прайс из СД ОП</t>
        </is>
      </c>
      <c r="D200" s="215" t="inlineStr">
        <is>
          <t>Держатель клеммника для щита 13595</t>
        </is>
      </c>
      <c r="E200" s="214" t="inlineStr">
        <is>
          <t>шт</t>
        </is>
      </c>
      <c r="F200" s="214" t="n">
        <v>1</v>
      </c>
      <c r="G200" s="231" t="n">
        <v>97.47</v>
      </c>
      <c r="H200" s="231">
        <f>ROUND(F200*G200,2)</f>
        <v/>
      </c>
    </row>
    <row r="201" ht="15.6" customFormat="1" customHeight="1" s="149">
      <c r="A201" s="214" t="n">
        <v>187</v>
      </c>
      <c r="B201" s="214" t="n"/>
      <c r="C201" s="22" t="inlineStr">
        <is>
          <t>01.7.15.14-0062</t>
        </is>
      </c>
      <c r="D201" s="215" t="inlineStr">
        <is>
          <t>Шурупы-саморезы 4,2х16 мм</t>
        </is>
      </c>
      <c r="E201" s="214" t="inlineStr">
        <is>
          <t>100 шт</t>
        </is>
      </c>
      <c r="F201" s="214" t="n">
        <v>9.071999999999999</v>
      </c>
      <c r="G201" s="231" t="n">
        <v>10</v>
      </c>
      <c r="H201" s="231">
        <f>ROUND(F201*G201,2)</f>
        <v/>
      </c>
    </row>
    <row r="202" ht="31.35" customFormat="1" customHeight="1" s="149">
      <c r="A202" s="214" t="n">
        <v>188</v>
      </c>
      <c r="B202" s="214" t="n"/>
      <c r="C202" s="22" t="inlineStr">
        <is>
          <t>11.1.03.03-0012</t>
        </is>
      </c>
      <c r="D202" s="215" t="inlineStr">
        <is>
          <t>Брусья необрезные, хвойных пород, длина 4-6,5 м, все ширины, толщина 100, 125 мм, сорт IV</t>
        </is>
      </c>
      <c r="E202" s="214" t="inlineStr">
        <is>
          <t>м3</t>
        </is>
      </c>
      <c r="F202" s="214" t="n">
        <v>0.102</v>
      </c>
      <c r="G202" s="231" t="n">
        <v>880.01</v>
      </c>
      <c r="H202" s="231">
        <f>ROUND(F202*G202,2)</f>
        <v/>
      </c>
    </row>
    <row r="203" ht="31.35" customFormat="1" customHeight="1" s="149">
      <c r="A203" s="214" t="n">
        <v>189</v>
      </c>
      <c r="B203" s="214" t="n"/>
      <c r="C203" s="22" t="inlineStr">
        <is>
          <t>03.2.01.01-0001</t>
        </is>
      </c>
      <c r="D203" s="215" t="inlineStr">
        <is>
          <t>Портландцемент общестроительного назначения бездобавочный М400 Д0 (ЦЕМ I 32,5Н)</t>
        </is>
      </c>
      <c r="E203" s="214" t="inlineStr">
        <is>
          <t>т</t>
        </is>
      </c>
      <c r="F203" s="214" t="n">
        <v>0.21349</v>
      </c>
      <c r="G203" s="231" t="n">
        <v>412</v>
      </c>
      <c r="H203" s="231">
        <f>ROUND(F203*G203,2)</f>
        <v/>
      </c>
    </row>
    <row r="204" ht="15.6" customFormat="1" customHeight="1" s="149">
      <c r="A204" s="214" t="n">
        <v>190</v>
      </c>
      <c r="B204" s="214" t="n"/>
      <c r="C204" s="22" t="inlineStr">
        <is>
          <t>08.3.11.01-0055</t>
        </is>
      </c>
      <c r="D204" s="215" t="inlineStr">
        <is>
          <t>Швеллеры № 16-24, марка стали 18пс</t>
        </is>
      </c>
      <c r="E204" s="214" t="inlineStr">
        <is>
          <t>т</t>
        </is>
      </c>
      <c r="F204" s="214" t="n">
        <v>0.014</v>
      </c>
      <c r="G204" s="231" t="n">
        <v>5798.2</v>
      </c>
      <c r="H204" s="231">
        <f>ROUND(F204*G204,2)</f>
        <v/>
      </c>
    </row>
    <row r="205" ht="31.35" customFormat="1" customHeight="1" s="149">
      <c r="A205" s="214" t="n">
        <v>191</v>
      </c>
      <c r="B205" s="214" t="n"/>
      <c r="C205" s="22" t="inlineStr">
        <is>
          <t>07.2.07.04-0007</t>
        </is>
      </c>
      <c r="D205" s="215" t="inlineStr">
        <is>
          <t>Конструкции стальные индивидуальные решетчатые сварные, масса до 0,1 т</t>
        </is>
      </c>
      <c r="E205" s="214" t="inlineStr">
        <is>
          <t>т</t>
        </is>
      </c>
      <c r="F205" s="214" t="n">
        <v>0.007</v>
      </c>
      <c r="G205" s="231" t="n">
        <v>11500</v>
      </c>
      <c r="H205" s="231">
        <f>ROUND(F205*G205,2)</f>
        <v/>
      </c>
    </row>
    <row r="206" ht="31.35" customFormat="1" customHeight="1" s="149">
      <c r="A206" s="214" t="n">
        <v>192</v>
      </c>
      <c r="B206" s="214" t="n"/>
      <c r="C206" s="22" t="inlineStr">
        <is>
          <t>08.3.08.02-0052</t>
        </is>
      </c>
      <c r="D206" s="215" t="inlineStr">
        <is>
          <t>Уголок горячекатаный, марка стали ВСт3кп2, размер 50х50х5 мм</t>
        </is>
      </c>
      <c r="E206" s="214" t="inlineStr">
        <is>
          <t>т</t>
        </is>
      </c>
      <c r="F206" s="214" t="n">
        <v>0.0137</v>
      </c>
      <c r="G206" s="231" t="n">
        <v>5763</v>
      </c>
      <c r="H206" s="231">
        <f>ROUND(F206*G206,2)</f>
        <v/>
      </c>
    </row>
    <row r="207" ht="15.6" customFormat="1" customHeight="1" s="149">
      <c r="A207" s="214" t="n">
        <v>193</v>
      </c>
      <c r="B207" s="214" t="n"/>
      <c r="C207" s="22" t="inlineStr">
        <is>
          <t>01.7.11.07-0034</t>
        </is>
      </c>
      <c r="D207" s="215" t="inlineStr">
        <is>
          <t>Электроды сварочные Э42А, диаметр 4 мм</t>
        </is>
      </c>
      <c r="E207" s="214" t="inlineStr">
        <is>
          <t>кг</t>
        </is>
      </c>
      <c r="F207" s="214" t="n">
        <v>7.01142</v>
      </c>
      <c r="G207" s="231" t="n">
        <v>10.57</v>
      </c>
      <c r="H207" s="231">
        <f>ROUND(F207*G207,2)</f>
        <v/>
      </c>
    </row>
    <row r="208" ht="15.6" customFormat="1" customHeight="1" s="149">
      <c r="A208" s="214" t="n">
        <v>194</v>
      </c>
      <c r="B208" s="214" t="n"/>
      <c r="C208" s="22" t="inlineStr">
        <is>
          <t>14.5.06.03-0005</t>
        </is>
      </c>
      <c r="D208" s="215" t="inlineStr">
        <is>
          <t>Паста меловая</t>
        </is>
      </c>
      <c r="E208" s="214" t="inlineStr">
        <is>
          <t>т</t>
        </is>
      </c>
      <c r="F208" s="214" t="n">
        <v>0.06325</v>
      </c>
      <c r="G208" s="231" t="n">
        <v>1050</v>
      </c>
      <c r="H208" s="231">
        <f>ROUND(F208*G208,2)</f>
        <v/>
      </c>
    </row>
    <row r="209" ht="31.35" customFormat="1" customHeight="1" s="149">
      <c r="A209" s="214" t="n">
        <v>195</v>
      </c>
      <c r="B209" s="214" t="n"/>
      <c r="C209" s="22" t="inlineStr">
        <is>
          <t>25.1.01.04-0031</t>
        </is>
      </c>
      <c r="D209" s="215" t="inlineStr">
        <is>
          <t>Шпалы непропитанные для железных дорог, тип I</t>
        </is>
      </c>
      <c r="E209" s="214" t="inlineStr">
        <is>
          <t>шт</t>
        </is>
      </c>
      <c r="F209" s="214" t="n">
        <v>0.24</v>
      </c>
      <c r="G209" s="231" t="n">
        <v>266.67</v>
      </c>
      <c r="H209" s="231">
        <f>ROUND(F209*G209,2)</f>
        <v/>
      </c>
    </row>
    <row r="210" ht="62.45" customFormat="1" customHeight="1" s="149">
      <c r="A210" s="214" t="n">
        <v>196</v>
      </c>
      <c r="B210" s="214" t="n"/>
      <c r="C210" s="22" t="inlineStr">
        <is>
          <t>08.2.02.11-0007</t>
        </is>
      </c>
      <c r="D210" s="215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210" s="214" t="inlineStr">
        <is>
          <t>10 м</t>
        </is>
      </c>
      <c r="F210" s="214" t="n">
        <v>1.1741459</v>
      </c>
      <c r="G210" s="231" t="n">
        <v>50.24</v>
      </c>
      <c r="H210" s="231">
        <f>ROUND(F210*G210,2)</f>
        <v/>
      </c>
    </row>
    <row r="211" ht="15.6" customFormat="1" customHeight="1" s="149">
      <c r="A211" s="214" t="n">
        <v>197</v>
      </c>
      <c r="B211" s="214" t="n"/>
      <c r="C211" s="22" t="inlineStr">
        <is>
          <t>01.7.06.12-0004</t>
        </is>
      </c>
      <c r="D211" s="215" t="inlineStr">
        <is>
          <t>Лента киперная, ширина 40 мм</t>
        </is>
      </c>
      <c r="E211" s="214" t="inlineStr">
        <is>
          <t>100 м</t>
        </is>
      </c>
      <c r="F211" s="214" t="n">
        <v>0.594</v>
      </c>
      <c r="G211" s="231" t="n">
        <v>94</v>
      </c>
      <c r="H211" s="231">
        <f>ROUND(F211*G211,2)</f>
        <v/>
      </c>
    </row>
    <row r="212" ht="15.6" customFormat="1" customHeight="1" s="149">
      <c r="A212" s="214" t="n">
        <v>198</v>
      </c>
      <c r="B212" s="214" t="n"/>
      <c r="C212" s="22" t="inlineStr">
        <is>
          <t>14.5.07.04-0301</t>
        </is>
      </c>
      <c r="D212" s="215" t="inlineStr">
        <is>
          <t>Краска сухая для внутренних работ</t>
        </is>
      </c>
      <c r="E212" s="214" t="inlineStr">
        <is>
          <t>т</t>
        </is>
      </c>
      <c r="F212" s="214" t="n">
        <v>0.004301</v>
      </c>
      <c r="G212" s="231" t="n">
        <v>12470</v>
      </c>
      <c r="H212" s="231">
        <f>ROUND(F212*G212,2)</f>
        <v/>
      </c>
    </row>
    <row r="213" ht="31.35" customFormat="1" customHeight="1" s="149">
      <c r="A213" s="214" t="n">
        <v>199</v>
      </c>
      <c r="B213" s="214" t="n"/>
      <c r="C213" s="22" t="inlineStr">
        <is>
          <t>01.7.15.06-0121</t>
        </is>
      </c>
      <c r="D213" s="215" t="inlineStr">
        <is>
          <t>Гвозди строительные с плоской головкой, размер 1,6х50 мм</t>
        </is>
      </c>
      <c r="E213" s="214" t="inlineStr">
        <is>
          <t>т</t>
        </is>
      </c>
      <c r="F213" s="214" t="n">
        <v>0.006325</v>
      </c>
      <c r="G213" s="231" t="n">
        <v>8475</v>
      </c>
      <c r="H213" s="231">
        <f>ROUND(F213*G213,2)</f>
        <v/>
      </c>
    </row>
    <row r="214" ht="31.35" customFormat="1" customHeight="1" s="149">
      <c r="A214" s="214" t="n">
        <v>200</v>
      </c>
      <c r="B214" s="214" t="n"/>
      <c r="C214" s="22" t="inlineStr">
        <is>
          <t>12.1.01.05-0043</t>
        </is>
      </c>
      <c r="D214" s="215" t="inlineStr">
        <is>
          <t>Заглушка желоба металлическая для водосточных систем, покрытие полиэстер, диаметр 185 мм</t>
        </is>
      </c>
      <c r="E214" s="214" t="inlineStr">
        <is>
          <t>шт</t>
        </is>
      </c>
      <c r="F214" s="214" t="n">
        <v>4</v>
      </c>
      <c r="G214" s="231" t="n">
        <v>12.65</v>
      </c>
      <c r="H214" s="231">
        <f>ROUND(F214*G214,2)</f>
        <v/>
      </c>
    </row>
    <row r="215" ht="15.6" customFormat="1" customHeight="1" s="149">
      <c r="A215" s="214" t="n">
        <v>201</v>
      </c>
      <c r="B215" s="214" t="n"/>
      <c r="C215" s="22" t="inlineStr">
        <is>
          <t>20.2.09.13-0011</t>
        </is>
      </c>
      <c r="D215" s="215" t="inlineStr">
        <is>
          <t>Муфты</t>
        </is>
      </c>
      <c r="E215" s="214" t="inlineStr">
        <is>
          <t>шт</t>
        </is>
      </c>
      <c r="F215" s="214" t="n">
        <v>9.18</v>
      </c>
      <c r="G215" s="231" t="n">
        <v>5</v>
      </c>
      <c r="H215" s="231">
        <f>ROUND(F215*G215,2)</f>
        <v/>
      </c>
    </row>
    <row r="216" ht="15.6" customFormat="1" customHeight="1" s="149">
      <c r="A216" s="214" t="n">
        <v>202</v>
      </c>
      <c r="B216" s="214" t="n"/>
      <c r="C216" s="22" t="inlineStr">
        <is>
          <t>01.7.15.06-0146</t>
        </is>
      </c>
      <c r="D216" s="215" t="inlineStr">
        <is>
          <t>Гвозди толевые круглые, размер 3,0х40 мм</t>
        </is>
      </c>
      <c r="E216" s="214" t="inlineStr">
        <is>
          <t>т</t>
        </is>
      </c>
      <c r="F216" s="214" t="n">
        <v>0.00518</v>
      </c>
      <c r="G216" s="231" t="n">
        <v>8475</v>
      </c>
      <c r="H216" s="231">
        <f>ROUND(F216*G216,2)</f>
        <v/>
      </c>
    </row>
    <row r="217" ht="15.6" customFormat="1" customHeight="1" s="149">
      <c r="A217" s="214" t="n">
        <v>203</v>
      </c>
      <c r="B217" s="214" t="n"/>
      <c r="C217" s="22" t="inlineStr">
        <is>
          <t>14.4.02.09-0001</t>
        </is>
      </c>
      <c r="D217" s="215" t="inlineStr">
        <is>
          <t>Краска</t>
        </is>
      </c>
      <c r="E217" s="214" t="inlineStr">
        <is>
          <t>кг</t>
        </is>
      </c>
      <c r="F217" s="214" t="n">
        <v>1.30722</v>
      </c>
      <c r="G217" s="231" t="n">
        <v>28.6</v>
      </c>
      <c r="H217" s="231">
        <f>ROUND(F217*G217,2)</f>
        <v/>
      </c>
    </row>
    <row r="218" ht="15.6" customFormat="1" customHeight="1" s="149">
      <c r="A218" s="214" t="n">
        <v>204</v>
      </c>
      <c r="B218" s="214" t="n"/>
      <c r="C218" s="22" t="inlineStr">
        <is>
          <t>14.5.09.02-0002</t>
        </is>
      </c>
      <c r="D218" s="215" t="inlineStr">
        <is>
          <t>Ксилол нефтяной, марка А</t>
        </is>
      </c>
      <c r="E218" s="214" t="inlineStr">
        <is>
          <t>т</t>
        </is>
      </c>
      <c r="F218" s="214" t="n">
        <v>0.004214</v>
      </c>
      <c r="G218" s="231" t="n">
        <v>7640</v>
      </c>
      <c r="H218" s="231">
        <f>ROUND(F218*G218,2)</f>
        <v/>
      </c>
    </row>
    <row r="219" ht="31.35" customFormat="1" customHeight="1" s="149">
      <c r="A219" s="214" t="n">
        <v>205</v>
      </c>
      <c r="B219" s="214" t="n"/>
      <c r="C219" s="22" t="inlineStr">
        <is>
          <t>999-9950</t>
        </is>
      </c>
      <c r="D219" s="215" t="inlineStr">
        <is>
          <t>Вспомогательные ненормируемые ресурсы (2% от Оплаты труда рабочих)</t>
        </is>
      </c>
      <c r="E219" s="214" t="inlineStr">
        <is>
          <t>руб</t>
        </is>
      </c>
      <c r="F219" s="214" t="n">
        <v>31.907041</v>
      </c>
      <c r="G219" s="231" t="n">
        <v>1</v>
      </c>
      <c r="H219" s="231">
        <f>ROUND(F219*G219,2)</f>
        <v/>
      </c>
    </row>
    <row r="220" ht="15.6" customFormat="1" customHeight="1" s="149">
      <c r="A220" s="214" t="n">
        <v>206</v>
      </c>
      <c r="B220" s="214" t="n"/>
      <c r="C220" s="22" t="inlineStr">
        <is>
          <t>01.7.03.04-0001</t>
        </is>
      </c>
      <c r="D220" s="215" t="inlineStr">
        <is>
          <t>Электроэнергия</t>
        </is>
      </c>
      <c r="E220" s="214" t="inlineStr">
        <is>
          <t>кВт-ч</t>
        </is>
      </c>
      <c r="F220" s="214" t="n">
        <v>77.40000000000001</v>
      </c>
      <c r="G220" s="231" t="n">
        <v>0.4</v>
      </c>
      <c r="H220" s="231">
        <f>ROUND(F220*G220,2)</f>
        <v/>
      </c>
    </row>
    <row r="221" ht="31.35" customFormat="1" customHeight="1" s="149">
      <c r="A221" s="214" t="n">
        <v>207</v>
      </c>
      <c r="B221" s="214" t="n"/>
      <c r="C221" s="22" t="inlineStr">
        <is>
          <t>11.1.03.01-0080</t>
        </is>
      </c>
      <c r="D221" s="215" t="inlineStr">
        <is>
          <t>Бруски обрезные, хвойных пород, длина 4-6,5 м, ширина 75-150 мм, толщина 40-75 мм, сорт IV</t>
        </is>
      </c>
      <c r="E221" s="214" t="inlineStr">
        <is>
          <t>м3</t>
        </is>
      </c>
      <c r="F221" s="214" t="n">
        <v>0.02501</v>
      </c>
      <c r="G221" s="231" t="n">
        <v>1056</v>
      </c>
      <c r="H221" s="231">
        <f>ROUND(F221*G221,2)</f>
        <v/>
      </c>
    </row>
    <row r="222" ht="31.35" customFormat="1" customHeight="1" s="149">
      <c r="A222" s="214" t="n">
        <v>208</v>
      </c>
      <c r="B222" s="214" t="n"/>
      <c r="C222" s="22" t="inlineStr">
        <is>
          <t>08.3.05.02-0101</t>
        </is>
      </c>
      <c r="D222" s="215" t="inlineStr">
        <is>
          <t>Прокат толстолистовой горячекатаный в листах, марка стали ВСт3пс5, толщина 4-6 мм</t>
        </is>
      </c>
      <c r="E222" s="214" t="inlineStr">
        <is>
          <t>т</t>
        </is>
      </c>
      <c r="F222" s="214" t="n">
        <v>0.0044</v>
      </c>
      <c r="G222" s="231" t="n">
        <v>5763</v>
      </c>
      <c r="H222" s="231">
        <f>ROUND(F222*G222,2)</f>
        <v/>
      </c>
    </row>
    <row r="223" ht="31.35" customFormat="1" customHeight="1" s="149">
      <c r="A223" s="214" t="n">
        <v>209</v>
      </c>
      <c r="B223" s="214" t="n"/>
      <c r="C223" s="22" t="inlineStr">
        <is>
          <t>01.7.15.06-0094</t>
        </is>
      </c>
      <c r="D223" s="215" t="inlineStr">
        <is>
          <t>Гвозди проволочные оцинкованные для асбестоцементной кровли, размер 4,5х120 мм</t>
        </is>
      </c>
      <c r="E223" s="214" t="inlineStr">
        <is>
          <t>т</t>
        </is>
      </c>
      <c r="F223" s="214" t="n">
        <v>0.001938</v>
      </c>
      <c r="G223" s="231" t="n">
        <v>11978</v>
      </c>
      <c r="H223" s="231">
        <f>ROUND(F223*G223,2)</f>
        <v/>
      </c>
    </row>
    <row r="224" ht="15.6" customFormat="1" customHeight="1" s="149">
      <c r="A224" s="214" t="n">
        <v>210</v>
      </c>
      <c r="B224" s="214" t="n"/>
      <c r="C224" s="22" t="inlineStr">
        <is>
          <t>14.5.11.01-0001</t>
        </is>
      </c>
      <c r="D224" s="215" t="inlineStr">
        <is>
          <t>Шпатлевка клеевая</t>
        </is>
      </c>
      <c r="E224" s="214" t="inlineStr">
        <is>
          <t>т</t>
        </is>
      </c>
      <c r="F224" s="214" t="n">
        <v>0.005313</v>
      </c>
      <c r="G224" s="231" t="n">
        <v>4294</v>
      </c>
      <c r="H224" s="231">
        <f>ROUND(F224*G224,2)</f>
        <v/>
      </c>
    </row>
    <row r="225" ht="15.6" customFormat="1" customHeight="1" s="149">
      <c r="A225" s="214" t="n">
        <v>211</v>
      </c>
      <c r="B225" s="214" t="n"/>
      <c r="C225" s="22" t="inlineStr">
        <is>
          <t>14.5.09.11-0102</t>
        </is>
      </c>
      <c r="D225" s="215" t="inlineStr">
        <is>
          <t>Уайт-спирит</t>
        </is>
      </c>
      <c r="E225" s="214" t="inlineStr">
        <is>
          <t>кг</t>
        </is>
      </c>
      <c r="F225" s="214" t="n">
        <v>3.05424</v>
      </c>
      <c r="G225" s="231" t="n">
        <v>6.67</v>
      </c>
      <c r="H225" s="231">
        <f>ROUND(F225*G225,2)</f>
        <v/>
      </c>
    </row>
    <row r="226" ht="15.6" customFormat="1" customHeight="1" s="149">
      <c r="A226" s="214" t="n">
        <v>212</v>
      </c>
      <c r="B226" s="214" t="n"/>
      <c r="C226" s="22" t="inlineStr">
        <is>
          <t>03.1.02.03-0011</t>
        </is>
      </c>
      <c r="D226" s="215" t="inlineStr">
        <is>
          <t>Известь строительная негашеная комовая, сорт I</t>
        </is>
      </c>
      <c r="E226" s="214" t="inlineStr">
        <is>
          <t>т</t>
        </is>
      </c>
      <c r="F226" s="214" t="n">
        <v>0.026096</v>
      </c>
      <c r="G226" s="231" t="n">
        <v>734.5</v>
      </c>
      <c r="H226" s="231">
        <f>ROUND(F226*G226,2)</f>
        <v/>
      </c>
    </row>
    <row r="227" ht="15.6" customFormat="1" customHeight="1" s="149">
      <c r="A227" s="214" t="n">
        <v>213</v>
      </c>
      <c r="B227" s="214" t="n"/>
      <c r="C227" s="22" t="inlineStr">
        <is>
          <t>04.3.01.09-0014</t>
        </is>
      </c>
      <c r="D227" s="215" t="inlineStr">
        <is>
          <t>Раствор готовый кладочный, цементный, М100</t>
        </is>
      </c>
      <c r="E227" s="214" t="inlineStr">
        <is>
          <t>м3</t>
        </is>
      </c>
      <c r="F227" s="214" t="n">
        <v>0.036</v>
      </c>
      <c r="G227" s="231" t="n">
        <v>519.8</v>
      </c>
      <c r="H227" s="231">
        <f>ROUND(F227*G227,2)</f>
        <v/>
      </c>
    </row>
    <row r="228" ht="15.6" customFormat="1" customHeight="1" s="149">
      <c r="A228" s="214" t="n">
        <v>214</v>
      </c>
      <c r="B228" s="214" t="n"/>
      <c r="C228" s="22" t="inlineStr">
        <is>
          <t>14.1.03.02-0201</t>
        </is>
      </c>
      <c r="D228" s="215" t="inlineStr">
        <is>
          <t>Клей малярный жидкий</t>
        </is>
      </c>
      <c r="E228" s="214" t="inlineStr">
        <is>
          <t>кг</t>
        </is>
      </c>
      <c r="F228" s="214" t="n">
        <v>2.277</v>
      </c>
      <c r="G228" s="231" t="n">
        <v>8.09</v>
      </c>
      <c r="H228" s="231">
        <f>ROUND(F228*G228,2)</f>
        <v/>
      </c>
    </row>
    <row r="229" ht="31.35" customFormat="1" customHeight="1" s="149">
      <c r="A229" s="214" t="n">
        <v>215</v>
      </c>
      <c r="B229" s="214" t="n"/>
      <c r="C229" s="22" t="inlineStr">
        <is>
          <t>01.7.16.02-0001</t>
        </is>
      </c>
      <c r="D229" s="215" t="inlineStr">
        <is>
          <t>Детали деревянные лесов из пиломатериалов хвойных пород</t>
        </is>
      </c>
      <c r="E229" s="214" t="inlineStr">
        <is>
          <t>м3</t>
        </is>
      </c>
      <c r="F229" s="214" t="n">
        <v>0.01664</v>
      </c>
      <c r="G229" s="231" t="n">
        <v>1100</v>
      </c>
      <c r="H229" s="231">
        <f>ROUND(F229*G229,2)</f>
        <v/>
      </c>
    </row>
    <row r="230" ht="31.35" customFormat="1" customHeight="1" s="149">
      <c r="A230" s="214" t="n">
        <v>216</v>
      </c>
      <c r="B230" s="214" t="n"/>
      <c r="C230" s="22" t="inlineStr">
        <is>
          <t>11.1.03.05-0066</t>
        </is>
      </c>
      <c r="D230" s="215" t="inlineStr">
        <is>
          <t>Доска необрезная, хвойных пород, длина 2-3,75 м, все ширины, толщина 32-40 мм, сорт IV</t>
        </is>
      </c>
      <c r="E230" s="214" t="inlineStr">
        <is>
          <t>м3</t>
        </is>
      </c>
      <c r="F230" s="214" t="n">
        <v>0.0301</v>
      </c>
      <c r="G230" s="231" t="n">
        <v>602</v>
      </c>
      <c r="H230" s="231">
        <f>ROUND(F230*G230,2)</f>
        <v/>
      </c>
    </row>
    <row r="231" ht="15.6" customFormat="1" customHeight="1" s="149">
      <c r="A231" s="214" t="n">
        <v>217</v>
      </c>
      <c r="B231" s="214" t="n"/>
      <c r="C231" s="22" t="inlineStr">
        <is>
          <t>01.7.07.08-0003</t>
        </is>
      </c>
      <c r="D231" s="215" t="inlineStr">
        <is>
          <t>Мыло хозяйственное твердое 72%</t>
        </is>
      </c>
      <c r="E231" s="214" t="inlineStr">
        <is>
          <t>шт</t>
        </is>
      </c>
      <c r="F231" s="214" t="n">
        <v>3.795</v>
      </c>
      <c r="G231" s="231" t="n">
        <v>4.5</v>
      </c>
      <c r="H231" s="231">
        <f>ROUND(F231*G231,2)</f>
        <v/>
      </c>
    </row>
    <row r="232" ht="15.6" customFormat="1" customHeight="1" s="149">
      <c r="A232" s="214" t="n">
        <v>218</v>
      </c>
      <c r="B232" s="214" t="n"/>
      <c r="C232" s="22" t="inlineStr">
        <is>
          <t>20.1.02.23-0082</t>
        </is>
      </c>
      <c r="D232" s="215" t="inlineStr">
        <is>
          <t>Перемычки гибкие, тип ПГС-50</t>
        </is>
      </c>
      <c r="E232" s="214" t="inlineStr">
        <is>
          <t>10 шт</t>
        </is>
      </c>
      <c r="F232" s="214" t="n">
        <v>0.3</v>
      </c>
      <c r="G232" s="231" t="n">
        <v>39</v>
      </c>
      <c r="H232" s="231">
        <f>ROUND(F232*G232,2)</f>
        <v/>
      </c>
    </row>
    <row r="233" ht="15.6" customFormat="1" customHeight="1" s="149">
      <c r="A233" s="214" t="n">
        <v>219</v>
      </c>
      <c r="B233" s="214" t="n"/>
      <c r="C233" s="22" t="inlineStr">
        <is>
          <t>01.3.05.19-0011</t>
        </is>
      </c>
      <c r="D233" s="215" t="inlineStr">
        <is>
          <t>Купорос медный, марка А</t>
        </is>
      </c>
      <c r="E233" s="214" t="inlineStr">
        <is>
          <t>т</t>
        </is>
      </c>
      <c r="F233" s="214" t="n">
        <v>0.001518</v>
      </c>
      <c r="G233" s="231" t="n">
        <v>7571</v>
      </c>
      <c r="H233" s="231">
        <f>ROUND(F233*G233,2)</f>
        <v/>
      </c>
    </row>
    <row r="234" ht="46.9" customFormat="1" customHeight="1" s="149">
      <c r="A234" s="214" t="n">
        <v>220</v>
      </c>
      <c r="B234" s="214" t="n"/>
      <c r="C234" s="22" t="inlineStr">
        <is>
          <t>21.2.03.05-0053</t>
        </is>
      </c>
      <c r="D234" s="215" t="inlineStr">
        <is>
          <t>Провода силовые для электрических установок на напряжение до 450 В с медной жилой марки ПВ1, сечением 10 мм2</t>
        </is>
      </c>
      <c r="E234" s="214" t="inlineStr">
        <is>
          <t>1000 м</t>
        </is>
      </c>
      <c r="F234" s="214" t="n">
        <v>0.001</v>
      </c>
      <c r="G234" s="231" t="n">
        <v>8454.870000000001</v>
      </c>
      <c r="H234" s="231">
        <f>ROUND(F234*G234,2)</f>
        <v/>
      </c>
    </row>
    <row r="235" ht="15.6" customFormat="1" customHeight="1" s="149">
      <c r="A235" s="214" t="n">
        <v>221</v>
      </c>
      <c r="B235" s="214" t="n"/>
      <c r="C235" s="22" t="inlineStr">
        <is>
          <t>01.3.01.01-0001</t>
        </is>
      </c>
      <c r="D235" s="215" t="inlineStr">
        <is>
          <t>Бензин авиационный Б-70</t>
        </is>
      </c>
      <c r="E235" s="214" t="inlineStr">
        <is>
          <t>т</t>
        </is>
      </c>
      <c r="F235" s="214" t="n">
        <v>0.0016</v>
      </c>
      <c r="G235" s="231" t="n">
        <v>4488.4</v>
      </c>
      <c r="H235" s="231">
        <f>ROUND(F235*G235,2)</f>
        <v/>
      </c>
    </row>
    <row r="236" ht="15.6" customFormat="1" customHeight="1" s="149">
      <c r="A236" s="214" t="n">
        <v>222</v>
      </c>
      <c r="B236" s="214" t="n"/>
      <c r="C236" s="22" t="inlineStr">
        <is>
          <t>01.2.01.01-0001</t>
        </is>
      </c>
      <c r="D236" s="215" t="inlineStr">
        <is>
          <t>Битумы нефтяные дорожные жидкие МГ, СГ</t>
        </is>
      </c>
      <c r="E236" s="214" t="inlineStr">
        <is>
          <t>т</t>
        </is>
      </c>
      <c r="F236" s="214" t="n">
        <v>0.0048</v>
      </c>
      <c r="G236" s="231" t="n">
        <v>1487.6</v>
      </c>
      <c r="H236" s="231">
        <f>ROUND(F236*G236,2)</f>
        <v/>
      </c>
    </row>
    <row r="237" ht="31.35" customFormat="1" customHeight="1" s="149">
      <c r="A237" s="214" t="n">
        <v>223</v>
      </c>
      <c r="B237" s="214" t="n"/>
      <c r="C237" s="22" t="inlineStr">
        <is>
          <t>08.3.07.01-0076</t>
        </is>
      </c>
      <c r="D237" s="215" t="inlineStr">
        <is>
          <t>Прокат полосовой, горячекатаный, марка стали Ст3сп, ширина 50-200 мм, толщина 4-5 мм</t>
        </is>
      </c>
      <c r="E237" s="214" t="inlineStr">
        <is>
          <t>т</t>
        </is>
      </c>
      <c r="F237" s="214" t="n">
        <v>0.00137</v>
      </c>
      <c r="G237" s="231" t="n">
        <v>5000</v>
      </c>
      <c r="H237" s="231">
        <f>ROUND(F237*G237,2)</f>
        <v/>
      </c>
    </row>
    <row r="238" ht="31.35" customFormat="1" customHeight="1" s="149">
      <c r="A238" s="214" t="n">
        <v>224</v>
      </c>
      <c r="B238" s="214" t="n"/>
      <c r="C238" s="22" t="inlineStr">
        <is>
          <t>08.1.02.11-0023</t>
        </is>
      </c>
      <c r="D238" s="215" t="inlineStr">
        <is>
          <t>Поковки простые строительные (скобы, закрепы, хомуты), масса до 1,6 кг</t>
        </is>
      </c>
      <c r="E238" s="214" t="inlineStr">
        <is>
          <t>кг</t>
        </is>
      </c>
      <c r="F238" s="214" t="n">
        <v>0.24</v>
      </c>
      <c r="G238" s="231" t="n">
        <v>15.14</v>
      </c>
      <c r="H238" s="231">
        <f>ROUND(F238*G238,2)</f>
        <v/>
      </c>
    </row>
    <row r="239" ht="15.6" customFormat="1" customHeight="1" s="149">
      <c r="A239" s="214" t="n">
        <v>225</v>
      </c>
      <c r="B239" s="214" t="n"/>
      <c r="C239" s="22" t="inlineStr">
        <is>
          <t>08.1.02.11-0001</t>
        </is>
      </c>
      <c r="D239" s="215" t="inlineStr">
        <is>
          <t>Поковки из квадратных заготовок, масса 1,8 кг</t>
        </is>
      </c>
      <c r="E239" s="214" t="inlineStr">
        <is>
          <t>т</t>
        </is>
      </c>
      <c r="F239" s="214" t="n">
        <v>0.0004904</v>
      </c>
      <c r="G239" s="231" t="n">
        <v>5989</v>
      </c>
      <c r="H239" s="231">
        <f>ROUND(F239*G239,2)</f>
        <v/>
      </c>
    </row>
    <row r="240" ht="15.6" customFormat="1" customHeight="1" s="149">
      <c r="A240" s="214" t="n">
        <v>226</v>
      </c>
      <c r="B240" s="214" t="n"/>
      <c r="C240" s="22" t="inlineStr">
        <is>
          <t>01.7.15.07-0014</t>
        </is>
      </c>
      <c r="D240" s="215" t="inlineStr">
        <is>
          <t>Дюбели распорные полипропиленовые</t>
        </is>
      </c>
      <c r="E240" s="214" t="inlineStr">
        <is>
          <t>100 шт</t>
        </is>
      </c>
      <c r="F240" s="214" t="n">
        <v>0.031038</v>
      </c>
      <c r="G240" s="231" t="n">
        <v>86</v>
      </c>
      <c r="H240" s="231">
        <f>ROUND(F240*G240,2)</f>
        <v/>
      </c>
    </row>
    <row r="241" ht="78" customFormat="1" customHeight="1" s="149">
      <c r="A241" s="214" t="n">
        <v>227</v>
      </c>
      <c r="B241" s="214" t="n"/>
      <c r="C241" s="22" t="inlineStr">
        <is>
          <t>14.2.02.11-0021</t>
        </is>
      </c>
      <c r="D241" s="215" t="inlineStr">
        <is>
          <t>Состав огнезащитный двухкомпонентный вспучивающийся на неорганическом связующем для заполнения пустот в деревянных стенах и перекрытиях и предотвращения распространения пожара, расход 450 кг/м3</t>
        </is>
      </c>
      <c r="E241" s="214" t="inlineStr">
        <is>
          <t>кг</t>
        </is>
      </c>
      <c r="F241" s="214" t="n">
        <v>0.0198</v>
      </c>
      <c r="G241" s="231" t="n">
        <v>115.2</v>
      </c>
      <c r="H241" s="231">
        <f>ROUND(F241*G241,2)</f>
        <v/>
      </c>
    </row>
    <row r="242" ht="31.35" customFormat="1" customHeight="1" s="149">
      <c r="A242" s="214" t="n">
        <v>228</v>
      </c>
      <c r="B242" s="214" t="n"/>
      <c r="C242" s="22" t="inlineStr">
        <is>
          <t>06.1.01.05-0035</t>
        </is>
      </c>
      <c r="D242" s="215" t="inlineStr">
        <is>
          <t>Кирпич керамический одинарный, марка 100, размер 250х120х65 мм</t>
        </is>
      </c>
      <c r="E242" s="214" t="inlineStr">
        <is>
          <t>1000 шт</t>
        </is>
      </c>
      <c r="F242" s="214" t="n">
        <v>0.001142</v>
      </c>
      <c r="G242" s="231" t="n">
        <v>1752.6</v>
      </c>
      <c r="H242" s="231">
        <f>ROUND(F242*G242,2)</f>
        <v/>
      </c>
    </row>
    <row r="243" ht="46.9" customFormat="1" customHeight="1" s="149">
      <c r="A243" s="214" t="n">
        <v>229</v>
      </c>
      <c r="B243" s="214" t="n"/>
      <c r="C243" s="22" t="inlineStr">
        <is>
          <t>01.7.06.05-0041</t>
        </is>
      </c>
      <c r="D243" s="215" t="inlineStr">
        <is>
          <t>Лента изоляционная прорезиненная односторонняя, ширина 20 мм, толщина 0,25-0,35 мм</t>
        </is>
      </c>
      <c r="E243" s="214" t="inlineStr">
        <is>
          <t>кг</t>
        </is>
      </c>
      <c r="F243" s="214" t="n">
        <v>0.064039</v>
      </c>
      <c r="G243" s="231" t="n">
        <v>30.4</v>
      </c>
      <c r="H243" s="231">
        <f>ROUND(F243*G243,2)</f>
        <v/>
      </c>
    </row>
    <row r="244" ht="15.6" customFormat="1" customHeight="1" s="149">
      <c r="A244" s="214" t="n">
        <v>230</v>
      </c>
      <c r="B244" s="214" t="n"/>
      <c r="C244" s="22" t="inlineStr">
        <is>
          <t>01.7.06.07-0002</t>
        </is>
      </c>
      <c r="D244" s="215" t="inlineStr">
        <is>
          <t>Лента монтажная, тип ЛМ-5</t>
        </is>
      </c>
      <c r="E244" s="214" t="inlineStr">
        <is>
          <t>10 м</t>
        </is>
      </c>
      <c r="F244" s="214" t="n">
        <v>0.19151</v>
      </c>
      <c r="G244" s="231" t="n">
        <v>6.9</v>
      </c>
      <c r="H244" s="231">
        <f>ROUND(F244*G244,2)</f>
        <v/>
      </c>
    </row>
    <row r="245" ht="15.6" customFormat="1" customHeight="1" s="149">
      <c r="A245" s="214" t="n">
        <v>231</v>
      </c>
      <c r="B245" s="214" t="n"/>
      <c r="C245" s="22" t="inlineStr">
        <is>
          <t>01.3.01.02-0002</t>
        </is>
      </c>
      <c r="D245" s="215" t="inlineStr">
        <is>
          <t>Вазелин технический</t>
        </is>
      </c>
      <c r="E245" s="214" t="inlineStr">
        <is>
          <t>кг</t>
        </is>
      </c>
      <c r="F245" s="214" t="n">
        <v>0.021</v>
      </c>
      <c r="G245" s="231" t="n">
        <v>44.97</v>
      </c>
      <c r="H245" s="231">
        <f>ROUND(F245*G245,2)</f>
        <v/>
      </c>
    </row>
    <row r="246" ht="15.6" customFormat="1" customHeight="1" s="149">
      <c r="A246" s="214" t="n">
        <v>232</v>
      </c>
      <c r="B246" s="214" t="n"/>
      <c r="C246" s="22" t="inlineStr">
        <is>
          <t>14.4.03.17-0011</t>
        </is>
      </c>
      <c r="D246" s="215" t="inlineStr">
        <is>
          <t>Лак электроизоляционный 318</t>
        </is>
      </c>
      <c r="E246" s="214" t="inlineStr">
        <is>
          <t>кг</t>
        </is>
      </c>
      <c r="F246" s="214" t="n">
        <v>0.026</v>
      </c>
      <c r="G246" s="231" t="n">
        <v>35.63</v>
      </c>
      <c r="H246" s="231">
        <f>ROUND(F246*G246,2)</f>
        <v/>
      </c>
    </row>
    <row r="247" ht="31.35" customFormat="1" customHeight="1" s="149">
      <c r="A247" s="214" t="n">
        <v>233</v>
      </c>
      <c r="B247" s="214" t="n"/>
      <c r="C247" s="22" t="inlineStr">
        <is>
          <t>14.5.05.01-0002</t>
        </is>
      </c>
      <c r="D247" s="215" t="inlineStr">
        <is>
          <t>Олифа для улучшенной окраски (10% натуральной, 90% комбинированной)</t>
        </is>
      </c>
      <c r="E247" s="214" t="inlineStr">
        <is>
          <t>т</t>
        </is>
      </c>
      <c r="F247" s="214" t="n">
        <v>2.53e-05</v>
      </c>
      <c r="G247" s="231" t="n">
        <v>26230</v>
      </c>
      <c r="H247" s="231">
        <f>ROUND(F247*G247,2)</f>
        <v/>
      </c>
    </row>
    <row r="248" ht="15.6" customFormat="1" customHeight="1" s="149">
      <c r="A248" s="214" t="n">
        <v>234</v>
      </c>
      <c r="B248" s="214" t="n"/>
      <c r="C248" s="22" t="inlineStr">
        <is>
          <t>14.4.03.03-0002</t>
        </is>
      </c>
      <c r="D248" s="215" t="inlineStr">
        <is>
          <t>Лак битумный БТ-123</t>
        </is>
      </c>
      <c r="E248" s="214" t="inlineStr">
        <is>
          <t>т</t>
        </is>
      </c>
      <c r="F248" s="214" t="n">
        <v>8.220000000000001e-05</v>
      </c>
      <c r="G248" s="231" t="n">
        <v>7826.9</v>
      </c>
      <c r="H248" s="231">
        <f>ROUND(F248*G248,2)</f>
        <v/>
      </c>
    </row>
    <row r="249" ht="15.6" customFormat="1" customHeight="1" s="149">
      <c r="A249" s="214" t="n">
        <v>235</v>
      </c>
      <c r="B249" s="214" t="n"/>
      <c r="C249" s="22" t="inlineStr">
        <is>
          <t>01.7.20.04-0005</t>
        </is>
      </c>
      <c r="D249" s="215" t="inlineStr">
        <is>
          <t>Нитки швейные</t>
        </is>
      </c>
      <c r="E249" s="214" t="inlineStr">
        <is>
          <t>кг</t>
        </is>
      </c>
      <c r="F249" s="214" t="n">
        <v>0.004</v>
      </c>
      <c r="G249" s="231" t="n">
        <v>133.05</v>
      </c>
      <c r="H249" s="231">
        <f>ROUND(F249*G249,2)</f>
        <v/>
      </c>
    </row>
    <row r="250" ht="15.6" customFormat="1" customHeight="1" s="149">
      <c r="A250" s="214" t="n">
        <v>236</v>
      </c>
      <c r="B250" s="214" t="n"/>
      <c r="C250" s="22" t="inlineStr">
        <is>
          <t>20.5.04.10-0011</t>
        </is>
      </c>
      <c r="D250" s="215" t="inlineStr">
        <is>
          <t>Сжимы соединительные</t>
        </is>
      </c>
      <c r="E250" s="214" t="inlineStr">
        <is>
          <t>100 шт</t>
        </is>
      </c>
      <c r="F250" s="214" t="n">
        <v>0.001632</v>
      </c>
      <c r="G250" s="231" t="n">
        <v>100</v>
      </c>
      <c r="H250" s="231">
        <f>ROUND(F250*G250,2)</f>
        <v/>
      </c>
    </row>
    <row r="251" ht="15.6" customFormat="1" customHeight="1" s="149">
      <c r="A251" s="214" t="n">
        <v>237</v>
      </c>
      <c r="B251" s="214" t="n"/>
      <c r="C251" s="22" t="inlineStr">
        <is>
          <t>01.3.01.05-0009</t>
        </is>
      </c>
      <c r="D251" s="215" t="inlineStr">
        <is>
          <t>Парафин нефтяной твердый Т-1</t>
        </is>
      </c>
      <c r="E251" s="214" t="inlineStr">
        <is>
          <t>т</t>
        </is>
      </c>
      <c r="F251" s="214" t="n">
        <v>2e-05</v>
      </c>
      <c r="G251" s="231" t="n">
        <v>8105.71</v>
      </c>
      <c r="H251" s="231">
        <f>ROUND(F251*G251,2)</f>
        <v/>
      </c>
    </row>
    <row r="252" ht="31.35" customFormat="1" customHeight="1" s="149">
      <c r="A252" s="214" t="n">
        <v>238</v>
      </c>
      <c r="B252" s="214" t="n"/>
      <c r="C252" s="22" t="inlineStr">
        <is>
          <t>02.4.03.02-0001</t>
        </is>
      </c>
      <c r="D252" s="215" t="inlineStr">
        <is>
          <t>Щебень пористый из металлургического шлака М 600, фракция 5-10 мм</t>
        </is>
      </c>
      <c r="E252" s="214" t="inlineStr">
        <is>
          <t>м3</t>
        </is>
      </c>
      <c r="F252" s="214" t="n">
        <v>0.001012</v>
      </c>
      <c r="G252" s="231" t="n">
        <v>74.58</v>
      </c>
      <c r="H252" s="231">
        <f>ROUND(F252*G252,2)</f>
        <v/>
      </c>
    </row>
    <row r="253" ht="15.6" customFormat="1" customHeight="1" s="149">
      <c r="A253" s="214" t="n">
        <v>239</v>
      </c>
      <c r="B253" s="214" t="n"/>
      <c r="C253" s="22" t="inlineStr">
        <is>
          <t>01.7.02.09-0002</t>
        </is>
      </c>
      <c r="D253" s="215" t="inlineStr">
        <is>
          <t>Шпагат бумажный</t>
        </is>
      </c>
      <c r="E253" s="214" t="inlineStr">
        <is>
          <t>кг</t>
        </is>
      </c>
      <c r="F253" s="214" t="n">
        <v>0.006</v>
      </c>
      <c r="G253" s="231" t="n">
        <v>11.5</v>
      </c>
      <c r="H253" s="231">
        <f>ROUND(F253*G253,2)</f>
        <v/>
      </c>
    </row>
    <row r="254" ht="15.6" customFormat="1" customHeight="1" s="149">
      <c r="A254" s="214" t="n">
        <v>240</v>
      </c>
      <c r="B254" s="214" t="n"/>
      <c r="C254" s="22" t="inlineStr">
        <is>
          <t>01.7.15.04-0011</t>
        </is>
      </c>
      <c r="D254" s="215" t="inlineStr">
        <is>
          <t>Винты с полукруглой головкой, длина 50 мм</t>
        </is>
      </c>
      <c r="E254" s="214" t="inlineStr">
        <is>
          <t>т</t>
        </is>
      </c>
      <c r="F254" s="214" t="n">
        <v>4.9e-06</v>
      </c>
      <c r="G254" s="231" t="n">
        <v>12430</v>
      </c>
      <c r="H254" s="231">
        <f>ROUND(F254*G254,2)</f>
        <v/>
      </c>
    </row>
    <row r="255" ht="31.35" customFormat="1" customHeight="1" s="149">
      <c r="A255" s="214" t="n">
        <v>241</v>
      </c>
      <c r="B255" s="214" t="n"/>
      <c r="C255" s="22" t="inlineStr">
        <is>
          <t>Мб2001-101-2229</t>
        </is>
      </c>
      <c r="D255" s="215" t="inlineStr">
        <is>
          <t>Прокат стальной круглый горячекатаный диметром 28 мм, сталь марки Ст3</t>
        </is>
      </c>
      <c r="E255" s="214" t="inlineStr">
        <is>
          <t>100 кг</t>
        </is>
      </c>
      <c r="F255" s="214" t="n">
        <v>0.3</v>
      </c>
      <c r="G255" s="231" t="n"/>
      <c r="H255" s="231">
        <f>ROUND(F255*G255,2)</f>
        <v/>
      </c>
    </row>
    <row r="256" ht="15.6" customFormat="1" customHeight="1" s="149">
      <c r="A256" s="214" t="n">
        <v>242</v>
      </c>
      <c r="B256" s="214" t="n"/>
      <c r="C256" s="22" t="inlineStr">
        <is>
          <t>999-0005</t>
        </is>
      </c>
      <c r="D256" s="215" t="inlineStr">
        <is>
          <t>Масса</t>
        </is>
      </c>
      <c r="E256" s="214" t="inlineStr">
        <is>
          <t>т</t>
        </is>
      </c>
      <c r="F256" s="214" t="n">
        <v>82.8</v>
      </c>
      <c r="G256" s="231" t="n"/>
      <c r="H256" s="231">
        <f>ROUND(F256*G256,2)</f>
        <v/>
      </c>
    </row>
    <row r="257" ht="15.6" customFormat="1" customHeight="1" s="149">
      <c r="A257" s="214" t="n">
        <v>243</v>
      </c>
      <c r="B257" s="214" t="n"/>
      <c r="C257" s="22" t="inlineStr">
        <is>
          <t>01.7.15.14-0165</t>
        </is>
      </c>
      <c r="D257" s="215" t="inlineStr">
        <is>
          <t>Шурупы с полукруглой головкой 4х40 мм</t>
        </is>
      </c>
      <c r="E257" s="214" t="inlineStr">
        <is>
          <t>т</t>
        </is>
      </c>
      <c r="F257" s="214" t="n">
        <v>2e-07</v>
      </c>
      <c r="G257" s="231" t="n">
        <v>12430</v>
      </c>
      <c r="H257" s="231">
        <f>ROUND(F257*G257,2)</f>
        <v/>
      </c>
    </row>
    <row r="258" ht="15.6" customFormat="1" customHeight="1" s="149">
      <c r="A258" s="214" t="n">
        <v>244</v>
      </c>
      <c r="B258" s="214" t="n"/>
      <c r="C258" s="22" t="inlineStr">
        <is>
          <t>01.7.15.14-0161</t>
        </is>
      </c>
      <c r="D258" s="215" t="inlineStr">
        <is>
          <t>Шурупы с полукруглой головкой 2,5х20 мм</t>
        </is>
      </c>
      <c r="E258" s="214" t="inlineStr">
        <is>
          <t>т</t>
        </is>
      </c>
      <c r="F258" s="214" t="n">
        <v>1e-07</v>
      </c>
      <c r="G258" s="231" t="n">
        <v>29800</v>
      </c>
      <c r="H258" s="231">
        <f>ROUND(F258*G258,2)</f>
        <v/>
      </c>
    </row>
    <row r="259" ht="15.6" customFormat="1" customHeight="1" s="15">
      <c r="A259" s="213" t="inlineStr">
        <is>
          <t>Оборудование</t>
        </is>
      </c>
      <c r="B259" s="243" t="n"/>
      <c r="C259" s="243" t="n"/>
      <c r="D259" s="243" t="n"/>
      <c r="E259" s="244" t="n"/>
      <c r="F259" s="213" t="n"/>
      <c r="G259" s="17" t="n"/>
      <c r="H259" s="17">
        <f>SUM(H260:H261)</f>
        <v/>
      </c>
    </row>
    <row r="260" ht="62.45" customFormat="1" customHeight="1" s="149">
      <c r="A260" s="214" t="n">
        <v>245</v>
      </c>
      <c r="B260" s="214" t="n"/>
      <c r="C260" s="22" t="inlineStr">
        <is>
          <t>Прайс из СД ОП</t>
        </is>
      </c>
      <c r="D260" s="215" t="inlineStr">
        <is>
          <t>Кран мостовой электрический одноблочный подвесной однопролетный грузоподьемностью 3,2т Пролет 9.0 полная длина 10,8м высота подьема 6м</t>
        </is>
      </c>
      <c r="E260" s="214" t="inlineStr">
        <is>
          <t>шт</t>
        </is>
      </c>
      <c r="F260" s="214" t="n">
        <v>1</v>
      </c>
      <c r="G260" s="231" t="n">
        <v>239281.72</v>
      </c>
      <c r="H260" s="231">
        <f>ROUND(F260*G260,2)</f>
        <v/>
      </c>
    </row>
    <row r="261" ht="46.9" customFormat="1" customHeight="1" s="149">
      <c r="A261" s="214" t="n">
        <v>246</v>
      </c>
      <c r="B261" s="214" t="n"/>
      <c r="C261" s="22" t="inlineStr">
        <is>
          <t>62.1.02.22-0044</t>
        </is>
      </c>
      <c r="D261" s="215" t="inlineStr">
        <is>
          <t>Ящики силовые с блоком «предохранитель-выключатель» серии ЯБПВ, типа ЯБПВУ-1 на 100А</t>
        </is>
      </c>
      <c r="E261" s="214" t="inlineStr">
        <is>
          <t>шт</t>
        </is>
      </c>
      <c r="F261" s="214" t="n">
        <v>1</v>
      </c>
      <c r="G261" s="231" t="n">
        <v>351.1</v>
      </c>
      <c r="H261" s="231">
        <f>ROUND(F261*G261,2)</f>
        <v/>
      </c>
    </row>
    <row r="262" ht="15.6" customFormat="1" customHeight="1" s="149"/>
    <row r="263" ht="15.6" customFormat="1" customHeight="1" s="149"/>
    <row r="264" ht="15.6" customFormat="1" customHeight="1" s="149"/>
    <row r="265" ht="15.6" customFormat="1" customHeight="1" s="149"/>
    <row r="266" ht="15.6" customFormat="1" customHeight="1" s="149">
      <c r="B266" s="149" t="inlineStr">
        <is>
          <t>Составил ______________________        М.С. Колотиевская</t>
        </is>
      </c>
      <c r="C266" s="149" t="n"/>
    </row>
    <row r="267" ht="15.6" customFormat="1" customHeight="1" s="149">
      <c r="B267" s="99" t="inlineStr">
        <is>
          <t xml:space="preserve">                         (подпись, инициалы, фамилия)</t>
        </is>
      </c>
      <c r="C267" s="149" t="n"/>
    </row>
    <row r="268" ht="15.6" customFormat="1" customHeight="1" s="149">
      <c r="B268" s="149" t="n"/>
      <c r="C268" s="149" t="n"/>
    </row>
    <row r="269" ht="15.6" customFormat="1" customHeight="1" s="149">
      <c r="B269" s="149" t="inlineStr">
        <is>
          <t>Проверил ______________________       М.С. Колотиевская</t>
        </is>
      </c>
      <c r="C269" s="149" t="n"/>
    </row>
    <row r="270" ht="15.6" customFormat="1" customHeight="1" s="149">
      <c r="B270" s="99" t="inlineStr">
        <is>
          <t xml:space="preserve">                        (подпись, инициалы, фамилия)</t>
        </is>
      </c>
      <c r="C270" s="149" t="n"/>
    </row>
    <row r="271" ht="15.6" customFormat="1" customHeight="1" s="149"/>
  </sheetData>
  <mergeCells count="16">
    <mergeCell ref="A6:H6"/>
    <mergeCell ref="A3:H3"/>
    <mergeCell ref="A8:A9"/>
    <mergeCell ref="E8:E9"/>
    <mergeCell ref="A38:E38"/>
    <mergeCell ref="C8:C9"/>
    <mergeCell ref="F8:F9"/>
    <mergeCell ref="A2:H2"/>
    <mergeCell ref="A11:E11"/>
    <mergeCell ref="D8:D9"/>
    <mergeCell ref="B8:B9"/>
    <mergeCell ref="A94:E94"/>
    <mergeCell ref="C4:H4"/>
    <mergeCell ref="A36:E36"/>
    <mergeCell ref="G8:H8"/>
    <mergeCell ref="A259:E259"/>
  </mergeCells>
  <conditionalFormatting sqref="F11:F261">
    <cfRule type="expression" priority="1" dxfId="0" stopIfTrue="1">
      <formula>ROUND(F11*10000,0)/10000=F11</formula>
    </cfRule>
  </conditionalFormatting>
  <printOptions gridLines="0" gridLinesSet="1"/>
  <pageMargins left="0.7" right="0.7" top="0.75" bottom="0.75" header="0.3" footer="0.3"/>
  <pageSetup orientation="portrait" paperSize="9" scale="5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showGridLines="1" showRowColHeaders="1" tabSelected="0" view="pageBreakPreview" topLeftCell="A11" zoomScale="60" workbookViewId="0">
      <selection activeCell="K29" sqref="K29"/>
    </sheetView>
  </sheetViews>
  <sheetFormatPr baseColWidth="8" defaultColWidth="9.140625" defaultRowHeight="14.4" outlineLevelRow="0"/>
  <cols>
    <col width="4.140625" customWidth="1" style="147" min="1" max="1"/>
    <col width="36.42578125" customWidth="1" style="147" min="2" max="2"/>
    <col width="23.140625" customWidth="1" style="147" min="3" max="3"/>
    <col width="18.42578125" customWidth="1" style="147" min="4" max="4"/>
    <col width="23.7109375" customWidth="1" style="147" min="5" max="5"/>
    <col width="9.140625" customWidth="1" style="147" min="6" max="6"/>
    <col width="9.140625" customWidth="1" style="147" min="7" max="7"/>
    <col width="9.140625" customWidth="1" style="147" min="8" max="8"/>
    <col width="9.140625" customWidth="1" style="147" min="9" max="9"/>
    <col width="9.140625" customWidth="1" style="147" min="10" max="10"/>
    <col width="13.42578125" customWidth="1" style="147" min="11" max="11"/>
    <col width="9.140625" customWidth="1" style="147" min="12" max="12"/>
  </cols>
  <sheetData>
    <row r="1" ht="15.6" customHeight="1" s="147">
      <c r="A1" s="74" t="n"/>
      <c r="B1" s="149" t="n"/>
      <c r="C1" s="149" t="n"/>
      <c r="D1" s="149" t="n"/>
      <c r="E1" s="149" t="n"/>
    </row>
    <row r="2" ht="15.6" customHeight="1" s="147">
      <c r="B2" s="149" t="n"/>
      <c r="C2" s="149" t="n"/>
      <c r="D2" s="149" t="n"/>
      <c r="E2" s="212" t="inlineStr">
        <is>
          <t>Приложение № 4</t>
        </is>
      </c>
    </row>
    <row r="3" ht="15.6" customHeight="1" s="147">
      <c r="B3" s="149" t="n"/>
      <c r="C3" s="149" t="n"/>
      <c r="D3" s="149" t="n"/>
      <c r="E3" s="149" t="n"/>
    </row>
    <row r="4" ht="15.6" customHeight="1" s="147">
      <c r="B4" s="149" t="n"/>
      <c r="C4" s="149" t="n"/>
      <c r="D4" s="149" t="n"/>
      <c r="E4" s="149" t="n"/>
    </row>
    <row r="5" ht="15.6" customHeight="1" s="147">
      <c r="B5" s="240" t="inlineStr">
        <is>
          <t>Ресурсная модель</t>
        </is>
      </c>
    </row>
    <row r="6" ht="15.6" customHeight="1" s="147">
      <c r="B6" s="201" t="n"/>
      <c r="C6" s="149" t="n"/>
      <c r="D6" s="149" t="n"/>
      <c r="E6" s="149" t="n"/>
    </row>
    <row r="7" ht="15.6" customHeight="1" s="147">
      <c r="B7" s="218" t="inlineStr">
        <is>
          <t>Наименование разрабатываемой расценки УНЦ —  Демонтаж закрытого склада</t>
        </is>
      </c>
    </row>
    <row r="8" ht="15.6" customHeight="1" s="147">
      <c r="B8" s="218" t="inlineStr">
        <is>
          <t>Единица измерения  — м2</t>
        </is>
      </c>
    </row>
    <row r="9">
      <c r="B9" s="79" t="n"/>
      <c r="C9" s="133" t="n"/>
      <c r="D9" s="133" t="n"/>
      <c r="E9" s="133" t="n"/>
    </row>
    <row r="10" ht="62.45" customFormat="1" customHeight="1" s="149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 ht="15" customFormat="1" customHeight="1" s="149">
      <c r="B11" s="220" t="inlineStr">
        <is>
          <t>Оплата труда рабочих</t>
        </is>
      </c>
      <c r="C11" s="83">
        <f>'Прил.5 Расчет СМР и ОБ'!J15</f>
        <v/>
      </c>
      <c r="D11" s="84">
        <f>C11/C24</f>
        <v/>
      </c>
      <c r="E11" s="84">
        <f>C11/C40</f>
        <v/>
      </c>
    </row>
    <row r="12" ht="15" customFormat="1" customHeight="1" s="149">
      <c r="B12" s="220" t="inlineStr">
        <is>
          <t>Эксплуатация машин основных</t>
        </is>
      </c>
      <c r="C12" s="83">
        <f>'Прил.5 Расчет СМР и ОБ'!J33</f>
        <v/>
      </c>
      <c r="D12" s="84">
        <f>C12/C24</f>
        <v/>
      </c>
      <c r="E12" s="84">
        <f>C12/C40</f>
        <v/>
      </c>
    </row>
    <row r="13" ht="15" customFormat="1" customHeight="1" s="149">
      <c r="B13" s="220" t="inlineStr">
        <is>
          <t>Эксплуатация машин прочих</t>
        </is>
      </c>
      <c r="C13" s="83">
        <f>'Прил.5 Расчет СМР и ОБ'!J79</f>
        <v/>
      </c>
      <c r="D13" s="84">
        <f>C13/C24</f>
        <v/>
      </c>
      <c r="E13" s="84">
        <f>C13/C40</f>
        <v/>
      </c>
    </row>
    <row r="14" ht="15" customFormat="1" customHeight="1" s="149">
      <c r="B14" s="220" t="inlineStr">
        <is>
          <t>ЭКСПЛУАТАЦИЯ МАШИН, ВСЕГО:</t>
        </is>
      </c>
      <c r="C14" s="83">
        <f>C13+C12</f>
        <v/>
      </c>
      <c r="D14" s="84">
        <f>C14/C24</f>
        <v/>
      </c>
      <c r="E14" s="84">
        <f>C14/C40</f>
        <v/>
      </c>
    </row>
    <row r="15" ht="15" customFormat="1" customHeight="1" s="149">
      <c r="B15" s="220" t="inlineStr">
        <is>
          <t>в том числе зарплата машинистов</t>
        </is>
      </c>
      <c r="C15" s="83">
        <f>'Прил.5 Расчет СМР и ОБ'!J18</f>
        <v/>
      </c>
      <c r="D15" s="84">
        <f>C15/C24</f>
        <v/>
      </c>
      <c r="E15" s="84">
        <f>C15/C40</f>
        <v/>
      </c>
    </row>
    <row r="16" ht="15" customFormat="1" customHeight="1" s="149">
      <c r="B16" s="220" t="inlineStr">
        <is>
          <t>Материалы основные</t>
        </is>
      </c>
      <c r="C16" s="83">
        <f>'Прил.5 Расчет СМР и ОБ'!J90</f>
        <v/>
      </c>
      <c r="D16" s="84">
        <f>C16/C24</f>
        <v/>
      </c>
      <c r="E16" s="84">
        <f>C16/C40</f>
        <v/>
      </c>
    </row>
    <row r="17" ht="15" customFormat="1" customHeight="1" s="149">
      <c r="B17" s="220" t="inlineStr">
        <is>
          <t>Материалы прочие</t>
        </is>
      </c>
      <c r="C17" s="83">
        <f>'Прил.5 Расчет СМР и ОБ'!J91</f>
        <v/>
      </c>
      <c r="D17" s="84">
        <f>C17/C24</f>
        <v/>
      </c>
      <c r="E17" s="84">
        <f>C17/C40</f>
        <v/>
      </c>
    </row>
    <row r="18" ht="15" customFormat="1" customHeight="1" s="149">
      <c r="B18" s="220" t="inlineStr">
        <is>
          <t>МАТЕРИАЛЫ, ВСЕГО:</t>
        </is>
      </c>
      <c r="C18" s="83">
        <f>C17+C16</f>
        <v/>
      </c>
      <c r="D18" s="84">
        <f>C18/C24</f>
        <v/>
      </c>
      <c r="E18" s="84">
        <f>C18/C40</f>
        <v/>
      </c>
    </row>
    <row r="19" ht="15" customFormat="1" customHeight="1" s="149">
      <c r="B19" s="220" t="inlineStr">
        <is>
          <t>ИТОГО</t>
        </is>
      </c>
      <c r="C19" s="83">
        <f>C18+C14+C11</f>
        <v/>
      </c>
      <c r="D19" s="84">
        <f>C19/C24</f>
        <v/>
      </c>
      <c r="E19" s="85">
        <f>C19/C40</f>
        <v/>
      </c>
    </row>
    <row r="20" ht="15" customFormat="1" customHeight="1" s="149">
      <c r="B20" s="220" t="inlineStr">
        <is>
          <t>Сметная прибыль, руб.</t>
        </is>
      </c>
      <c r="C20" s="83">
        <f>ROUND(C21*(C11+C15),2)</f>
        <v/>
      </c>
      <c r="D20" s="84">
        <f>C20/C24</f>
        <v/>
      </c>
      <c r="E20" s="84">
        <f>C20/C40</f>
        <v/>
      </c>
    </row>
    <row r="21" ht="15" customFormat="1" customHeight="1" s="149">
      <c r="B21" s="220" t="inlineStr">
        <is>
          <t>Сметная прибыль, %</t>
        </is>
      </c>
      <c r="C21" s="86">
        <f>'Прил.5 Расчет СМР и ОБ'!D98</f>
        <v/>
      </c>
      <c r="D21" s="84" t="n"/>
      <c r="E21" s="85" t="n"/>
    </row>
    <row r="22" ht="15" customFormat="1" customHeight="1" s="149">
      <c r="B22" s="220" t="inlineStr">
        <is>
          <t>Накладные расходы, руб.</t>
        </is>
      </c>
      <c r="C22" s="83">
        <f>ROUND(C23*(C11+C15),2)</f>
        <v/>
      </c>
      <c r="D22" s="84">
        <f>C22/C24</f>
        <v/>
      </c>
      <c r="E22" s="84">
        <f>C22/C40</f>
        <v/>
      </c>
    </row>
    <row r="23" ht="15" customFormat="1" customHeight="1" s="149">
      <c r="B23" s="220" t="inlineStr">
        <is>
          <t>Накладные расходы, %</t>
        </is>
      </c>
      <c r="C23" s="86">
        <f>'Прил.5 Расчет СМР и ОБ'!D96</f>
        <v/>
      </c>
      <c r="D23" s="84" t="n"/>
      <c r="E23" s="85" t="n"/>
    </row>
    <row r="24" ht="15" customFormat="1" customHeight="1" s="149">
      <c r="B24" s="220" t="inlineStr">
        <is>
          <t>ВСЕГО СМР с НР и СП</t>
        </is>
      </c>
      <c r="C24" s="83">
        <f>C19+C20+C22</f>
        <v/>
      </c>
      <c r="D24" s="84">
        <f>C24/C24</f>
        <v/>
      </c>
      <c r="E24" s="84">
        <f>C24/C40</f>
        <v/>
      </c>
    </row>
    <row r="25" ht="31.35" customFormat="1" customHeight="1" s="149">
      <c r="B25" s="220" t="inlineStr">
        <is>
          <t>ВСЕГО стоимость оборудования, в том числе</t>
        </is>
      </c>
      <c r="C25" s="83">
        <f>'Прил.5 Расчет СМР и ОБ'!J86</f>
        <v/>
      </c>
      <c r="D25" s="84" t="n"/>
      <c r="E25" s="84">
        <f>C25/C40</f>
        <v/>
      </c>
    </row>
    <row r="26" ht="31.35" customFormat="1" customHeight="1" s="149">
      <c r="B26" s="220" t="inlineStr">
        <is>
          <t>стоимость оборудования технологического</t>
        </is>
      </c>
      <c r="C26" s="83">
        <f>C25</f>
        <v/>
      </c>
      <c r="D26" s="84" t="n"/>
      <c r="E26" s="84">
        <f>C26/C40</f>
        <v/>
      </c>
    </row>
    <row r="27" ht="15" customFormat="1" customHeight="1" s="149">
      <c r="B27" s="220" t="inlineStr">
        <is>
          <t>ИТОГО (СМР + ОБОРУДОВАНИЕ)</t>
        </is>
      </c>
      <c r="C27" s="87">
        <f>C24+C25</f>
        <v/>
      </c>
      <c r="D27" s="84" t="n"/>
      <c r="E27" s="84">
        <f>C27/C40</f>
        <v/>
      </c>
    </row>
    <row r="28" ht="33" customFormat="1" customHeight="1" s="149">
      <c r="B28" s="220" t="inlineStr">
        <is>
          <t>ПРОЧ. ЗАТР., УЧТЕННЫЕ ПОКАЗАТЕЛЕМ,  в том числе</t>
        </is>
      </c>
      <c r="C28" s="220" t="n"/>
      <c r="D28" s="85" t="n"/>
      <c r="E28" s="85" t="n"/>
    </row>
    <row r="29" ht="31.35" customFormat="1" customHeight="1" s="149">
      <c r="B29" s="220" t="inlineStr">
        <is>
          <t>Временные здания и сооружения - 3,9%</t>
        </is>
      </c>
      <c r="C29" s="87">
        <f>ROUND(C24*0.039,2)</f>
        <v/>
      </c>
      <c r="D29" s="85" t="n"/>
      <c r="E29" s="84">
        <f>C29/C40</f>
        <v/>
      </c>
    </row>
    <row r="30" ht="62.45" customFormat="1" customHeight="1" s="149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87">
        <f>ROUND((C24+C29)*0.021,2)</f>
        <v/>
      </c>
      <c r="D30" s="85" t="n"/>
      <c r="E30" s="84">
        <f>C30/C40</f>
        <v/>
      </c>
    </row>
    <row r="31" ht="15.6" customFormat="1" customHeight="1" s="149">
      <c r="B31" s="220" t="inlineStr">
        <is>
          <t>Пусконаладочные работы</t>
        </is>
      </c>
      <c r="C31" s="87" t="n">
        <v>0</v>
      </c>
      <c r="D31" s="85" t="n"/>
      <c r="E31" s="84">
        <f>C31/C40</f>
        <v/>
      </c>
    </row>
    <row r="32" ht="31.35" customFormat="1" customHeight="1" s="149">
      <c r="B32" s="220" t="inlineStr">
        <is>
          <t>Затраты по перевозке работников к месту работы и обратно</t>
        </is>
      </c>
      <c r="C32" s="87" t="n">
        <v>0</v>
      </c>
      <c r="D32" s="85" t="n"/>
      <c r="E32" s="84">
        <f>C32/C40</f>
        <v/>
      </c>
    </row>
    <row r="33" ht="46.9" customFormat="1" customHeight="1" s="149">
      <c r="B33" s="220" t="inlineStr">
        <is>
          <t>Затраты, связанные с осуществлением работ вахтовым методом</t>
        </is>
      </c>
      <c r="C33" s="87" t="n">
        <v>0</v>
      </c>
      <c r="D33" s="85" t="n"/>
      <c r="E33" s="84">
        <f>C33/C40</f>
        <v/>
      </c>
    </row>
    <row r="34" ht="62.45" customFormat="1" customHeight="1" s="149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7" t="n">
        <v>0</v>
      </c>
      <c r="D34" s="85" t="n"/>
      <c r="E34" s="84">
        <f>C34/C40</f>
        <v/>
      </c>
    </row>
    <row r="35" ht="93.59999999999999" customFormat="1" customHeight="1" s="149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7" t="n">
        <v>0</v>
      </c>
      <c r="D35" s="85" t="n"/>
      <c r="E35" s="84">
        <f>C35/C40</f>
        <v/>
      </c>
    </row>
    <row r="36" ht="46.9" customFormat="1" customHeight="1" s="149">
      <c r="B36" s="88" t="inlineStr">
        <is>
          <t>Строительный контроль и содержание службы заказчика - 2,14%</t>
        </is>
      </c>
      <c r="C36" s="89">
        <f>ROUND((C27+C29+C31+C30)*0.0214,2)</f>
        <v/>
      </c>
      <c r="D36" s="90" t="n"/>
      <c r="E36" s="91">
        <f>C36/C40</f>
        <v/>
      </c>
      <c r="K36" s="92" t="n"/>
    </row>
    <row r="37" ht="15.6" customFormat="1" customHeight="1" s="149">
      <c r="B37" s="224" t="inlineStr">
        <is>
          <t>Авторский надзор - 0,2%</t>
        </is>
      </c>
      <c r="C37" s="224">
        <f>ROUND((C27+C29+C30+C31)*0.002,2)</f>
        <v/>
      </c>
      <c r="D37" s="94" t="n"/>
      <c r="E37" s="94">
        <f>C37/C40</f>
        <v/>
      </c>
    </row>
    <row r="38" ht="62.45" customFormat="1" customHeight="1" s="149">
      <c r="B38" s="95" t="inlineStr">
        <is>
          <t>ИТОГО (СМР+ОБОРУДОВАНИЕ+ПРОЧ. ЗАТР., УЧТЕННЫЕ ПОКАЗАТЕЛЕМ)</t>
        </is>
      </c>
      <c r="C38" s="96">
        <f>C27+C29+C30+C31+C36+C37</f>
        <v/>
      </c>
      <c r="D38" s="97" t="n"/>
      <c r="E38" s="98">
        <f>C38/C40</f>
        <v/>
      </c>
    </row>
    <row r="39" ht="15.6" customFormat="1" customHeight="1" s="149">
      <c r="B39" s="220" t="inlineStr">
        <is>
          <t>Непредвиденные расходы</t>
        </is>
      </c>
      <c r="C39" s="83">
        <f>ROUND(C38*0.03,2)</f>
        <v/>
      </c>
      <c r="D39" s="85" t="n"/>
      <c r="E39" s="84">
        <f>C39/C40</f>
        <v/>
      </c>
    </row>
    <row r="40" ht="15.6" customFormat="1" customHeight="1" s="149">
      <c r="B40" s="220" t="inlineStr">
        <is>
          <t>ВСЕГО:</t>
        </is>
      </c>
      <c r="C40" s="83">
        <f>C39+C38</f>
        <v/>
      </c>
      <c r="D40" s="85" t="n"/>
      <c r="E40" s="84">
        <f>C40/C40</f>
        <v/>
      </c>
    </row>
    <row r="41" ht="31.35" customFormat="1" customHeight="1" s="149">
      <c r="B41" s="220" t="inlineStr">
        <is>
          <t>ИТОГО ПОКАЗАТЕЛЬ НА ЕД. ИЗМ.</t>
        </is>
      </c>
      <c r="C41" s="83">
        <f>C40/'Прил.5 Расчет СМР и ОБ'!E103</f>
        <v/>
      </c>
      <c r="D41" s="85" t="n"/>
      <c r="E41" s="85" t="n"/>
    </row>
    <row r="42" ht="15.6" customFormat="1" customHeight="1" s="149">
      <c r="B42" s="99" t="n"/>
    </row>
    <row r="43" ht="15.6" customFormat="1" customHeight="1" s="149">
      <c r="B43" s="99" t="inlineStr">
        <is>
          <t>Составил ____________________________ М.С. Колотиевская</t>
        </is>
      </c>
    </row>
    <row r="44" ht="15.6" customFormat="1" customHeight="1" s="149">
      <c r="B44" s="99" t="inlineStr">
        <is>
          <t xml:space="preserve">(должность, подпись, инициалы, фамилия) </t>
        </is>
      </c>
    </row>
    <row r="45" ht="15.6" customFormat="1" customHeight="1" s="149">
      <c r="B45" s="99" t="n"/>
    </row>
    <row r="46" ht="15.6" customFormat="1" customHeight="1" s="149">
      <c r="B46" s="99" t="inlineStr">
        <is>
          <t>Проверил ____________________________ М.С. Колотиевская</t>
        </is>
      </c>
    </row>
    <row r="47" ht="15.6" customFormat="1" customHeight="1" s="149">
      <c r="B47" s="218" t="inlineStr">
        <is>
          <t>(должность, подпись, инициалы, фамилия)</t>
        </is>
      </c>
      <c r="C47" s="218" t="n"/>
    </row>
    <row r="48" ht="15.6" customFormat="1" customHeight="1" s="149"/>
  </sheetData>
  <mergeCells count="3">
    <mergeCell ref="B7:E7"/>
    <mergeCell ref="B8:E8"/>
    <mergeCell ref="B5:E5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10"/>
  <sheetViews>
    <sheetView showGridLines="1" showRowColHeaders="1" tabSelected="0" view="pageBreakPreview" zoomScale="87" workbookViewId="0">
      <selection activeCell="J114" sqref="J114"/>
    </sheetView>
  </sheetViews>
  <sheetFormatPr baseColWidth="8" defaultColWidth="9.140625" defaultRowHeight="14.4" outlineLevelRow="1"/>
  <cols>
    <col width="5.5703125" customWidth="1" style="138" min="1" max="1"/>
    <col width="22.42578125" customWidth="1" style="138" min="2" max="2"/>
    <col width="43" customWidth="1" style="138" min="3" max="3"/>
    <col width="10.5703125" customWidth="1" style="138" min="4" max="4"/>
    <col width="12.5703125" customWidth="1" style="138" min="5" max="5"/>
    <col width="14.42578125" customWidth="1" style="138" min="6" max="6"/>
    <col width="13.42578125" customWidth="1" style="138" min="7" max="7"/>
    <col width="12.5703125" customWidth="1" style="138" min="8" max="8"/>
    <col width="14.42578125" customWidth="1" style="138" min="9" max="9"/>
    <col width="15.140625" customWidth="1" style="138" min="10" max="10"/>
    <col width="22.42578125" customWidth="1" style="138" min="11" max="11"/>
    <col width="16.42578125" customWidth="1" style="138" min="12" max="12"/>
    <col width="10.85546875" customWidth="1" style="138" min="13" max="13"/>
    <col width="9.140625" customWidth="1" style="138" min="14" max="14"/>
    <col width="9.140625" customWidth="1" style="147" min="15" max="15"/>
  </cols>
  <sheetData>
    <row r="1" ht="13.7" customFormat="1" customHeight="1" s="138">
      <c r="A1" s="133" t="n"/>
    </row>
    <row r="2" ht="15.6" customFormat="1" customHeight="1" s="138">
      <c r="A2" s="149" t="n"/>
      <c r="B2" s="149" t="n"/>
      <c r="C2" s="149" t="n"/>
      <c r="D2" s="149" t="n"/>
      <c r="E2" s="149" t="n"/>
      <c r="F2" s="149" t="n"/>
      <c r="G2" s="149" t="n"/>
      <c r="H2" s="212" t="inlineStr">
        <is>
          <t>Приложение №5</t>
        </is>
      </c>
    </row>
    <row r="3" ht="15.6" customFormat="1" customHeight="1" s="138">
      <c r="A3" s="149" t="n"/>
      <c r="B3" s="149" t="n"/>
      <c r="C3" s="149" t="n"/>
      <c r="D3" s="149" t="n"/>
      <c r="E3" s="149" t="n"/>
      <c r="F3" s="149" t="n"/>
      <c r="G3" s="149" t="n"/>
      <c r="H3" s="149" t="n"/>
      <c r="I3" s="149" t="n"/>
      <c r="J3" s="149" t="n"/>
    </row>
    <row r="4" ht="15.6" customFormat="1" customHeight="1" s="133">
      <c r="A4" s="240" t="inlineStr">
        <is>
          <t>Расчет стоимости СМР и оборудования</t>
        </is>
      </c>
      <c r="I4" s="240" t="n"/>
      <c r="J4" s="240" t="n"/>
    </row>
    <row r="5" ht="15.6" customFormat="1" customHeight="1" s="133">
      <c r="A5" s="240" t="n"/>
      <c r="B5" s="240" t="n"/>
      <c r="C5" s="240" t="n"/>
      <c r="D5" s="240" t="n"/>
      <c r="E5" s="240" t="n"/>
      <c r="F5" s="240" t="n"/>
      <c r="G5" s="240" t="n"/>
      <c r="H5" s="240" t="n"/>
      <c r="I5" s="240" t="n"/>
      <c r="J5" s="240" t="n"/>
    </row>
    <row r="6" customFormat="1" s="133">
      <c r="A6" s="221" t="inlineStr">
        <is>
          <t xml:space="preserve">Наименование разрабатываемого показателя УНЦ — </t>
        </is>
      </c>
      <c r="D6" s="221" t="inlineStr">
        <is>
          <t>Демонтаж закрытого склада</t>
        </is>
      </c>
    </row>
    <row r="7" ht="15.6" customFormat="1" customHeight="1" s="133">
      <c r="A7" s="221" t="inlineStr">
        <is>
          <t>Единица измерения  — м2</t>
        </is>
      </c>
      <c r="D7" s="30" t="n"/>
      <c r="E7" s="30" t="n"/>
      <c r="F7" s="30" t="n"/>
      <c r="G7" s="30" t="n"/>
      <c r="H7" s="30" t="n"/>
      <c r="I7" s="30" t="n"/>
      <c r="J7" s="30" t="n"/>
    </row>
    <row r="8" ht="15.6" customFormat="1" customHeight="1" s="133">
      <c r="A8" s="149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</row>
    <row r="9" ht="27" customFormat="1" customHeight="1" s="149">
      <c r="A9" s="220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44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44" t="n"/>
      <c r="K9" s="103" t="n"/>
    </row>
    <row r="10" ht="28.5" customFormat="1" customHeight="1" s="149">
      <c r="A10" s="246" t="n"/>
      <c r="B10" s="246" t="n"/>
      <c r="C10" s="246" t="n"/>
      <c r="D10" s="246" t="n"/>
      <c r="E10" s="246" t="n"/>
      <c r="F10" s="239" t="inlineStr">
        <is>
          <t>на ед. изм.</t>
        </is>
      </c>
      <c r="G10" s="239" t="inlineStr">
        <is>
          <t>общая</t>
        </is>
      </c>
      <c r="H10" s="246" t="n"/>
      <c r="I10" s="239" t="inlineStr">
        <is>
          <t>на ед. изм.</t>
        </is>
      </c>
      <c r="J10" s="239" t="inlineStr">
        <is>
          <t>общая</t>
        </is>
      </c>
    </row>
    <row r="11" ht="15.6" customFormat="1" customHeight="1" s="149">
      <c r="A11" s="220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9" t="n">
        <v>9</v>
      </c>
      <c r="J11" s="239" t="n">
        <v>10</v>
      </c>
    </row>
    <row r="12" ht="15.6" customFormat="1" customHeight="1" s="149">
      <c r="A12" s="224" t="n"/>
      <c r="B12" s="226" t="inlineStr">
        <is>
          <t>Затраты труда рабочих-строителей</t>
        </is>
      </c>
      <c r="C12" s="243" t="n"/>
      <c r="D12" s="243" t="n"/>
      <c r="E12" s="243" t="n"/>
      <c r="F12" s="243" t="n"/>
      <c r="G12" s="243" t="n"/>
      <c r="H12" s="244" t="n"/>
      <c r="I12" s="224" t="n"/>
      <c r="J12" s="224" t="n"/>
    </row>
    <row r="13" ht="31.35" customFormat="1" customHeight="1" s="149">
      <c r="A13" s="214" t="n">
        <v>1</v>
      </c>
      <c r="B13" s="214" t="inlineStr">
        <is>
          <t>1-100-33</t>
        </is>
      </c>
      <c r="C13" s="215" t="inlineStr">
        <is>
          <t>Затраты труда рабочих (Средний разряд работы 3,3)</t>
        </is>
      </c>
      <c r="D13" s="214" t="inlineStr">
        <is>
          <t>чел.-ч</t>
        </is>
      </c>
      <c r="E13" s="214" t="n">
        <v>6347.651241535</v>
      </c>
      <c r="F13" s="231" t="n">
        <v>8.859999999999999</v>
      </c>
      <c r="G13" s="231">
        <f>ROUND(E13*F13,2)</f>
        <v/>
      </c>
      <c r="H13" s="40">
        <f>G13/G14</f>
        <v/>
      </c>
      <c r="I13" s="231">
        <f>ФОТр.тек.!E13</f>
        <v/>
      </c>
      <c r="J13" s="231">
        <f>ROUND(E13*I13,2)</f>
        <v/>
      </c>
    </row>
    <row r="14" ht="31.35" customFormat="1" customHeight="1" s="149">
      <c r="A14" s="214" t="n"/>
      <c r="B14" s="214" t="n"/>
      <c r="C14" s="215" t="inlineStr">
        <is>
          <t>Итого по разделу "Затраты труда рабочих-строителей"</t>
        </is>
      </c>
      <c r="D14" s="214" t="inlineStr">
        <is>
          <t>чел.-ч</t>
        </is>
      </c>
      <c r="E14" s="214">
        <f>SUM(E13:E13)</f>
        <v/>
      </c>
      <c r="F14" s="231" t="n"/>
      <c r="G14" s="231">
        <f>SUM(G13:G13)</f>
        <v/>
      </c>
      <c r="H14" s="40" t="n">
        <v>1</v>
      </c>
      <c r="I14" s="231" t="n"/>
      <c r="J14" s="231">
        <f>SUM(J13:J13)</f>
        <v/>
      </c>
    </row>
    <row r="15" ht="44.25" customFormat="1" customHeight="1" s="138">
      <c r="A15" s="178" t="n"/>
      <c r="B15" s="178" t="n"/>
      <c r="C15" s="179" t="inlineStr">
        <is>
          <t>Итого по разделу "Затраты труда рабочих-строителей" 
(с коэффициентом на демонтаж 0,7)</t>
        </is>
      </c>
      <c r="D15" s="178" t="inlineStr">
        <is>
          <t>чел.-ч.</t>
        </is>
      </c>
      <c r="E15" s="180" t="n"/>
      <c r="F15" s="181" t="n"/>
      <c r="G15" s="231">
        <f>SUM(G14)*0.7</f>
        <v/>
      </c>
      <c r="H15" s="182" t="n">
        <v>1</v>
      </c>
      <c r="I15" s="231" t="n"/>
      <c r="J15" s="231">
        <f>SUM(J14)*0.7</f>
        <v/>
      </c>
    </row>
    <row r="16" ht="24.75" customFormat="1" customHeight="1" s="149">
      <c r="A16" s="214" t="n"/>
      <c r="B16" s="214" t="inlineStr">
        <is>
          <t>Затраты труда машинистов</t>
        </is>
      </c>
      <c r="C16" s="243" t="n"/>
      <c r="D16" s="243" t="n"/>
      <c r="E16" s="243" t="n"/>
      <c r="F16" s="243" t="n"/>
      <c r="G16" s="243" t="n"/>
      <c r="H16" s="244" t="n"/>
      <c r="I16" s="231" t="n"/>
      <c r="J16" s="231" t="n"/>
    </row>
    <row r="17" ht="22.5" customFormat="1" customHeight="1" s="149">
      <c r="A17" s="214" t="n">
        <v>2</v>
      </c>
      <c r="B17" s="214" t="n">
        <v>2</v>
      </c>
      <c r="C17" s="215" t="inlineStr">
        <is>
          <t>Затраты труда машинистов</t>
        </is>
      </c>
      <c r="D17" s="214" t="inlineStr">
        <is>
          <t>чел.-ч</t>
        </is>
      </c>
      <c r="E17" s="214" t="n">
        <v>618.863309</v>
      </c>
      <c r="F17" s="231" t="n">
        <v>13.19</v>
      </c>
      <c r="G17" s="231">
        <f>ROUND(E17*F17,2)</f>
        <v/>
      </c>
      <c r="H17" s="40" t="n">
        <v>1</v>
      </c>
      <c r="I17" s="231">
        <f>ROUND(F17*'Прил. 10'!$D$10,2)</f>
        <v/>
      </c>
      <c r="J17" s="231">
        <f>ROUND(E17*I17,2)</f>
        <v/>
      </c>
    </row>
    <row r="18" ht="31.5" customFormat="1" customHeight="1" s="138">
      <c r="A18" s="178" t="n"/>
      <c r="B18" s="178" t="n"/>
      <c r="C18" s="215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231">
        <f>G17*0.7</f>
        <v/>
      </c>
      <c r="H18" s="182">
        <f>H17</f>
        <v/>
      </c>
      <c r="I18" s="231" t="n"/>
      <c r="J18" s="231">
        <f>J17*0.7</f>
        <v/>
      </c>
    </row>
    <row r="19" ht="15.6" customFormat="1" customHeight="1" s="149">
      <c r="A19" s="214" t="n"/>
      <c r="B19" s="213" t="inlineStr">
        <is>
          <t>Машины и механизмы</t>
        </is>
      </c>
      <c r="C19" s="243" t="n"/>
      <c r="D19" s="243" t="n"/>
      <c r="E19" s="243" t="n"/>
      <c r="F19" s="243" t="n"/>
      <c r="G19" s="243" t="n"/>
      <c r="H19" s="244" t="n"/>
      <c r="I19" s="231" t="n"/>
      <c r="J19" s="231" t="n"/>
    </row>
    <row r="20" ht="15.6" customFormat="1" customHeight="1" s="149">
      <c r="A20" s="214" t="n"/>
      <c r="B20" s="214" t="inlineStr">
        <is>
          <t>Основные Машины и механизмы</t>
        </is>
      </c>
      <c r="C20" s="243" t="n"/>
      <c r="D20" s="243" t="n"/>
      <c r="E20" s="243" t="n"/>
      <c r="F20" s="243" t="n"/>
      <c r="G20" s="243" t="n"/>
      <c r="H20" s="244" t="n"/>
      <c r="I20" s="231" t="n"/>
      <c r="J20" s="231" t="n"/>
    </row>
    <row r="21" ht="31.35" customFormat="1" customHeight="1" s="149">
      <c r="A21" s="214" t="n">
        <v>3</v>
      </c>
      <c r="B21" s="232" t="inlineStr">
        <is>
          <t>91.05.06-009</t>
        </is>
      </c>
      <c r="C21" s="233" t="inlineStr">
        <is>
          <t>Краны на гусеничном ходу, грузоподъемность 50-63 т</t>
        </is>
      </c>
      <c r="D21" s="236" t="inlineStr">
        <is>
          <t>маш.час</t>
        </is>
      </c>
      <c r="E21" s="234" t="n">
        <v>111.9</v>
      </c>
      <c r="F21" s="45" t="n">
        <v>290.01</v>
      </c>
      <c r="G21" s="45">
        <f>ROUND(E21*F21,2)</f>
        <v/>
      </c>
      <c r="H21" s="40">
        <f>G21/G80</f>
        <v/>
      </c>
      <c r="I21" s="231">
        <f>ROUND(F21*'Прил. 10'!$D$11,2)</f>
        <v/>
      </c>
      <c r="J21" s="231">
        <f>ROUND(E21*I21,2)</f>
        <v/>
      </c>
    </row>
    <row r="22" ht="31.35" customFormat="1" customHeight="1" s="149">
      <c r="A22" s="214" t="n">
        <v>4</v>
      </c>
      <c r="B22" s="232" t="inlineStr">
        <is>
          <t>91.05.06-007</t>
        </is>
      </c>
      <c r="C22" s="233" t="inlineStr">
        <is>
          <t>Краны на гусеничном ходу, грузоподъемность 25 т</t>
        </is>
      </c>
      <c r="D22" s="236" t="inlineStr">
        <is>
          <t>маш.час</t>
        </is>
      </c>
      <c r="E22" s="234" t="n">
        <v>58.1128559</v>
      </c>
      <c r="F22" s="45" t="n">
        <v>120.04</v>
      </c>
      <c r="G22" s="45">
        <f>ROUND(E22*F22,2)</f>
        <v/>
      </c>
      <c r="H22" s="40">
        <f>G22/G80</f>
        <v/>
      </c>
      <c r="I22" s="231">
        <f>ROUND(F22*'Прил. 10'!$D$11,2)</f>
        <v/>
      </c>
      <c r="J22" s="231">
        <f>ROUND(E22*I22,2)</f>
        <v/>
      </c>
    </row>
    <row r="23" ht="62.45" customFormat="1" customHeight="1" s="149">
      <c r="A23" s="214" t="n">
        <v>5</v>
      </c>
      <c r="B23" s="232" t="inlineStr">
        <is>
          <t>91.18.01-007</t>
        </is>
      </c>
      <c r="C23" s="23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36" t="inlineStr">
        <is>
          <t>маш.час</t>
        </is>
      </c>
      <c r="E23" s="234" t="n">
        <v>71.90508</v>
      </c>
      <c r="F23" s="45" t="n">
        <v>90</v>
      </c>
      <c r="G23" s="45">
        <f>ROUND(E23*F23,2)</f>
        <v/>
      </c>
      <c r="H23" s="40">
        <f>G23/G80</f>
        <v/>
      </c>
      <c r="I23" s="231">
        <f>ROUND(F23*'Прил. 10'!$D$11,2)</f>
        <v/>
      </c>
      <c r="J23" s="231">
        <f>ROUND(E23*I23,2)</f>
        <v/>
      </c>
    </row>
    <row r="24" ht="46.9" customFormat="1" customHeight="1" s="149">
      <c r="A24" s="214" t="n">
        <v>6</v>
      </c>
      <c r="B24" s="232" t="inlineStr">
        <is>
          <t>91.01.05-086</t>
        </is>
      </c>
      <c r="C24" s="233" t="inlineStr">
        <is>
          <t>Экскаваторы одноковшовые дизельные на гусеничном ходу, емкость ковша 0,65 м3</t>
        </is>
      </c>
      <c r="D24" s="236" t="inlineStr">
        <is>
          <t>маш.час</t>
        </is>
      </c>
      <c r="E24" s="234" t="n">
        <v>34.956</v>
      </c>
      <c r="F24" s="45" t="n">
        <v>115.27</v>
      </c>
      <c r="G24" s="45">
        <f>ROUND(E24*F24,2)</f>
        <v/>
      </c>
      <c r="H24" s="40">
        <f>G24/G80</f>
        <v/>
      </c>
      <c r="I24" s="231">
        <f>ROUND(F24*'Прил. 10'!$D$11,2)</f>
        <v/>
      </c>
      <c r="J24" s="231">
        <f>ROUND(E24*I24,2)</f>
        <v/>
      </c>
    </row>
    <row r="25" ht="31.35" customFormat="1" customHeight="1" s="149">
      <c r="A25" s="214" t="n">
        <v>7</v>
      </c>
      <c r="B25" s="232" t="inlineStr">
        <is>
          <t>91.05.05-015</t>
        </is>
      </c>
      <c r="C25" s="233" t="inlineStr">
        <is>
          <t>Краны на автомобильном ходу, грузоподъемность 16 т</t>
        </is>
      </c>
      <c r="D25" s="236" t="inlineStr">
        <is>
          <t>маш.час</t>
        </is>
      </c>
      <c r="E25" s="234" t="n">
        <v>28.5000895</v>
      </c>
      <c r="F25" s="45" t="n">
        <v>115.4</v>
      </c>
      <c r="G25" s="45">
        <f>ROUND(E25*F25,2)</f>
        <v/>
      </c>
      <c r="H25" s="40">
        <f>G25/G80</f>
        <v/>
      </c>
      <c r="I25" s="231">
        <f>ROUND(F25*'Прил. 10'!$D$11,2)</f>
        <v/>
      </c>
      <c r="J25" s="231">
        <f>ROUND(E25*I25,2)</f>
        <v/>
      </c>
    </row>
    <row r="26" ht="31.35" customFormat="1" customHeight="1" s="149">
      <c r="A26" s="214" t="n">
        <v>8</v>
      </c>
      <c r="B26" s="232" t="inlineStr">
        <is>
          <t>91.05.02-005</t>
        </is>
      </c>
      <c r="C26" s="233" t="inlineStr">
        <is>
          <t>Краны козловые, грузоподъемность 32 т</t>
        </is>
      </c>
      <c r="D26" s="236" t="inlineStr">
        <is>
          <t>маш.час</t>
        </is>
      </c>
      <c r="E26" s="234" t="n">
        <v>24.6207936</v>
      </c>
      <c r="F26" s="45" t="n">
        <v>120.24</v>
      </c>
      <c r="G26" s="45">
        <f>ROUND(E26*F26,2)</f>
        <v/>
      </c>
      <c r="H26" s="40">
        <f>G26/G80</f>
        <v/>
      </c>
      <c r="I26" s="231">
        <f>ROUND(F26*'Прил. 10'!$D$11,2)</f>
        <v/>
      </c>
      <c r="J26" s="231">
        <f>ROUND(E26*I26,2)</f>
        <v/>
      </c>
    </row>
    <row r="27" ht="31.35" customFormat="1" customHeight="1" s="149">
      <c r="A27" s="214" t="n">
        <v>9</v>
      </c>
      <c r="B27" s="232" t="inlineStr">
        <is>
          <t>91.14.02-001</t>
        </is>
      </c>
      <c r="C27" s="233" t="inlineStr">
        <is>
          <t>Автомобили бортовые, грузоподъемность до 5 т</t>
        </is>
      </c>
      <c r="D27" s="236" t="inlineStr">
        <is>
          <t>маш.час</t>
        </is>
      </c>
      <c r="E27" s="234" t="n">
        <v>44.7072709</v>
      </c>
      <c r="F27" s="45" t="n">
        <v>65.70999999999999</v>
      </c>
      <c r="G27" s="45">
        <f>ROUND(E27*F27,2)</f>
        <v/>
      </c>
      <c r="H27" s="40">
        <f>G27/G80</f>
        <v/>
      </c>
      <c r="I27" s="231">
        <f>ROUND(F27*'Прил. 10'!$D$11,2)</f>
        <v/>
      </c>
      <c r="J27" s="231">
        <f>ROUND(E27*I27,2)</f>
        <v/>
      </c>
    </row>
    <row r="28" ht="46.9" customFormat="1" customHeight="1" s="149">
      <c r="A28" s="214" t="n">
        <v>10</v>
      </c>
      <c r="B28" s="232" t="inlineStr">
        <is>
          <t>91.21.01-012</t>
        </is>
      </c>
      <c r="C28" s="233" t="inlineStr">
        <is>
          <t>Агрегаты окрасочные высокого давления для окраски поверхностей конструкций, мощность 1 кВт</t>
        </is>
      </c>
      <c r="D28" s="236" t="inlineStr">
        <is>
          <t>маш.час</t>
        </is>
      </c>
      <c r="E28" s="234" t="n">
        <v>336.37454</v>
      </c>
      <c r="F28" s="45" t="n">
        <v>6.82</v>
      </c>
      <c r="G28" s="45">
        <f>ROUND(E28*F28,2)</f>
        <v/>
      </c>
      <c r="H28" s="40">
        <f>G28/G80</f>
        <v/>
      </c>
      <c r="I28" s="231">
        <f>ROUND(F28*'Прил. 10'!$D$11,2)</f>
        <v/>
      </c>
      <c r="J28" s="231">
        <f>ROUND(E28*I28,2)</f>
        <v/>
      </c>
    </row>
    <row r="29" ht="31.35" customFormat="1" customHeight="1" s="149">
      <c r="A29" s="214" t="n">
        <v>11</v>
      </c>
      <c r="B29" s="232" t="inlineStr">
        <is>
          <t>91.05.01-017</t>
        </is>
      </c>
      <c r="C29" s="233" t="inlineStr">
        <is>
          <t>Краны башенные, грузоподъемность 8 т</t>
        </is>
      </c>
      <c r="D29" s="236" t="inlineStr">
        <is>
          <t>маш.час</t>
        </is>
      </c>
      <c r="E29" s="234" t="n">
        <v>24.294054</v>
      </c>
      <c r="F29" s="45" t="n">
        <v>86.40000000000001</v>
      </c>
      <c r="G29" s="45">
        <f>ROUND(E29*F29,2)</f>
        <v/>
      </c>
      <c r="H29" s="40">
        <f>G29/G80</f>
        <v/>
      </c>
      <c r="I29" s="231">
        <f>ROUND(F29*'Прил. 10'!$D$11,2)</f>
        <v/>
      </c>
      <c r="J29" s="231">
        <f>ROUND(E29*I29,2)</f>
        <v/>
      </c>
    </row>
    <row r="30" ht="46.9" customFormat="1" customHeight="1" s="149">
      <c r="A30" s="214" t="n">
        <v>12</v>
      </c>
      <c r="B30" s="232" t="inlineStr">
        <is>
          <t>91.17.04-171</t>
        </is>
      </c>
      <c r="C30" s="233" t="inlineStr">
        <is>
          <t>Преобразователи сварочные номинальным сварочным током 315-500 А</t>
        </is>
      </c>
      <c r="D30" s="236" t="inlineStr">
        <is>
          <t>маш.час</t>
        </is>
      </c>
      <c r="E30" s="234" t="n">
        <v>168.0975548</v>
      </c>
      <c r="F30" s="45" t="n">
        <v>12.31</v>
      </c>
      <c r="G30" s="45">
        <f>ROUND(E30*F30,2)</f>
        <v/>
      </c>
      <c r="H30" s="40">
        <f>G30/G80</f>
        <v/>
      </c>
      <c r="I30" s="231">
        <f>ROUND(F30*'Прил. 10'!$D$11,2)</f>
        <v/>
      </c>
      <c r="J30" s="231">
        <f>ROUND(E30*I30,2)</f>
        <v/>
      </c>
    </row>
    <row r="31" ht="31.35" customFormat="1" customHeight="1" s="149">
      <c r="A31" s="214" t="n">
        <v>13</v>
      </c>
      <c r="B31" s="232" t="inlineStr">
        <is>
          <t>91.05.01-025</t>
        </is>
      </c>
      <c r="C31" s="233" t="inlineStr">
        <is>
          <t>Краны башенные, грузоподъемность 25-75 т</t>
        </is>
      </c>
      <c r="D31" s="236" t="inlineStr">
        <is>
          <t>маш.час</t>
        </is>
      </c>
      <c r="E31" s="234" t="n">
        <v>5.6480548</v>
      </c>
      <c r="F31" s="45" t="n">
        <v>312.21</v>
      </c>
      <c r="G31" s="45">
        <f>ROUND(E31*F31,2)</f>
        <v/>
      </c>
      <c r="H31" s="40">
        <f>G31/G80</f>
        <v/>
      </c>
      <c r="I31" s="231">
        <f>ROUND(F31*'Прил. 10'!$D$11,2)</f>
        <v/>
      </c>
      <c r="J31" s="231">
        <f>ROUND(E31*I31,2)</f>
        <v/>
      </c>
    </row>
    <row r="32" ht="35.25" customFormat="1" customHeight="1" s="149">
      <c r="A32" s="214" t="n"/>
      <c r="B32" s="149" t="n"/>
      <c r="C32" s="22" t="inlineStr">
        <is>
          <t>Итого основные Машины и механизмы</t>
        </is>
      </c>
      <c r="D32" s="214" t="n"/>
      <c r="E32" s="214" t="n"/>
      <c r="F32" s="231" t="n"/>
      <c r="G32" s="45">
        <f>SUM(G21:G31)</f>
        <v/>
      </c>
      <c r="H32" s="40">
        <f>SUM(H21:H31)</f>
        <v/>
      </c>
      <c r="I32" s="231" t="n"/>
      <c r="J32" s="231">
        <f>SUM(J21:J31)</f>
        <v/>
      </c>
    </row>
    <row r="33" ht="33.75" customFormat="1" customHeight="1" s="138">
      <c r="A33" s="178" t="n"/>
      <c r="B33" s="178" t="n"/>
      <c r="C33" s="233" t="inlineStr">
        <is>
          <t>Итого основные машины и механизмы 
(с коэффициентом на демонтаж 0,7)</t>
        </is>
      </c>
      <c r="D33" s="178" t="n"/>
      <c r="E33" s="252" t="n"/>
      <c r="F33" s="180" t="n"/>
      <c r="G33" s="87">
        <f>G32*0.7</f>
        <v/>
      </c>
      <c r="H33" s="185">
        <f>G33/G81</f>
        <v/>
      </c>
      <c r="I33" s="186" t="n"/>
      <c r="J33" s="187">
        <f>J32*0.7</f>
        <v/>
      </c>
    </row>
    <row r="34" outlineLevel="1" ht="31.35" customFormat="1" customHeight="1" s="149">
      <c r="A34" s="214" t="n">
        <v>14</v>
      </c>
      <c r="B34" s="232" t="inlineStr">
        <is>
          <t>91.05.06-008</t>
        </is>
      </c>
      <c r="C34" s="233" t="inlineStr">
        <is>
          <t>Краны на гусеничном ходу, грузоподъемность 40 т</t>
        </is>
      </c>
      <c r="D34" s="236" t="inlineStr">
        <is>
          <t>маш.час</t>
        </is>
      </c>
      <c r="E34" s="234" t="n">
        <v>8.785853700000001</v>
      </c>
      <c r="F34" s="45" t="n">
        <v>175.56</v>
      </c>
      <c r="G34" s="45">
        <f>ROUND(E34*F34,2)</f>
        <v/>
      </c>
      <c r="H34" s="40">
        <f>G34/G80</f>
        <v/>
      </c>
      <c r="I34" s="231">
        <f>ROUND(F34*'Прил. 10'!$D$11,2)</f>
        <v/>
      </c>
      <c r="J34" s="231">
        <f>ROUND(E34*I34,2)</f>
        <v/>
      </c>
    </row>
    <row r="35" outlineLevel="1" ht="31.35" customFormat="1" customHeight="1" s="149">
      <c r="A35" s="214" t="n">
        <v>15</v>
      </c>
      <c r="B35" s="232" t="inlineStr">
        <is>
          <t>91.14.01-004</t>
        </is>
      </c>
      <c r="C35" s="233" t="inlineStr">
        <is>
          <t>Автобетоносмесители, объем барабана 7 м3</t>
        </is>
      </c>
      <c r="D35" s="236" t="inlineStr">
        <is>
          <t>маш.-ч</t>
        </is>
      </c>
      <c r="E35" s="234" t="n">
        <v>8.271000000000001</v>
      </c>
      <c r="F35" s="45" t="n">
        <v>184.39</v>
      </c>
      <c r="G35" s="45">
        <f>ROUND(E35*F35,2)</f>
        <v/>
      </c>
      <c r="H35" s="40">
        <f>G35/G80</f>
        <v/>
      </c>
      <c r="I35" s="231">
        <f>ROUND(F35*'Прил. 10'!$D$11,2)</f>
        <v/>
      </c>
      <c r="J35" s="231">
        <f>ROUND(E35*I35,2)</f>
        <v/>
      </c>
    </row>
    <row r="36" outlineLevel="1" ht="31.35" customFormat="1" customHeight="1" s="149">
      <c r="A36" s="214" t="n">
        <v>16</v>
      </c>
      <c r="B36" s="232" t="inlineStr">
        <is>
          <t>91.05.06-012</t>
        </is>
      </c>
      <c r="C36" s="233" t="inlineStr">
        <is>
          <t>Краны на гусеничном ходу, грузоподъемность до 16 т</t>
        </is>
      </c>
      <c r="D36" s="236" t="inlineStr">
        <is>
          <t>маш.час</t>
        </is>
      </c>
      <c r="E36" s="234" t="n">
        <v>12.4007326</v>
      </c>
      <c r="F36" s="45" t="n">
        <v>96.89</v>
      </c>
      <c r="G36" s="45">
        <f>ROUND(E36*F36,2)</f>
        <v/>
      </c>
      <c r="H36" s="40">
        <f>G36/G80</f>
        <v/>
      </c>
      <c r="I36" s="231">
        <f>ROUND(F36*'Прил. 10'!$D$11,2)</f>
        <v/>
      </c>
      <c r="J36" s="231">
        <f>ROUND(E36*I36,2)</f>
        <v/>
      </c>
    </row>
    <row r="37" outlineLevel="1" ht="31.35" customFormat="1" customHeight="1" s="149">
      <c r="A37" s="214" t="n">
        <v>17</v>
      </c>
      <c r="B37" s="232" t="inlineStr">
        <is>
          <t>91.01.01-036</t>
        </is>
      </c>
      <c r="C37" s="233" t="inlineStr">
        <is>
          <t>Бульдозеры, мощность 96 кВт (130 л.с.)</t>
        </is>
      </c>
      <c r="D37" s="236" t="inlineStr">
        <is>
          <t>маш.час</t>
        </is>
      </c>
      <c r="E37" s="234" t="n">
        <v>9.058104</v>
      </c>
      <c r="F37" s="45" t="n">
        <v>94.05</v>
      </c>
      <c r="G37" s="45">
        <f>ROUND(E37*F37,2)</f>
        <v/>
      </c>
      <c r="H37" s="40">
        <f>G37/G80</f>
        <v/>
      </c>
      <c r="I37" s="231">
        <f>ROUND(F37*'Прил. 10'!$D$11,2)</f>
        <v/>
      </c>
      <c r="J37" s="231">
        <f>ROUND(E37*I37,2)</f>
        <v/>
      </c>
    </row>
    <row r="38" outlineLevel="1" ht="46.9" customFormat="1" customHeight="1" s="149">
      <c r="A38" s="214" t="n">
        <v>18</v>
      </c>
      <c r="B38" s="232" t="inlineStr">
        <is>
          <t>91.06.06-047</t>
        </is>
      </c>
      <c r="C38" s="233" t="inlineStr">
        <is>
          <t>Подъемники одномачтовые, грузоподъемность до 500 кг, высота подъема 35 м</t>
        </is>
      </c>
      <c r="D38" s="236" t="inlineStr">
        <is>
          <t>маш.час</t>
        </is>
      </c>
      <c r="E38" s="234" t="n">
        <v>24.7096</v>
      </c>
      <c r="F38" s="45" t="n">
        <v>29.46</v>
      </c>
      <c r="G38" s="45">
        <f>ROUND(E38*F38,2)</f>
        <v/>
      </c>
      <c r="H38" s="40">
        <f>G38/G80</f>
        <v/>
      </c>
      <c r="I38" s="231">
        <f>ROUND(F38*'Прил. 10'!$D$11,2)</f>
        <v/>
      </c>
      <c r="J38" s="231">
        <f>ROUND(E38*I38,2)</f>
        <v/>
      </c>
    </row>
    <row r="39" outlineLevel="1" ht="31.35" customFormat="1" customHeight="1" s="149">
      <c r="A39" s="214" t="n">
        <v>19</v>
      </c>
      <c r="B39" s="232" t="inlineStr">
        <is>
          <t>91.06.09-061</t>
        </is>
      </c>
      <c r="C39" s="233" t="inlineStr">
        <is>
          <t>Подмости самоходные, высота подъема 12 м</t>
        </is>
      </c>
      <c r="D39" s="236" t="inlineStr">
        <is>
          <t>маш.час</t>
        </is>
      </c>
      <c r="E39" s="234" t="n">
        <v>16.08</v>
      </c>
      <c r="F39" s="45" t="n">
        <v>35.3</v>
      </c>
      <c r="G39" s="45">
        <f>ROUND(E39*F39,2)</f>
        <v/>
      </c>
      <c r="H39" s="40">
        <f>G39/G80</f>
        <v/>
      </c>
      <c r="I39" s="231">
        <f>ROUND(F39*'Прил. 10'!$D$11,2)</f>
        <v/>
      </c>
      <c r="J39" s="231">
        <f>ROUND(E39*I39,2)</f>
        <v/>
      </c>
    </row>
    <row r="40" outlineLevel="1" ht="31.35" customFormat="1" customHeight="1" s="149">
      <c r="A40" s="214" t="n">
        <v>20</v>
      </c>
      <c r="B40" s="232" t="inlineStr">
        <is>
          <t>91.08.01-011</t>
        </is>
      </c>
      <c r="C40" s="233" t="inlineStr">
        <is>
          <t>Укладчики литого асфальтобетона, ширина укладки от 3 до 9 м</t>
        </is>
      </c>
      <c r="D40" s="236" t="inlineStr">
        <is>
          <t>маш.час</t>
        </is>
      </c>
      <c r="E40" s="234" t="n">
        <v>0.8188</v>
      </c>
      <c r="F40" s="45" t="n">
        <v>680.14</v>
      </c>
      <c r="G40" s="45">
        <f>ROUND(E40*F40,2)</f>
        <v/>
      </c>
      <c r="H40" s="40">
        <f>G40/G80</f>
        <v/>
      </c>
      <c r="I40" s="231">
        <f>ROUND(F40*'Прил. 10'!$D$11,2)</f>
        <v/>
      </c>
      <c r="J40" s="231">
        <f>ROUND(E40*I40,2)</f>
        <v/>
      </c>
    </row>
    <row r="41" outlineLevel="1" ht="46.9" customFormat="1" customHeight="1" s="149">
      <c r="A41" s="214" t="n">
        <v>21</v>
      </c>
      <c r="B41" s="232" t="inlineStr">
        <is>
          <t>91.08.11-101</t>
        </is>
      </c>
      <c r="C41" s="233" t="inlineStr">
        <is>
          <t>Установки для транспортировки литого асфальтобетона, емкость 4400 л</t>
        </is>
      </c>
      <c r="D41" s="236" t="inlineStr">
        <is>
          <t>маш.час</t>
        </is>
      </c>
      <c r="E41" s="234" t="n">
        <v>0.8188</v>
      </c>
      <c r="F41" s="45" t="n">
        <v>560.7</v>
      </c>
      <c r="G41" s="45">
        <f>ROUND(E41*F41,2)</f>
        <v/>
      </c>
      <c r="H41" s="40">
        <f>G41/G80</f>
        <v/>
      </c>
      <c r="I41" s="231">
        <f>ROUND(F41*'Прил. 10'!$D$11,2)</f>
        <v/>
      </c>
      <c r="J41" s="231">
        <f>ROUND(E41*I41,2)</f>
        <v/>
      </c>
    </row>
    <row r="42" outlineLevel="1" ht="15.6" customFormat="1" customHeight="1" s="149">
      <c r="A42" s="214" t="n">
        <v>22</v>
      </c>
      <c r="B42" s="232" t="inlineStr">
        <is>
          <t>91.06.05-011</t>
        </is>
      </c>
      <c r="C42" s="233" t="inlineStr">
        <is>
          <t>Погрузчики, грузоподъемность 5 т</t>
        </is>
      </c>
      <c r="D42" s="236" t="inlineStr">
        <is>
          <t>маш.час</t>
        </is>
      </c>
      <c r="E42" s="234" t="n">
        <v>4.674706</v>
      </c>
      <c r="F42" s="45" t="n">
        <v>89.98999999999999</v>
      </c>
      <c r="G42" s="45">
        <f>ROUND(E42*F42,2)</f>
        <v/>
      </c>
      <c r="H42" s="40">
        <f>G42/G80</f>
        <v/>
      </c>
      <c r="I42" s="231">
        <f>ROUND(F42*'Прил. 10'!$D$11,2)</f>
        <v/>
      </c>
      <c r="J42" s="231">
        <f>ROUND(E42*I42,2)</f>
        <v/>
      </c>
    </row>
    <row r="43" outlineLevel="1" ht="15.6" customFormat="1" customHeight="1" s="149">
      <c r="A43" s="214" t="n">
        <v>23</v>
      </c>
      <c r="B43" s="232" t="inlineStr">
        <is>
          <t>91.06.09-001</t>
        </is>
      </c>
      <c r="C43" s="233" t="inlineStr">
        <is>
          <t>Вышки телескопические 25 м</t>
        </is>
      </c>
      <c r="D43" s="236" t="inlineStr">
        <is>
          <t>маш.час</t>
        </is>
      </c>
      <c r="E43" s="234" t="n">
        <v>2.76</v>
      </c>
      <c r="F43" s="45" t="n">
        <v>142.7</v>
      </c>
      <c r="G43" s="45">
        <f>ROUND(E43*F43,2)</f>
        <v/>
      </c>
      <c r="H43" s="40">
        <f>G43/G80</f>
        <v/>
      </c>
      <c r="I43" s="231">
        <f>ROUND(F43*'Прил. 10'!$D$11,2)</f>
        <v/>
      </c>
      <c r="J43" s="231">
        <f>ROUND(E43*I43,2)</f>
        <v/>
      </c>
    </row>
    <row r="44" outlineLevel="1" ht="31.35" customFormat="1" customHeight="1" s="149">
      <c r="A44" s="214" t="n">
        <v>24</v>
      </c>
      <c r="B44" s="232" t="inlineStr">
        <is>
          <t>91.17.04-034</t>
        </is>
      </c>
      <c r="C44" s="233" t="inlineStr">
        <is>
          <t>Агрегаты сварочные однопостовые для ручной электродуговой сварки</t>
        </is>
      </c>
      <c r="D44" s="236" t="inlineStr">
        <is>
          <t>маш.час</t>
        </is>
      </c>
      <c r="E44" s="234" t="n">
        <v>33.411489</v>
      </c>
      <c r="F44" s="45" t="n">
        <v>11.77</v>
      </c>
      <c r="G44" s="45">
        <f>ROUND(E44*F44,2)</f>
        <v/>
      </c>
      <c r="H44" s="40">
        <f>G44/G80</f>
        <v/>
      </c>
      <c r="I44" s="231">
        <f>ROUND(F44*'Прил. 10'!$D$11,2)</f>
        <v/>
      </c>
      <c r="J44" s="231">
        <f>ROUND(E44*I44,2)</f>
        <v/>
      </c>
    </row>
    <row r="45" outlineLevel="1" ht="31.35" customFormat="1" customHeight="1" s="149">
      <c r="A45" s="214" t="n">
        <v>25</v>
      </c>
      <c r="B45" s="232" t="inlineStr">
        <is>
          <t>91.17.04-233</t>
        </is>
      </c>
      <c r="C45" s="233" t="inlineStr">
        <is>
          <t>Установки для сварки ручной дуговой (постоянного тока)</t>
        </is>
      </c>
      <c r="D45" s="236" t="inlineStr">
        <is>
          <t>маш.час</t>
        </is>
      </c>
      <c r="E45" s="234" t="n">
        <v>44.332488</v>
      </c>
      <c r="F45" s="45" t="n">
        <v>8.1</v>
      </c>
      <c r="G45" s="45">
        <f>ROUND(E45*F45,2)</f>
        <v/>
      </c>
      <c r="H45" s="40">
        <f>G45/G80</f>
        <v/>
      </c>
      <c r="I45" s="231">
        <f>ROUND(F45*'Прил. 10'!$D$11,2)</f>
        <v/>
      </c>
      <c r="J45" s="231">
        <f>ROUND(E45*I45,2)</f>
        <v/>
      </c>
    </row>
    <row r="46" outlineLevel="1" ht="46.9" customFormat="1" customHeight="1" s="149">
      <c r="A46" s="214" t="n">
        <v>26</v>
      </c>
      <c r="B46" s="232" t="inlineStr">
        <is>
          <t>91.06.06-048</t>
        </is>
      </c>
      <c r="C46" s="233" t="inlineStr">
        <is>
          <t>Подъемники одномачтовые, грузоподъемность до 500 кг, высота подъема 45 м</t>
        </is>
      </c>
      <c r="D46" s="236" t="inlineStr">
        <is>
          <t>маш.час</t>
        </is>
      </c>
      <c r="E46" s="234" t="n">
        <v>10.49349</v>
      </c>
      <c r="F46" s="45" t="n">
        <v>31.26</v>
      </c>
      <c r="G46" s="45">
        <f>ROUND(E46*F46,2)</f>
        <v/>
      </c>
      <c r="H46" s="40">
        <f>G46/G80</f>
        <v/>
      </c>
      <c r="I46" s="231">
        <f>ROUND(F46*'Прил. 10'!$D$11,2)</f>
        <v/>
      </c>
      <c r="J46" s="231">
        <f>ROUND(E46*I46,2)</f>
        <v/>
      </c>
    </row>
    <row r="47" outlineLevel="1" ht="31.35" customFormat="1" customHeight="1" s="149">
      <c r="A47" s="214" t="n">
        <v>27</v>
      </c>
      <c r="B47" s="232" t="inlineStr">
        <is>
          <t>91.08.07-016</t>
        </is>
      </c>
      <c r="C47" s="233" t="inlineStr">
        <is>
          <t>Распределители щебня, производительность 65 м/мин</t>
        </is>
      </c>
      <c r="D47" s="236" t="inlineStr">
        <is>
          <t>маш.час</t>
        </is>
      </c>
      <c r="E47" s="234" t="n">
        <v>0.8188</v>
      </c>
      <c r="F47" s="45" t="n">
        <v>354.7</v>
      </c>
      <c r="G47" s="45">
        <f>ROUND(E47*F47,2)</f>
        <v/>
      </c>
      <c r="H47" s="40">
        <f>G47/G80</f>
        <v/>
      </c>
      <c r="I47" s="231">
        <f>ROUND(F47*'Прил. 10'!$D$11,2)</f>
        <v/>
      </c>
      <c r="J47" s="231">
        <f>ROUND(E47*I47,2)</f>
        <v/>
      </c>
    </row>
    <row r="48" outlineLevel="1" ht="62.45" customFormat="1" customHeight="1" s="149">
      <c r="A48" s="214" t="n">
        <v>28</v>
      </c>
      <c r="B48" s="232" t="inlineStr">
        <is>
          <t>91.06.05-057</t>
        </is>
      </c>
      <c r="C48" s="233" t="inlineStr">
        <is>
          <t>Погрузчики одноковшовые универсальные фронтальные пневмоколесные, грузоподъемность 3 т</t>
        </is>
      </c>
      <c r="D48" s="236" t="inlineStr">
        <is>
          <t>маш.час</t>
        </is>
      </c>
      <c r="E48" s="234" t="n">
        <v>2.3822</v>
      </c>
      <c r="F48" s="45" t="n">
        <v>90.40000000000001</v>
      </c>
      <c r="G48" s="45">
        <f>ROUND(E48*F48,2)</f>
        <v/>
      </c>
      <c r="H48" s="40">
        <f>G48/G80</f>
        <v/>
      </c>
      <c r="I48" s="231">
        <f>ROUND(F48*'Прил. 10'!$D$11,2)</f>
        <v/>
      </c>
      <c r="J48" s="231">
        <f>ROUND(E48*I48,2)</f>
        <v/>
      </c>
    </row>
    <row r="49" outlineLevel="1" ht="15.6" customFormat="1" customHeight="1" s="149">
      <c r="A49" s="214" t="n">
        <v>29</v>
      </c>
      <c r="B49" s="232" t="inlineStr">
        <is>
          <t>91.08.04-021</t>
        </is>
      </c>
      <c r="C49" s="233" t="inlineStr">
        <is>
          <t>Котлы битумные передвижные 400 л</t>
        </is>
      </c>
      <c r="D49" s="236" t="inlineStr">
        <is>
          <t>маш.час</t>
        </is>
      </c>
      <c r="E49" s="234" t="n">
        <v>6.4043</v>
      </c>
      <c r="F49" s="45" t="n">
        <v>30</v>
      </c>
      <c r="G49" s="45">
        <f>ROUND(E49*F49,2)</f>
        <v/>
      </c>
      <c r="H49" s="40">
        <f>G49/G80</f>
        <v/>
      </c>
      <c r="I49" s="231">
        <f>ROUND(F49*'Прил. 10'!$D$11,2)</f>
        <v/>
      </c>
      <c r="J49" s="231">
        <f>ROUND(E49*I49,2)</f>
        <v/>
      </c>
    </row>
    <row r="50" outlineLevel="1" ht="31.35" customFormat="1" customHeight="1" s="149">
      <c r="A50" s="214" t="n">
        <v>30</v>
      </c>
      <c r="B50" s="232" t="inlineStr">
        <is>
          <t>91.06.06-042</t>
        </is>
      </c>
      <c r="C50" s="233" t="inlineStr">
        <is>
          <t>Подъемники гидравлические, высота подъема 10 м</t>
        </is>
      </c>
      <c r="D50" s="236" t="inlineStr">
        <is>
          <t>маш.час</t>
        </is>
      </c>
      <c r="E50" s="234" t="n">
        <v>6.075</v>
      </c>
      <c r="F50" s="45" t="n">
        <v>29.6</v>
      </c>
      <c r="G50" s="45">
        <f>ROUND(E50*F50,2)</f>
        <v/>
      </c>
      <c r="H50" s="40">
        <f>G50/G80</f>
        <v/>
      </c>
      <c r="I50" s="231">
        <f>ROUND(F50*'Прил. 10'!$D$11,2)</f>
        <v/>
      </c>
      <c r="J50" s="231">
        <f>ROUND(E50*I50,2)</f>
        <v/>
      </c>
    </row>
    <row r="51" outlineLevel="1" ht="15.6" customFormat="1" customHeight="1" s="149">
      <c r="A51" s="214" t="n">
        <v>31</v>
      </c>
      <c r="B51" s="232" t="inlineStr">
        <is>
          <t>91.17.04-042</t>
        </is>
      </c>
      <c r="C51" s="233" t="inlineStr">
        <is>
          <t>Аппараты для газовой сварки и резки</t>
        </is>
      </c>
      <c r="D51" s="236" t="inlineStr">
        <is>
          <t>маш.час</t>
        </is>
      </c>
      <c r="E51" s="234" t="n">
        <v>140.5861622</v>
      </c>
      <c r="F51" s="45" t="n">
        <v>1.2</v>
      </c>
      <c r="G51" s="45">
        <f>ROUND(E51*F51,2)</f>
        <v/>
      </c>
      <c r="H51" s="40">
        <f>G51/G80</f>
        <v/>
      </c>
      <c r="I51" s="231">
        <f>ROUND(F51*'Прил. 10'!$D$11,2)</f>
        <v/>
      </c>
      <c r="J51" s="231">
        <f>ROUND(E51*I51,2)</f>
        <v/>
      </c>
    </row>
    <row r="52" outlineLevel="1" ht="46.9" customFormat="1" customHeight="1" s="149">
      <c r="A52" s="214" t="n">
        <v>32</v>
      </c>
      <c r="B52" s="232" t="inlineStr">
        <is>
          <t>91.08.09-023</t>
        </is>
      </c>
      <c r="C52" s="233" t="inlineStr">
        <is>
          <t>Трамбовки пневматические при работе от передвижных компрессорных станций</t>
        </is>
      </c>
      <c r="D52" s="236" t="inlineStr">
        <is>
          <t>маш.час</t>
        </is>
      </c>
      <c r="E52" s="234" t="n">
        <v>284.0313</v>
      </c>
      <c r="F52" s="45" t="n">
        <v>0.55</v>
      </c>
      <c r="G52" s="45">
        <f>ROUND(E52*F52,2)</f>
        <v/>
      </c>
      <c r="H52" s="40">
        <f>G52/G80</f>
        <v/>
      </c>
      <c r="I52" s="231">
        <f>ROUND(F52*'Прил. 10'!$D$11,2)</f>
        <v/>
      </c>
      <c r="J52" s="231">
        <f>ROUND(E52*I52,2)</f>
        <v/>
      </c>
    </row>
    <row r="53" outlineLevel="1" ht="31.35" customFormat="1" customHeight="1" s="149">
      <c r="A53" s="214" t="n">
        <v>33</v>
      </c>
      <c r="B53" s="232" t="inlineStr">
        <is>
          <t>91.08.09-024</t>
        </is>
      </c>
      <c r="C53" s="233" t="inlineStr">
        <is>
          <t>Трамбовки пневматические при работе от стационарного компрессора</t>
        </is>
      </c>
      <c r="D53" s="236" t="inlineStr">
        <is>
          <t>маш.час</t>
        </is>
      </c>
      <c r="E53" s="234" t="n">
        <v>20.54</v>
      </c>
      <c r="F53" s="45" t="n">
        <v>4.91</v>
      </c>
      <c r="G53" s="45">
        <f>ROUND(E53*F53,2)</f>
        <v/>
      </c>
      <c r="H53" s="40">
        <f>G53/G80</f>
        <v/>
      </c>
      <c r="I53" s="231">
        <f>ROUND(F53*'Прил. 10'!$D$11,2)</f>
        <v/>
      </c>
      <c r="J53" s="231">
        <f>ROUND(E53*I53,2)</f>
        <v/>
      </c>
    </row>
    <row r="54" outlineLevel="1" ht="15.6" customFormat="1" customHeight="1" s="149">
      <c r="A54" s="214" t="n">
        <v>34</v>
      </c>
      <c r="B54" s="232" t="inlineStr">
        <is>
          <t>91.21.19-026</t>
        </is>
      </c>
      <c r="C54" s="233" t="inlineStr">
        <is>
          <t>Станки для рубки арматуры</t>
        </is>
      </c>
      <c r="D54" s="236" t="inlineStr">
        <is>
          <t>маш.час</t>
        </is>
      </c>
      <c r="E54" s="234" t="n">
        <v>2.32065</v>
      </c>
      <c r="F54" s="45" t="n">
        <v>28.63</v>
      </c>
      <c r="G54" s="45">
        <f>ROUND(E54*F54,2)</f>
        <v/>
      </c>
      <c r="H54" s="40">
        <f>G54/G80</f>
        <v/>
      </c>
      <c r="I54" s="231">
        <f>ROUND(F54*'Прил. 10'!$D$11,2)</f>
        <v/>
      </c>
      <c r="J54" s="231">
        <f>ROUND(E54*I54,2)</f>
        <v/>
      </c>
    </row>
    <row r="55" outlineLevel="1" ht="31.35" customFormat="1" customHeight="1" s="149">
      <c r="A55" s="214" t="n">
        <v>35</v>
      </c>
      <c r="B55" s="232" t="inlineStr">
        <is>
          <t>91.14.02-004</t>
        </is>
      </c>
      <c r="C55" s="233" t="inlineStr">
        <is>
          <t>Автомобили бортовые, грузоподъемность до 15 т</t>
        </is>
      </c>
      <c r="D55" s="236" t="inlineStr">
        <is>
          <t>маш.час</t>
        </is>
      </c>
      <c r="E55" s="234" t="n">
        <v>0.66</v>
      </c>
      <c r="F55" s="45" t="n">
        <v>92.94</v>
      </c>
      <c r="G55" s="45">
        <f>ROUND(E55*F55,2)</f>
        <v/>
      </c>
      <c r="H55" s="40">
        <f>G55/G80</f>
        <v/>
      </c>
      <c r="I55" s="231">
        <f>ROUND(F55*'Прил. 10'!$D$11,2)</f>
        <v/>
      </c>
      <c r="J55" s="231">
        <f>ROUND(E55*I55,2)</f>
        <v/>
      </c>
    </row>
    <row r="56" outlineLevel="1" ht="31.35" customFormat="1" customHeight="1" s="149">
      <c r="A56" s="214" t="n">
        <v>36</v>
      </c>
      <c r="B56" s="232" t="inlineStr">
        <is>
          <t>91.06.03-060</t>
        </is>
      </c>
      <c r="C56" s="233" t="inlineStr">
        <is>
          <t>Лебедки электрические тяговым усилием до 5,79 кН (0,59 т)</t>
        </is>
      </c>
      <c r="D56" s="236" t="inlineStr">
        <is>
          <t>маш.час</t>
        </is>
      </c>
      <c r="E56" s="234" t="n">
        <v>30.291916</v>
      </c>
      <c r="F56" s="45" t="n">
        <v>1.7</v>
      </c>
      <c r="G56" s="45">
        <f>ROUND(E56*F56,2)</f>
        <v/>
      </c>
      <c r="H56" s="40">
        <f>G56/G80</f>
        <v/>
      </c>
      <c r="I56" s="231">
        <f>ROUND(F56*'Прил. 10'!$D$11,2)</f>
        <v/>
      </c>
      <c r="J56" s="231">
        <f>ROUND(E56*I56,2)</f>
        <v/>
      </c>
    </row>
    <row r="57" outlineLevel="1" ht="31.35" customFormat="1" customHeight="1" s="149">
      <c r="A57" s="214" t="n">
        <v>37</v>
      </c>
      <c r="B57" s="232" t="inlineStr">
        <is>
          <t>91.13.01-039</t>
        </is>
      </c>
      <c r="C57" s="233" t="inlineStr">
        <is>
          <t>Машины сушильные, мощность 26 кВт (35 л.с.)</t>
        </is>
      </c>
      <c r="D57" s="236" t="inlineStr">
        <is>
          <t>маш.час</t>
        </is>
      </c>
      <c r="E57" s="234" t="n">
        <v>0.1656</v>
      </c>
      <c r="F57" s="45" t="n">
        <v>304.23</v>
      </c>
      <c r="G57" s="45">
        <f>ROUND(E57*F57,2)</f>
        <v/>
      </c>
      <c r="H57" s="40">
        <f>G57/G80</f>
        <v/>
      </c>
      <c r="I57" s="231">
        <f>ROUND(F57*'Прил. 10'!$D$11,2)</f>
        <v/>
      </c>
      <c r="J57" s="231">
        <f>ROUND(E57*I57,2)</f>
        <v/>
      </c>
    </row>
    <row r="58" outlineLevel="1" ht="15.6" customFormat="1" customHeight="1" s="149">
      <c r="A58" s="214" t="n">
        <v>38</v>
      </c>
      <c r="B58" s="232" t="inlineStr">
        <is>
          <t>91.08.01-021</t>
        </is>
      </c>
      <c r="C58" s="233" t="inlineStr">
        <is>
          <t>Укладчики асфальтобетона</t>
        </is>
      </c>
      <c r="D58" s="236" t="inlineStr">
        <is>
          <t>маш.час</t>
        </is>
      </c>
      <c r="E58" s="234" t="n">
        <v>0.2552</v>
      </c>
      <c r="F58" s="45" t="n">
        <v>195.2</v>
      </c>
      <c r="G58" s="45">
        <f>ROUND(E58*F58,2)</f>
        <v/>
      </c>
      <c r="H58" s="40">
        <f>G58/G80</f>
        <v/>
      </c>
      <c r="I58" s="231">
        <f>ROUND(F58*'Прил. 10'!$D$11,2)</f>
        <v/>
      </c>
      <c r="J58" s="231">
        <f>ROUND(E58*I58,2)</f>
        <v/>
      </c>
    </row>
    <row r="59" outlineLevel="1" ht="31.35" customFormat="1" customHeight="1" s="149">
      <c r="A59" s="214" t="n">
        <v>39</v>
      </c>
      <c r="B59" s="232" t="inlineStr">
        <is>
          <t>91.08.03-015</t>
        </is>
      </c>
      <c r="C59" s="233" t="inlineStr">
        <is>
          <t>Катки самоходные гладкие вибрационные, масса 5 т</t>
        </is>
      </c>
      <c r="D59" s="236" t="inlineStr">
        <is>
          <t>маш.час</t>
        </is>
      </c>
      <c r="E59" s="234" t="n">
        <v>0.2709</v>
      </c>
      <c r="F59" s="45" t="n">
        <v>176.03</v>
      </c>
      <c r="G59" s="45">
        <f>ROUND(E59*F59,2)</f>
        <v/>
      </c>
      <c r="H59" s="40">
        <f>G59/G80</f>
        <v/>
      </c>
      <c r="I59" s="231">
        <f>ROUND(F59*'Прил. 10'!$D$11,2)</f>
        <v/>
      </c>
      <c r="J59" s="231">
        <f>ROUND(E59*I59,2)</f>
        <v/>
      </c>
    </row>
    <row r="60" outlineLevel="1" ht="31.35" customFormat="1" customHeight="1" s="149">
      <c r="A60" s="214" t="n">
        <v>40</v>
      </c>
      <c r="B60" s="232" t="inlineStr">
        <is>
          <t>91.08.03-016</t>
        </is>
      </c>
      <c r="C60" s="233" t="inlineStr">
        <is>
          <t>Катки самоходные гладкие вибрационные, масса 8 т</t>
        </is>
      </c>
      <c r="D60" s="236" t="inlineStr">
        <is>
          <t>маш.час</t>
        </is>
      </c>
      <c r="E60" s="234" t="n">
        <v>0.204</v>
      </c>
      <c r="F60" s="45" t="n">
        <v>226.54</v>
      </c>
      <c r="G60" s="45">
        <f>ROUND(E60*F60,2)</f>
        <v/>
      </c>
      <c r="H60" s="40">
        <f>G60/G80</f>
        <v/>
      </c>
      <c r="I60" s="231">
        <f>ROUND(F60*'Прил. 10'!$D$11,2)</f>
        <v/>
      </c>
      <c r="J60" s="231">
        <f>ROUND(E60*I60,2)</f>
        <v/>
      </c>
    </row>
    <row r="61" outlineLevel="1" ht="31.35" customFormat="1" customHeight="1" s="149">
      <c r="A61" s="214" t="n">
        <v>41</v>
      </c>
      <c r="B61" s="232" t="inlineStr">
        <is>
          <t>91.06.03-055</t>
        </is>
      </c>
      <c r="C61" s="233" t="inlineStr">
        <is>
          <t>Лебедки электрические тяговым усилием 19,62 кН (2 т)</t>
        </is>
      </c>
      <c r="D61" s="236" t="inlineStr">
        <is>
          <t>маш.час</t>
        </is>
      </c>
      <c r="E61" s="234" t="n">
        <v>6.6</v>
      </c>
      <c r="F61" s="45" t="n">
        <v>6.66</v>
      </c>
      <c r="G61" s="45">
        <f>ROUND(E61*F61,2)</f>
        <v/>
      </c>
      <c r="H61" s="40">
        <f>G61/G80</f>
        <v/>
      </c>
      <c r="I61" s="231">
        <f>ROUND(F61*'Прил. 10'!$D$11,2)</f>
        <v/>
      </c>
      <c r="J61" s="231">
        <f>ROUND(E61*I61,2)</f>
        <v/>
      </c>
    </row>
    <row r="62" outlineLevel="1" ht="31.35" customFormat="1" customHeight="1" s="149">
      <c r="A62" s="214" t="n">
        <v>42</v>
      </c>
      <c r="B62" s="232" t="inlineStr">
        <is>
          <t>91.08.03-009</t>
        </is>
      </c>
      <c r="C62" s="233" t="inlineStr">
        <is>
          <t>Катки самоходные гладкие вибрационные, масса 2,2 т</t>
        </is>
      </c>
      <c r="D62" s="236" t="inlineStr">
        <is>
          <t>маш.час</t>
        </is>
      </c>
      <c r="E62" s="234" t="n">
        <v>0.3956</v>
      </c>
      <c r="F62" s="45" t="n">
        <v>103.16</v>
      </c>
      <c r="G62" s="45">
        <f>ROUND(E62*F62,2)</f>
        <v/>
      </c>
      <c r="H62" s="40">
        <f>G62/G80</f>
        <v/>
      </c>
      <c r="I62" s="231">
        <f>ROUND(F62*'Прил. 10'!$D$11,2)</f>
        <v/>
      </c>
      <c r="J62" s="231">
        <f>ROUND(E62*I62,2)</f>
        <v/>
      </c>
    </row>
    <row r="63" outlineLevel="1" ht="15.6" customFormat="1" customHeight="1" s="149">
      <c r="A63" s="214" t="n">
        <v>43</v>
      </c>
      <c r="B63" s="232" t="inlineStr">
        <is>
          <t>91.07.04-002</t>
        </is>
      </c>
      <c r="C63" s="233" t="inlineStr">
        <is>
          <t>Вибраторы поверхностные</t>
        </is>
      </c>
      <c r="D63" s="236" t="inlineStr">
        <is>
          <t>маш.час</t>
        </is>
      </c>
      <c r="E63" s="234" t="n">
        <v>51.10853</v>
      </c>
      <c r="F63" s="45" t="n">
        <v>0.5</v>
      </c>
      <c r="G63" s="45">
        <f>ROUND(E63*F63,2)</f>
        <v/>
      </c>
      <c r="H63" s="40">
        <f>G63/G80</f>
        <v/>
      </c>
      <c r="I63" s="231">
        <f>ROUND(F63*'Прил. 10'!$D$11,2)</f>
        <v/>
      </c>
      <c r="J63" s="231">
        <f>ROUND(E63*I63,2)</f>
        <v/>
      </c>
    </row>
    <row r="64" outlineLevel="1" ht="15.6" customFormat="1" customHeight="1" s="149">
      <c r="A64" s="214" t="n">
        <v>44</v>
      </c>
      <c r="B64" s="232" t="inlineStr">
        <is>
          <t>91.13.01-038</t>
        </is>
      </c>
      <c r="C64" s="233" t="inlineStr">
        <is>
          <t>Машины поливомоечные 6000 л</t>
        </is>
      </c>
      <c r="D64" s="236" t="inlineStr">
        <is>
          <t>маш.час</t>
        </is>
      </c>
      <c r="E64" s="234" t="n">
        <v>0.2116</v>
      </c>
      <c r="F64" s="45" t="n">
        <v>110</v>
      </c>
      <c r="G64" s="45">
        <f>ROUND(E64*F64,2)</f>
        <v/>
      </c>
      <c r="H64" s="40">
        <f>G64/G80</f>
        <v/>
      </c>
      <c r="I64" s="231">
        <f>ROUND(F64*'Прил. 10'!$D$11,2)</f>
        <v/>
      </c>
      <c r="J64" s="231">
        <f>ROUND(E64*I64,2)</f>
        <v/>
      </c>
    </row>
    <row r="65" outlineLevel="1" ht="15.6" customFormat="1" customHeight="1" s="149">
      <c r="A65" s="214" t="n">
        <v>45</v>
      </c>
      <c r="B65" s="232" t="inlineStr">
        <is>
          <t>91.07.04-001</t>
        </is>
      </c>
      <c r="C65" s="233" t="inlineStr">
        <is>
          <t>Вибраторы глубинные</t>
        </is>
      </c>
      <c r="D65" s="236" t="inlineStr">
        <is>
          <t>маш.час</t>
        </is>
      </c>
      <c r="E65" s="234" t="n">
        <v>11.44925</v>
      </c>
      <c r="F65" s="45" t="n">
        <v>1.9</v>
      </c>
      <c r="G65" s="45">
        <f>ROUND(E65*F65,2)</f>
        <v/>
      </c>
      <c r="H65" s="40">
        <f>G65/G80</f>
        <v/>
      </c>
      <c r="I65" s="231">
        <f>ROUND(F65*'Прил. 10'!$D$11,2)</f>
        <v/>
      </c>
      <c r="J65" s="231">
        <f>ROUND(E65*I65,2)</f>
        <v/>
      </c>
    </row>
    <row r="66" outlineLevel="1" ht="31.35" customFormat="1" customHeight="1" s="149">
      <c r="A66" s="214" t="n">
        <v>46</v>
      </c>
      <c r="B66" s="232" t="inlineStr">
        <is>
          <t>91.14.03-001</t>
        </is>
      </c>
      <c r="C66" s="233" t="inlineStr">
        <is>
          <t>Автомобили-самосвалы, грузоподъемность до 7 т</t>
        </is>
      </c>
      <c r="D66" s="236" t="inlineStr">
        <is>
          <t>маш.час</t>
        </is>
      </c>
      <c r="E66" s="234" t="n">
        <v>0.1564</v>
      </c>
      <c r="F66" s="45" t="n">
        <v>89.54000000000001</v>
      </c>
      <c r="G66" s="45">
        <f>ROUND(E66*F66,2)</f>
        <v/>
      </c>
      <c r="H66" s="40">
        <f>G66/G80</f>
        <v/>
      </c>
      <c r="I66" s="231">
        <f>ROUND(F66*'Прил. 10'!$D$11,2)</f>
        <v/>
      </c>
      <c r="J66" s="231">
        <f>ROUND(E66*I66,2)</f>
        <v/>
      </c>
    </row>
    <row r="67" outlineLevel="1" ht="31.35" customFormat="1" customHeight="1" s="149">
      <c r="A67" s="214" t="n">
        <v>47</v>
      </c>
      <c r="B67" s="232" t="inlineStr">
        <is>
          <t>91.06.03-061</t>
        </is>
      </c>
      <c r="C67" s="233" t="inlineStr">
        <is>
          <t>Лебедки электрические тяговым усилием до 12,26 кН (1,25 т)</t>
        </is>
      </c>
      <c r="D67" s="236" t="inlineStr">
        <is>
          <t>маш.час</t>
        </is>
      </c>
      <c r="E67" s="234" t="n">
        <v>3.5346</v>
      </c>
      <c r="F67" s="45" t="n">
        <v>3.28</v>
      </c>
      <c r="G67" s="45">
        <f>ROUND(E67*F67,2)</f>
        <v/>
      </c>
      <c r="H67" s="40">
        <f>G67/G80</f>
        <v/>
      </c>
      <c r="I67" s="231">
        <f>ROUND(F67*'Прил. 10'!$D$11,2)</f>
        <v/>
      </c>
      <c r="J67" s="231">
        <f>ROUND(E67*I67,2)</f>
        <v/>
      </c>
    </row>
    <row r="68" outlineLevel="1" ht="31.35" customFormat="1" customHeight="1" s="149">
      <c r="A68" s="214" t="n">
        <v>48</v>
      </c>
      <c r="B68" s="232" t="inlineStr">
        <is>
          <t>91.06.01-003</t>
        </is>
      </c>
      <c r="C68" s="233" t="inlineStr">
        <is>
          <t>Домкраты гидравлические, грузоподъемность 63-100 т</t>
        </is>
      </c>
      <c r="D68" s="236" t="inlineStr">
        <is>
          <t>маш.час</t>
        </is>
      </c>
      <c r="E68" s="234" t="n">
        <v>12.3895809</v>
      </c>
      <c r="F68" s="45" t="n">
        <v>0.9</v>
      </c>
      <c r="G68" s="45">
        <f>ROUND(E68*F68,2)</f>
        <v/>
      </c>
      <c r="H68" s="40">
        <f>G68/G80</f>
        <v/>
      </c>
      <c r="I68" s="231">
        <f>ROUND(F68*'Прил. 10'!$D$11,2)</f>
        <v/>
      </c>
      <c r="J68" s="231">
        <f>ROUND(E68*I68,2)</f>
        <v/>
      </c>
    </row>
    <row r="69" outlineLevel="1" ht="15.6" customFormat="1" customHeight="1" s="149">
      <c r="A69" s="214" t="n">
        <v>49</v>
      </c>
      <c r="B69" s="232" t="inlineStr">
        <is>
          <t>91.21.19-021</t>
        </is>
      </c>
      <c r="C69" s="233" t="inlineStr">
        <is>
          <t>Станки для гибки арматуры</t>
        </is>
      </c>
      <c r="D69" s="236" t="inlineStr">
        <is>
          <t>маш.час</t>
        </is>
      </c>
      <c r="E69" s="234" t="n">
        <v>3.86981</v>
      </c>
      <c r="F69" s="45" t="n">
        <v>2.33</v>
      </c>
      <c r="G69" s="45">
        <f>ROUND(E69*F69,2)</f>
        <v/>
      </c>
      <c r="H69" s="40">
        <f>G69/G80</f>
        <v/>
      </c>
      <c r="I69" s="231">
        <f>ROUND(F69*'Прил. 10'!$D$11,2)</f>
        <v/>
      </c>
      <c r="J69" s="231">
        <f>ROUND(E69*I69,2)</f>
        <v/>
      </c>
    </row>
    <row r="70" outlineLevel="1" ht="31.35" customFormat="1" customHeight="1" s="149">
      <c r="A70" s="214" t="n">
        <v>50</v>
      </c>
      <c r="B70" s="232" t="inlineStr">
        <is>
          <t>91.21.22-638</t>
        </is>
      </c>
      <c r="C70" s="233" t="inlineStr">
        <is>
          <t>Пылесосы промышленные, мощность до 2000 Вт</t>
        </is>
      </c>
      <c r="D70" s="236" t="inlineStr">
        <is>
          <t>маш.час</t>
        </is>
      </c>
      <c r="E70" s="234" t="n">
        <v>2.107</v>
      </c>
      <c r="F70" s="45" t="n">
        <v>3.29</v>
      </c>
      <c r="G70" s="45">
        <f>ROUND(E70*F70,2)</f>
        <v/>
      </c>
      <c r="H70" s="40">
        <f>G70/G80</f>
        <v/>
      </c>
      <c r="I70" s="231">
        <f>ROUND(F70*'Прил. 10'!$D$11,2)</f>
        <v/>
      </c>
      <c r="J70" s="231">
        <f>ROUND(E70*I70,2)</f>
        <v/>
      </c>
    </row>
    <row r="71" outlineLevel="1" ht="31.35" customFormat="1" customHeight="1" s="149">
      <c r="A71" s="214" t="n">
        <v>51</v>
      </c>
      <c r="B71" s="232" t="inlineStr">
        <is>
          <t>91.14.04-001</t>
        </is>
      </c>
      <c r="C71" s="233" t="inlineStr">
        <is>
          <t>Тягачи седельные, грузоподъемность 12 т</t>
        </is>
      </c>
      <c r="D71" s="236" t="inlineStr">
        <is>
          <t>маш.час</t>
        </is>
      </c>
      <c r="E71" s="234" t="n">
        <v>0.061724</v>
      </c>
      <c r="F71" s="45" t="n">
        <v>102.84</v>
      </c>
      <c r="G71" s="45">
        <f>ROUND(E71*F71,2)</f>
        <v/>
      </c>
      <c r="H71" s="40">
        <f>G71/G80</f>
        <v/>
      </c>
      <c r="I71" s="231">
        <f>ROUND(F71*'Прил. 10'!$D$11,2)</f>
        <v/>
      </c>
      <c r="J71" s="231">
        <f>ROUND(E71*I71,2)</f>
        <v/>
      </c>
    </row>
    <row r="72" outlineLevel="1" ht="31.35" customFormat="1" customHeight="1" s="149">
      <c r="A72" s="214" t="n">
        <v>52</v>
      </c>
      <c r="B72" s="232" t="inlineStr">
        <is>
          <t>91.13.01-051</t>
        </is>
      </c>
      <c r="C72" s="233" t="inlineStr">
        <is>
          <t>Тракторы с щетками дорожными навесными</t>
        </is>
      </c>
      <c r="D72" s="236" t="inlineStr">
        <is>
          <t>маш.час</t>
        </is>
      </c>
      <c r="E72" s="234" t="n">
        <v>0.06</v>
      </c>
      <c r="F72" s="45" t="n">
        <v>62.3</v>
      </c>
      <c r="G72" s="45">
        <f>ROUND(E72*F72,2)</f>
        <v/>
      </c>
      <c r="H72" s="40">
        <f>G72/G80</f>
        <v/>
      </c>
      <c r="I72" s="231">
        <f>ROUND(F72*'Прил. 10'!$D$11,2)</f>
        <v/>
      </c>
      <c r="J72" s="231">
        <f>ROUND(E72*I72,2)</f>
        <v/>
      </c>
    </row>
    <row r="73" outlineLevel="1" ht="15.6" customFormat="1" customHeight="1" s="149">
      <c r="A73" s="214" t="n">
        <v>53</v>
      </c>
      <c r="B73" s="232" t="inlineStr">
        <is>
          <t>91.06.08-003</t>
        </is>
      </c>
      <c r="C73" s="233" t="inlineStr">
        <is>
          <t>Тельферы электрические 2 т</t>
        </is>
      </c>
      <c r="D73" s="236" t="inlineStr">
        <is>
          <t>маш.час</t>
        </is>
      </c>
      <c r="E73" s="234" t="n">
        <v>0.339482</v>
      </c>
      <c r="F73" s="45" t="n">
        <v>4.77</v>
      </c>
      <c r="G73" s="45">
        <f>ROUND(E73*F73,2)</f>
        <v/>
      </c>
      <c r="H73" s="40">
        <f>G73/G80</f>
        <v/>
      </c>
      <c r="I73" s="231">
        <f>ROUND(F73*'Прил. 10'!$D$11,2)</f>
        <v/>
      </c>
      <c r="J73" s="231">
        <f>ROUND(E73*I73,2)</f>
        <v/>
      </c>
    </row>
    <row r="74" outlineLevel="1" ht="31.35" customFormat="1" customHeight="1" s="149">
      <c r="A74" s="214" t="n">
        <v>54</v>
      </c>
      <c r="B74" s="232" t="inlineStr">
        <is>
          <t>91.14.05-011</t>
        </is>
      </c>
      <c r="C74" s="233" t="inlineStr">
        <is>
          <t>Полуприцепы общего назначения, грузоподъемность 12 т</t>
        </is>
      </c>
      <c r="D74" s="236" t="inlineStr">
        <is>
          <t>маш.час</t>
        </is>
      </c>
      <c r="E74" s="234" t="n">
        <v>0.061724</v>
      </c>
      <c r="F74" s="45" t="n">
        <v>12</v>
      </c>
      <c r="G74" s="45">
        <f>ROUND(E74*F74,2)</f>
        <v/>
      </c>
      <c r="H74" s="40">
        <f>G74/G80</f>
        <v/>
      </c>
      <c r="I74" s="231">
        <f>ROUND(F74*'Прил. 10'!$D$11,2)</f>
        <v/>
      </c>
      <c r="J74" s="231">
        <f>ROUND(E74*I74,2)</f>
        <v/>
      </c>
    </row>
    <row r="75" outlineLevel="1" ht="46.9" customFormat="1" customHeight="1" s="149">
      <c r="A75" s="214" t="n">
        <v>55</v>
      </c>
      <c r="B75" s="232" t="inlineStr">
        <is>
          <t>91.04.01-041</t>
        </is>
      </c>
      <c r="C75" s="233" t="inlineStr">
        <is>
          <t>Молотки бурильные легкие при работе от передвижных компрессорных станций</t>
        </is>
      </c>
      <c r="D75" s="236" t="inlineStr">
        <is>
          <t>маш.час</t>
        </is>
      </c>
      <c r="E75" s="234" t="n">
        <v>0.19</v>
      </c>
      <c r="F75" s="45" t="n">
        <v>2.99</v>
      </c>
      <c r="G75" s="45">
        <f>ROUND(E75*F75,2)</f>
        <v/>
      </c>
      <c r="H75" s="40">
        <f>G75/G80</f>
        <v/>
      </c>
      <c r="I75" s="231">
        <f>ROUND(F75*'Прил. 10'!$D$11,2)</f>
        <v/>
      </c>
      <c r="J75" s="231">
        <f>ROUND(E75*I75,2)</f>
        <v/>
      </c>
    </row>
    <row r="76" outlineLevel="1" ht="15.6" customFormat="1" customHeight="1" s="149">
      <c r="A76" s="214" t="n">
        <v>56</v>
      </c>
      <c r="B76" s="232" t="inlineStr">
        <is>
          <t>91.08.02-011</t>
        </is>
      </c>
      <c r="C76" s="233" t="inlineStr">
        <is>
          <t>Гудронаторы ручные</t>
        </is>
      </c>
      <c r="D76" s="236" t="inlineStr">
        <is>
          <t>маш.час</t>
        </is>
      </c>
      <c r="E76" s="234" t="n">
        <v>0.0192</v>
      </c>
      <c r="F76" s="45" t="n">
        <v>17.2</v>
      </c>
      <c r="G76" s="45">
        <f>ROUND(E76*F76,2)</f>
        <v/>
      </c>
      <c r="H76" s="40">
        <f>G76/G80</f>
        <v/>
      </c>
      <c r="I76" s="231">
        <f>ROUND(F76*'Прил. 10'!$D$11,2)</f>
        <v/>
      </c>
      <c r="J76" s="231">
        <f>ROUND(E76*I76,2)</f>
        <v/>
      </c>
    </row>
    <row r="77" outlineLevel="1" ht="31.35" customFormat="1" customHeight="1" s="149">
      <c r="A77" s="214" t="n">
        <v>57</v>
      </c>
      <c r="B77" s="232" t="inlineStr">
        <is>
          <t>91.21.16-012</t>
        </is>
      </c>
      <c r="C77" s="233" t="inlineStr">
        <is>
          <t>Прессы гидравлические с электроприводом</t>
        </is>
      </c>
      <c r="D77" s="236" t="inlineStr">
        <is>
          <t>маш.час</t>
        </is>
      </c>
      <c r="E77" s="234" t="n">
        <v>0.173</v>
      </c>
      <c r="F77" s="45" t="n">
        <v>1.11</v>
      </c>
      <c r="G77" s="45">
        <f>ROUND(E77*F77,2)</f>
        <v/>
      </c>
      <c r="H77" s="40">
        <f>G77/G80</f>
        <v/>
      </c>
      <c r="I77" s="231">
        <f>ROUND(F77*'Прил. 10'!$D$11,2)</f>
        <v/>
      </c>
      <c r="J77" s="231">
        <f>ROUND(E77*I77,2)</f>
        <v/>
      </c>
    </row>
    <row r="78" ht="15.6" customFormat="1" customHeight="1" s="149">
      <c r="A78" s="214" t="n"/>
      <c r="B78" s="149" t="n"/>
      <c r="C78" s="214" t="inlineStr">
        <is>
          <t>Итого прочие Машины и механизмы</t>
        </is>
      </c>
      <c r="D78" s="214" t="n"/>
      <c r="E78" s="214" t="n"/>
      <c r="F78" s="231" t="n"/>
      <c r="G78" s="231">
        <f>SUM(G34:G77)</f>
        <v/>
      </c>
      <c r="H78" s="40">
        <f>SUM(H34:H77)</f>
        <v/>
      </c>
      <c r="I78" s="231" t="n"/>
      <c r="J78" s="231">
        <f>SUM(J34:J77)</f>
        <v/>
      </c>
    </row>
    <row r="79" ht="36.75" customFormat="1" customHeight="1" s="138">
      <c r="A79" s="178" t="n"/>
      <c r="B79" s="178" t="n"/>
      <c r="C79" s="233" t="inlineStr">
        <is>
          <t>Итого прочие машины и механизмы 
(с коэффициентом на демонтаж 0,7)</t>
        </is>
      </c>
      <c r="D79" s="178" t="n"/>
      <c r="E79" s="180" t="n"/>
      <c r="F79" s="186" t="n"/>
      <c r="G79" s="187">
        <f>G78*0.7</f>
        <v/>
      </c>
      <c r="H79" s="185">
        <f>G79/G81</f>
        <v/>
      </c>
      <c r="I79" s="187" t="n"/>
      <c r="J79" s="187">
        <f>J78*0.7</f>
        <v/>
      </c>
    </row>
    <row r="80" ht="15.6" customFormat="1" customHeight="1" s="149">
      <c r="A80" s="214" t="n"/>
      <c r="B80" s="214" t="inlineStr">
        <is>
          <t>Итого по разделу "Машины и механизмы"</t>
        </is>
      </c>
      <c r="C80" s="243" t="n"/>
      <c r="D80" s="243" t="n"/>
      <c r="E80" s="243" t="n"/>
      <c r="F80" s="244" t="n"/>
      <c r="G80" s="231">
        <f>G32+G78</f>
        <v/>
      </c>
      <c r="H80" s="40">
        <f>H32+H78</f>
        <v/>
      </c>
      <c r="I80" s="231" t="n"/>
      <c r="J80" s="231">
        <f>J32+J78</f>
        <v/>
      </c>
    </row>
    <row r="81" ht="38.25" customFormat="1" customHeight="1" s="138">
      <c r="A81" s="178" t="n"/>
      <c r="B81" s="178" t="n"/>
      <c r="C81" s="188" t="inlineStr">
        <is>
          <t>Итого по разделу «Машины и механизмы»  
(с коэффициентом на демонтаж 0,7)</t>
        </is>
      </c>
      <c r="D81" s="189" t="n"/>
      <c r="E81" s="190" t="n"/>
      <c r="F81" s="191" t="n"/>
      <c r="G81" s="187">
        <f>G33+G79</f>
        <v/>
      </c>
      <c r="H81" s="185" t="n">
        <v>1</v>
      </c>
      <c r="I81" s="192" t="n"/>
      <c r="J81" s="187">
        <f>J33+J79</f>
        <v/>
      </c>
    </row>
    <row r="82" ht="15.6" customFormat="1" customHeight="1" s="149">
      <c r="A82" s="224" t="n"/>
      <c r="B82" s="226" t="inlineStr">
        <is>
          <t>Оборудование</t>
        </is>
      </c>
      <c r="C82" s="243" t="n"/>
      <c r="D82" s="243" t="n"/>
      <c r="E82" s="243" t="n"/>
      <c r="F82" s="243" t="n"/>
      <c r="G82" s="243" t="n"/>
      <c r="H82" s="243" t="n"/>
      <c r="I82" s="243" t="n"/>
      <c r="J82" s="244" t="n"/>
    </row>
    <row r="83" ht="15.6" customFormat="1" customHeight="1" s="149">
      <c r="A83" s="224" t="n"/>
      <c r="B83" s="224" t="inlineStr">
        <is>
          <t>Основное оборудование</t>
        </is>
      </c>
      <c r="C83" s="243" t="n"/>
      <c r="D83" s="243" t="n"/>
      <c r="E83" s="243" t="n"/>
      <c r="F83" s="243" t="n"/>
      <c r="G83" s="243" t="n"/>
      <c r="H83" s="243" t="n"/>
      <c r="I83" s="243" t="n"/>
      <c r="J83" s="244" t="n"/>
    </row>
    <row r="84" ht="15.6" customFormat="1" customHeight="1" s="149">
      <c r="A84" s="215" t="n"/>
      <c r="B84" s="232" t="n"/>
      <c r="C84" s="233" t="inlineStr">
        <is>
          <t>Итого основное оборудование</t>
        </is>
      </c>
      <c r="D84" s="236" t="n"/>
      <c r="E84" s="234" t="n"/>
      <c r="F84" s="235" t="n"/>
      <c r="G84" s="45" t="n">
        <v>0</v>
      </c>
      <c r="H84" s="40" t="n">
        <v>0</v>
      </c>
      <c r="I84" s="231" t="n"/>
      <c r="J84" s="231" t="n">
        <v>0</v>
      </c>
    </row>
    <row r="85" ht="15.6" customFormat="1" customHeight="1" s="149">
      <c r="A85" s="215" t="n"/>
      <c r="B85" s="232" t="n"/>
      <c r="C85" s="233" t="inlineStr">
        <is>
          <t>Итого прочее оборудование</t>
        </is>
      </c>
      <c r="D85" s="236" t="n"/>
      <c r="E85" s="234" t="n"/>
      <c r="F85" s="45" t="n"/>
      <c r="G85" s="45" t="n">
        <v>0</v>
      </c>
      <c r="H85" s="40" t="n">
        <v>0</v>
      </c>
      <c r="I85" s="231" t="n"/>
      <c r="J85" s="231" t="n">
        <v>0</v>
      </c>
    </row>
    <row r="86" ht="15.6" customFormat="1" customHeight="1" s="149">
      <c r="A86" s="224" t="n"/>
      <c r="B86" s="224" t="n"/>
      <c r="C86" s="224" t="inlineStr">
        <is>
          <t>Итого по разделу «Оборудование»</t>
        </is>
      </c>
      <c r="D86" s="224" t="n"/>
      <c r="E86" s="224" t="n"/>
      <c r="F86" s="225" t="n"/>
      <c r="G86" s="225">
        <f>G84+G85</f>
        <v/>
      </c>
      <c r="H86" s="52">
        <f>H84+H85</f>
        <v/>
      </c>
      <c r="I86" s="225" t="n"/>
      <c r="J86" s="225">
        <f>J84+J85</f>
        <v/>
      </c>
    </row>
    <row r="87" ht="15.6" customFormat="1" customHeight="1" s="149">
      <c r="A87" s="224" t="n"/>
      <c r="B87" s="224" t="n"/>
      <c r="C87" s="224" t="inlineStr">
        <is>
          <t>в том числе технологическое оборудование</t>
        </is>
      </c>
      <c r="D87" s="224" t="n"/>
      <c r="E87" s="224" t="n"/>
      <c r="F87" s="225" t="n"/>
      <c r="G87" s="225">
        <f>G86</f>
        <v/>
      </c>
      <c r="H87" s="52">
        <f>H86</f>
        <v/>
      </c>
      <c r="I87" s="225" t="n"/>
      <c r="J87" s="225">
        <f>J86</f>
        <v/>
      </c>
    </row>
    <row r="88" ht="15.6" customFormat="1" customHeight="1" s="149">
      <c r="A88" s="214" t="n"/>
      <c r="B88" s="213" t="inlineStr">
        <is>
          <t>Материалы</t>
        </is>
      </c>
      <c r="C88" s="243" t="n"/>
      <c r="D88" s="243" t="n"/>
      <c r="E88" s="243" t="n"/>
      <c r="F88" s="243" t="n"/>
      <c r="G88" s="243" t="n"/>
      <c r="H88" s="244" t="n"/>
      <c r="I88" s="231" t="n"/>
      <c r="J88" s="231" t="n"/>
    </row>
    <row r="89" ht="15.6" customFormat="1" customHeight="1" s="149">
      <c r="A89" s="214" t="n"/>
      <c r="B89" s="214" t="inlineStr">
        <is>
          <t>Основные Материалы</t>
        </is>
      </c>
      <c r="C89" s="243" t="n"/>
      <c r="D89" s="243" t="n"/>
      <c r="E89" s="243" t="n"/>
      <c r="F89" s="243" t="n"/>
      <c r="G89" s="243" t="n"/>
      <c r="H89" s="244" t="n"/>
      <c r="I89" s="231" t="n"/>
      <c r="J89" s="231" t="n"/>
    </row>
    <row r="90" ht="15.6" customFormat="1" customHeight="1" s="149">
      <c r="A90" s="214" t="n"/>
      <c r="B90" s="232" t="inlineStr">
        <is>
          <t>Итого основные Материалы</t>
        </is>
      </c>
      <c r="C90" s="243" t="n"/>
      <c r="D90" s="243" t="n"/>
      <c r="E90" s="243" t="n"/>
      <c r="F90" s="244" t="n"/>
      <c r="G90" s="45" t="n">
        <v>0</v>
      </c>
      <c r="H90" s="40" t="n">
        <v>0</v>
      </c>
      <c r="I90" s="231" t="n"/>
      <c r="J90" s="231" t="n">
        <v>0</v>
      </c>
    </row>
    <row r="91" ht="15.6" customFormat="1" customHeight="1" s="149">
      <c r="A91" s="214" t="n"/>
      <c r="B91" s="214" t="inlineStr">
        <is>
          <t>Итого прочие Материалы</t>
        </is>
      </c>
      <c r="C91" s="243" t="n"/>
      <c r="D91" s="243" t="n"/>
      <c r="E91" s="243" t="n"/>
      <c r="F91" s="244" t="n"/>
      <c r="G91" s="231" t="n">
        <v>0</v>
      </c>
      <c r="H91" s="40" t="n">
        <v>0</v>
      </c>
      <c r="I91" s="231" t="n"/>
      <c r="J91" s="231" t="n">
        <v>0</v>
      </c>
    </row>
    <row r="92" ht="15.6" customFormat="1" customHeight="1" s="149">
      <c r="A92" s="214" t="n"/>
      <c r="B92" s="214" t="inlineStr">
        <is>
          <t>Итого по разделу "Материалы"</t>
        </is>
      </c>
      <c r="C92" s="243" t="n"/>
      <c r="D92" s="243" t="n"/>
      <c r="E92" s="243" t="n"/>
      <c r="F92" s="244" t="n"/>
      <c r="G92" s="231">
        <f>G90+G91</f>
        <v/>
      </c>
      <c r="H92" s="40">
        <f>H90+H91</f>
        <v/>
      </c>
      <c r="I92" s="231" t="n"/>
      <c r="J92" s="231">
        <f>J90+J91</f>
        <v/>
      </c>
    </row>
    <row r="93" ht="15.6" customFormat="1" customHeight="1" s="149">
      <c r="A93" s="215" t="n"/>
      <c r="B93" s="236" t="n"/>
      <c r="C93" s="233" t="inlineStr">
        <is>
          <t>ИТОГО ПО РМ</t>
        </is>
      </c>
      <c r="D93" s="236" t="n"/>
      <c r="E93" s="236" t="n"/>
      <c r="F93" s="235" t="n"/>
      <c r="G93" s="235">
        <f>+G14+G80+G92</f>
        <v/>
      </c>
      <c r="H93" s="58" t="n"/>
      <c r="I93" s="231" t="n"/>
      <c r="J93" s="235">
        <f>+J14+J80+J92</f>
        <v/>
      </c>
    </row>
    <row r="94" ht="44.25" customFormat="1" customHeight="1" s="138">
      <c r="A94" s="178" t="n"/>
      <c r="B94" s="178" t="n"/>
      <c r="C94" s="193" t="inlineStr">
        <is>
          <t>ИТОГО ПО РМ
(с коэффициентом на демонтаж 0,7)</t>
        </is>
      </c>
      <c r="D94" s="178" t="n"/>
      <c r="E94" s="180" t="n"/>
      <c r="F94" s="181" t="n"/>
      <c r="G94" s="194">
        <f>G15+G81+G92</f>
        <v/>
      </c>
      <c r="H94" s="195" t="n"/>
      <c r="I94" s="186" t="n"/>
      <c r="J94" s="194">
        <f>J15+J81+J92</f>
        <v/>
      </c>
    </row>
    <row r="95" ht="15.6" customFormat="1" customHeight="1" s="149">
      <c r="A95" s="215" t="n"/>
      <c r="B95" s="236" t="n"/>
      <c r="C95" s="233" t="inlineStr">
        <is>
          <t>Накладные расходы</t>
        </is>
      </c>
      <c r="D95" s="60" t="n">
        <v>0.97194400881946</v>
      </c>
      <c r="E95" s="236" t="n"/>
      <c r="F95" s="235" t="n"/>
      <c r="G95" s="235">
        <f>(G14+G17)*D95</f>
        <v/>
      </c>
      <c r="H95" s="58" t="n"/>
      <c r="I95" s="231" t="n"/>
      <c r="J95" s="231">
        <f>(J14+J17)*D95</f>
        <v/>
      </c>
    </row>
    <row r="96" ht="37.5" customFormat="1" customHeight="1" s="138">
      <c r="A96" s="178" t="n"/>
      <c r="B96" s="178" t="n"/>
      <c r="C96" s="233" t="inlineStr">
        <is>
          <t>Накладные расходы 
(с коэффициентом на демонтаж 0,7)</t>
        </is>
      </c>
      <c r="D96" s="196">
        <f>ROUND(G96/(G$15+$G$18),2)</f>
        <v/>
      </c>
      <c r="E96" s="180" t="n"/>
      <c r="F96" s="181" t="n"/>
      <c r="G96" s="194">
        <f>G95*0.7</f>
        <v/>
      </c>
      <c r="H96" s="197" t="n"/>
      <c r="I96" s="186" t="n"/>
      <c r="J96" s="187">
        <f>ROUND(D96*(J15+J18),2)</f>
        <v/>
      </c>
    </row>
    <row r="97" ht="15.6" customFormat="1" customHeight="1" s="149">
      <c r="A97" s="215" t="n"/>
      <c r="B97" s="236" t="n"/>
      <c r="C97" s="233" t="inlineStr">
        <is>
          <t>Сметная прибыль</t>
        </is>
      </c>
      <c r="D97" s="60" t="n">
        <v>0.57650078412496</v>
      </c>
      <c r="E97" s="236" t="n"/>
      <c r="F97" s="235" t="n"/>
      <c r="G97" s="235">
        <f>(G14+G17)*D97</f>
        <v/>
      </c>
      <c r="H97" s="58" t="n"/>
      <c r="I97" s="231" t="n"/>
      <c r="J97" s="231">
        <f>(J14+J17)*D97</f>
        <v/>
      </c>
    </row>
    <row r="98" ht="37.5" customFormat="1" customHeight="1" s="138">
      <c r="A98" s="178" t="n"/>
      <c r="B98" s="178" t="n"/>
      <c r="C98" s="198" t="inlineStr">
        <is>
          <t>Сметная прибыль 
(с коэффициентом на демонтаж 0,7)</t>
        </is>
      </c>
      <c r="D98" s="196">
        <f>ROUND(G98/(G$15+G$18),2)</f>
        <v/>
      </c>
      <c r="E98" s="180" t="n"/>
      <c r="F98" s="181" t="n"/>
      <c r="G98" s="187">
        <f>G97*0.7</f>
        <v/>
      </c>
      <c r="H98" s="197" t="n"/>
      <c r="I98" s="186" t="n"/>
      <c r="J98" s="187">
        <f>ROUND(D98*(J15+J18),2)</f>
        <v/>
      </c>
    </row>
    <row r="99" ht="15.6" customFormat="1" customHeight="1" s="149">
      <c r="A99" s="215" t="n"/>
      <c r="B99" s="236" t="n"/>
      <c r="C99" s="233" t="inlineStr">
        <is>
          <t>Итого СМР (с НР и СП)</t>
        </is>
      </c>
      <c r="D99" s="236" t="n"/>
      <c r="E99" s="236" t="n"/>
      <c r="F99" s="235" t="n"/>
      <c r="G99" s="235">
        <f>G93+G95+G97</f>
        <v/>
      </c>
      <c r="H99" s="58" t="n"/>
      <c r="I99" s="231" t="n"/>
      <c r="J99" s="235">
        <f>J93+J95+J97</f>
        <v/>
      </c>
    </row>
    <row r="100" ht="42.75" customFormat="1" customHeight="1" s="138">
      <c r="A100" s="178" t="n"/>
      <c r="B100" s="178" t="n"/>
      <c r="C100" s="193" t="inlineStr">
        <is>
          <t>Итого СМР (с НР и СП) 
(с коэффициентом на демонтаж 0,7)</t>
        </is>
      </c>
      <c r="D100" s="178" t="n"/>
      <c r="E100" s="180" t="n"/>
      <c r="F100" s="181" t="n"/>
      <c r="G100" s="194">
        <f>G94+G96+G98</f>
        <v/>
      </c>
      <c r="H100" s="197" t="n"/>
      <c r="I100" s="186" t="n"/>
      <c r="J100" s="194">
        <f>ROUND((J94+J96+J98),2)</f>
        <v/>
      </c>
    </row>
    <row r="101" ht="15.6" customFormat="1" customHeight="1" s="149">
      <c r="A101" s="215" t="n"/>
      <c r="B101" s="236" t="n"/>
      <c r="C101" s="233" t="inlineStr">
        <is>
          <t>ВСЕГО СМР + ОБОРУДОВАНИЕ</t>
        </is>
      </c>
      <c r="D101" s="236" t="n"/>
      <c r="E101" s="236" t="n"/>
      <c r="F101" s="235" t="n"/>
      <c r="G101" s="235">
        <f>G86+G99</f>
        <v/>
      </c>
      <c r="H101" s="58" t="n"/>
      <c r="I101" s="231" t="n"/>
      <c r="J101" s="231">
        <f>J86+J99</f>
        <v/>
      </c>
    </row>
    <row r="102" ht="43.5" customFormat="1" customHeight="1" s="138">
      <c r="A102" s="178" t="n"/>
      <c r="B102" s="178" t="n"/>
      <c r="C102" s="193" t="inlineStr">
        <is>
          <t>ВСЕГО СМР + ОБОРУДОВАНИЕ 
(с коэффициентом на демонтаж 0,7)</t>
        </is>
      </c>
      <c r="D102" s="178" t="n"/>
      <c r="E102" s="180" t="n"/>
      <c r="F102" s="181" t="n"/>
      <c r="G102" s="194">
        <f>G86+G100</f>
        <v/>
      </c>
      <c r="H102" s="194" t="n"/>
      <c r="I102" s="194" t="n"/>
      <c r="J102" s="194">
        <f>J100+J86</f>
        <v/>
      </c>
    </row>
    <row r="103" ht="27.75" customFormat="1" customHeight="1" s="149">
      <c r="A103" s="215" t="n"/>
      <c r="B103" s="236" t="n"/>
      <c r="C103" s="233" t="inlineStr">
        <is>
          <t>ИТОГО ПОКАЗАТЕЛЬ НА ЕД. ИЗМ.</t>
        </is>
      </c>
      <c r="D103" s="236" t="inlineStr">
        <is>
          <t>м2</t>
        </is>
      </c>
      <c r="E103" s="199" t="n">
        <v>288</v>
      </c>
      <c r="F103" s="235" t="n"/>
      <c r="G103" s="235">
        <f>G102/E103</f>
        <v/>
      </c>
      <c r="H103" s="58" t="n"/>
      <c r="I103" s="231" t="n"/>
      <c r="J103" s="235">
        <f>J102/E103</f>
        <v/>
      </c>
    </row>
    <row r="104" ht="15.6" customFormat="1" customHeight="1" s="149">
      <c r="A104" s="149" t="n"/>
      <c r="B104" s="149" t="n"/>
      <c r="C104" s="149" t="n"/>
      <c r="E104" s="149" t="n"/>
      <c r="F104" s="92" t="n"/>
      <c r="G104" s="92" t="n"/>
      <c r="I104" s="92" t="n"/>
      <c r="J104" s="92" t="n"/>
    </row>
    <row r="105" ht="15.6" customFormat="1" customHeight="1" s="149">
      <c r="A105" s="149" t="n"/>
      <c r="B105" s="149" t="n"/>
      <c r="C105" s="149" t="n"/>
      <c r="E105" s="149" t="n"/>
      <c r="F105" s="92" t="n"/>
      <c r="G105" s="92" t="n"/>
      <c r="I105" s="92" t="n"/>
      <c r="J105" s="92" t="n"/>
    </row>
    <row r="106" ht="15.6" customFormat="1" customHeight="1" s="149">
      <c r="A106" s="99" t="n"/>
      <c r="B106" s="149" t="n"/>
      <c r="C106" s="149" t="n"/>
      <c r="E106" s="149" t="n"/>
      <c r="F106" s="92" t="n"/>
      <c r="G106" s="92" t="n"/>
      <c r="I106" s="92" t="n"/>
      <c r="J106" s="92" t="n"/>
    </row>
    <row r="107" ht="15.6" customFormat="1" customHeight="1" s="149">
      <c r="A107" s="149" t="n"/>
      <c r="B107" s="149" t="n"/>
      <c r="C107" s="149" t="n"/>
      <c r="E107" s="149" t="n"/>
      <c r="F107" s="92" t="n"/>
      <c r="G107" s="92" t="n"/>
      <c r="I107" s="92" t="n"/>
      <c r="J107" s="92" t="n"/>
    </row>
    <row r="108" ht="15.6" customFormat="1" customHeight="1" s="149">
      <c r="A108" s="149" t="n"/>
      <c r="B108" s="149" t="n"/>
      <c r="C108" s="149" t="n"/>
      <c r="E108" s="149" t="n"/>
      <c r="F108" s="92" t="n"/>
      <c r="G108" s="92" t="n"/>
      <c r="I108" s="92" t="n"/>
      <c r="J108" s="92" t="n"/>
    </row>
    <row r="109" ht="15.6" customFormat="1" customHeight="1" s="149">
      <c r="A109" s="99" t="n"/>
      <c r="B109" s="149" t="n"/>
      <c r="C109" s="149" t="n"/>
      <c r="E109" s="149" t="n"/>
      <c r="F109" s="92" t="n"/>
      <c r="G109" s="92" t="n"/>
      <c r="I109" s="92" t="n"/>
      <c r="J109" s="92" t="n"/>
    </row>
    <row r="110" ht="15.6" customFormat="1" customHeight="1" s="149">
      <c r="A110" s="149" t="n"/>
      <c r="B110" s="149" t="n"/>
      <c r="C110" s="149" t="n"/>
      <c r="E110" s="149" t="n"/>
      <c r="F110" s="92" t="n"/>
      <c r="G110" s="92" t="n"/>
      <c r="I110" s="92" t="n"/>
      <c r="J110" s="92" t="n"/>
    </row>
  </sheetData>
  <mergeCells count="25">
    <mergeCell ref="B91:F91"/>
    <mergeCell ref="H9:H10"/>
    <mergeCell ref="B90:F90"/>
    <mergeCell ref="H2:J2"/>
    <mergeCell ref="B20:H20"/>
    <mergeCell ref="B82:J82"/>
    <mergeCell ref="B89:H89"/>
    <mergeCell ref="C9:C10"/>
    <mergeCell ref="E9:E10"/>
    <mergeCell ref="B16:H16"/>
    <mergeCell ref="B83:J83"/>
    <mergeCell ref="B9:B10"/>
    <mergeCell ref="D9:D10"/>
    <mergeCell ref="B12:H12"/>
    <mergeCell ref="D6:J6"/>
    <mergeCell ref="F9:G9"/>
    <mergeCell ref="B92:F92"/>
    <mergeCell ref="A4:H4"/>
    <mergeCell ref="B88:H88"/>
    <mergeCell ref="A9:A10"/>
    <mergeCell ref="A6:C6"/>
    <mergeCell ref="B80:F80"/>
    <mergeCell ref="A7:C7"/>
    <mergeCell ref="B19:H19"/>
    <mergeCell ref="I9:J9"/>
  </mergeCells>
  <conditionalFormatting sqref="E13:E14">
    <cfRule type="expression" priority="1" dxfId="0" stopIfTrue="1">
      <formula>E13&gt;=1/10000</formula>
    </cfRule>
  </conditionalFormatting>
  <conditionalFormatting sqref="E16:E17">
    <cfRule type="expression" priority="2" dxfId="0" stopIfTrue="1">
      <formula>E13&gt;=1/10000</formula>
    </cfRule>
  </conditionalFormatting>
  <conditionalFormatting sqref="E19:E32">
    <cfRule type="expression" priority="3" dxfId="0" stopIfTrue="1">
      <formula>E13&gt;=1/10000</formula>
    </cfRule>
  </conditionalFormatting>
  <conditionalFormatting sqref="E34:E78">
    <cfRule type="expression" priority="4" dxfId="0" stopIfTrue="1">
      <formula>E13&gt;=1/10000</formula>
    </cfRule>
  </conditionalFormatting>
  <conditionalFormatting sqref="E80">
    <cfRule type="expression" priority="5" dxfId="0" stopIfTrue="1">
      <formula>E13&gt;=1/10000</formula>
    </cfRule>
  </conditionalFormatting>
  <conditionalFormatting sqref="E82:E93">
    <cfRule type="expression" priority="6" dxfId="0" stopIfTrue="1">
      <formula>E13&gt;=1/10000</formula>
    </cfRule>
  </conditionalFormatting>
  <conditionalFormatting sqref="E95">
    <cfRule type="expression" priority="7" dxfId="0" stopIfTrue="1">
      <formula>E13&gt;=1/10000</formula>
    </cfRule>
  </conditionalFormatting>
  <conditionalFormatting sqref="E97">
    <cfRule type="expression" priority="8" dxfId="0" stopIfTrue="1">
      <formula>E13&gt;=1/10000</formula>
    </cfRule>
  </conditionalFormatting>
  <conditionalFormatting sqref="E99">
    <cfRule type="expression" priority="9" dxfId="0" stopIfTrue="1">
      <formula>E13&gt;=1/10000</formula>
    </cfRule>
  </conditionalFormatting>
  <conditionalFormatting sqref="E101">
    <cfRule type="expression" priority="10" dxfId="0" stopIfTrue="1">
      <formula>E13&gt;=1/10000</formula>
    </cfRule>
  </conditionalFormatting>
  <conditionalFormatting sqref="E103:E110">
    <cfRule type="expression" priority="11" dxfId="0" stopIfTrue="1">
      <formula>E13&gt;=1/10000</formula>
    </cfRule>
  </conditionalFormatting>
  <conditionalFormatting sqref="E15">
    <cfRule type="expression" priority="12" dxfId="0" stopIfTrue="1">
      <formula>E15&gt;=1/10000</formula>
    </cfRule>
  </conditionalFormatting>
  <conditionalFormatting sqref="E18">
    <cfRule type="expression" priority="13" dxfId="0" stopIfTrue="1">
      <formula>E18&gt;=1/10000</formula>
    </cfRule>
  </conditionalFormatting>
  <conditionalFormatting sqref="E33">
    <cfRule type="expression" priority="14" dxfId="0" stopIfTrue="1">
      <formula>E33&gt;=1/10000</formula>
    </cfRule>
  </conditionalFormatting>
  <conditionalFormatting sqref="E79">
    <cfRule type="expression" priority="15" dxfId="0" stopIfTrue="1">
      <formula>E79&gt;=1/10000</formula>
    </cfRule>
  </conditionalFormatting>
  <conditionalFormatting sqref="E81">
    <cfRule type="expression" priority="16" dxfId="0" stopIfTrue="1">
      <formula>E81&gt;=1/10000</formula>
    </cfRule>
  </conditionalFormatting>
  <conditionalFormatting sqref="E94">
    <cfRule type="expression" priority="17" dxfId="0" stopIfTrue="1">
      <formula>E94&gt;=1/10000</formula>
    </cfRule>
  </conditionalFormatting>
  <conditionalFormatting sqref="E96">
    <cfRule type="expression" priority="18" dxfId="0" stopIfTrue="1">
      <formula>E96&gt;=1/10000</formula>
    </cfRule>
  </conditionalFormatting>
  <conditionalFormatting sqref="E98">
    <cfRule type="expression" priority="19" dxfId="0" stopIfTrue="1">
      <formula>E98&gt;=1/10000</formula>
    </cfRule>
  </conditionalFormatting>
  <conditionalFormatting sqref="E100">
    <cfRule type="expression" priority="20" dxfId="0" stopIfTrue="1">
      <formula>E100&gt;=1/10000</formula>
    </cfRule>
  </conditionalFormatting>
  <conditionalFormatting sqref="E102">
    <cfRule type="expression" priority="21" dxfId="0" stopIfTrue="1">
      <formula>E102&gt;=1/10000</formula>
    </cfRule>
  </conditionalFormatting>
  <printOptions gridLines="0" gridLinesSet="1"/>
  <pageMargins left="0.7" right="0.7" top="0.75" bottom="0.75" header="0.3" footer="0.3"/>
  <pageSetup orientation="portrait" paperSize="9" scale="53" fitToHeight="2" fitToWidth="0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view="pageBreakPreview" zoomScale="82" workbookViewId="0">
      <selection activeCell="G13" sqref="G13"/>
    </sheetView>
  </sheetViews>
  <sheetFormatPr baseColWidth="8" defaultColWidth="9.140625" defaultRowHeight="14.4" outlineLevelRow="0"/>
  <cols>
    <col width="5.5703125" customWidth="1" style="147" min="1" max="1"/>
    <col width="14.85546875" customWidth="1" style="147" min="2" max="2"/>
    <col width="39.140625" customWidth="1" style="147" min="3" max="3"/>
    <col width="8.42578125" customWidth="1" style="147" min="4" max="4"/>
    <col width="13.42578125" customWidth="1" style="147" min="5" max="5"/>
    <col width="12.42578125" customWidth="1" style="147" min="6" max="6"/>
    <col width="14.140625" customWidth="1" style="147" min="7" max="7"/>
    <col width="9.140625" customWidth="1" style="147" min="8" max="8"/>
  </cols>
  <sheetData>
    <row r="1" ht="15.6" customHeight="1" s="147">
      <c r="A1" s="212" t="inlineStr">
        <is>
          <t>Приложение №6</t>
        </is>
      </c>
    </row>
    <row r="2" ht="21.75" customHeight="1" s="147">
      <c r="A2" s="212" t="n"/>
      <c r="B2" s="212" t="n"/>
      <c r="C2" s="212" t="n"/>
      <c r="D2" s="212" t="n"/>
      <c r="E2" s="212" t="n"/>
      <c r="F2" s="212" t="n"/>
      <c r="G2" s="212" t="n"/>
    </row>
    <row r="3" ht="15.6" customHeight="1" s="147">
      <c r="A3" s="240" t="inlineStr">
        <is>
          <t>Расчет стоимости оборудования</t>
        </is>
      </c>
    </row>
    <row r="4" ht="25.5" customHeight="1" s="147">
      <c r="A4" s="221" t="inlineStr">
        <is>
          <t>Наименование разрабатываемого показателя УНЦ —  Демонтаж закрытого склада</t>
        </is>
      </c>
    </row>
    <row r="5" ht="15.6" customHeight="1" s="147">
      <c r="A5" s="149" t="n"/>
      <c r="B5" s="149" t="n"/>
      <c r="C5" s="149" t="n"/>
      <c r="D5" s="149" t="n"/>
      <c r="E5" s="149" t="n"/>
      <c r="F5" s="149" t="n"/>
      <c r="G5" s="149" t="n"/>
    </row>
    <row r="6" ht="30.2" customFormat="1" customHeight="1" s="149">
      <c r="A6" s="236" t="inlineStr">
        <is>
          <t>№ пп.</t>
        </is>
      </c>
      <c r="B6" s="236" t="inlineStr">
        <is>
          <t>Код ресурса</t>
        </is>
      </c>
      <c r="C6" s="236" t="inlineStr">
        <is>
          <t>Наименование</t>
        </is>
      </c>
      <c r="D6" s="236" t="inlineStr">
        <is>
          <t>Ед. изм.</t>
        </is>
      </c>
      <c r="E6" s="239" t="inlineStr">
        <is>
          <t>Кол-во единиц по проектным данным</t>
        </is>
      </c>
      <c r="F6" s="236" t="inlineStr">
        <is>
          <t>Сметная стоимость в ценах на 01.01.2000 (руб.)</t>
        </is>
      </c>
      <c r="G6" s="244" t="n"/>
    </row>
    <row r="7" ht="15.6" customFormat="1" customHeight="1" s="149">
      <c r="A7" s="246" t="n"/>
      <c r="B7" s="246" t="n"/>
      <c r="C7" s="246" t="n"/>
      <c r="D7" s="246" t="n"/>
      <c r="E7" s="246" t="n"/>
      <c r="F7" s="239" t="inlineStr">
        <is>
          <t>на ед. изм.</t>
        </is>
      </c>
      <c r="G7" s="239" t="inlineStr">
        <is>
          <t>общая</t>
        </is>
      </c>
    </row>
    <row r="8" ht="15.6" customFormat="1" customHeight="1" s="149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.6" customFormat="1" customHeight="1" s="149">
      <c r="A9" s="215" t="n"/>
      <c r="B9" s="233" t="inlineStr">
        <is>
          <t>ИНЖЕНЕРНОЕ ОБОРУДОВАНИЕ</t>
        </is>
      </c>
      <c r="C9" s="243" t="n"/>
      <c r="D9" s="243" t="n"/>
      <c r="E9" s="243" t="n"/>
      <c r="F9" s="243" t="n"/>
      <c r="G9" s="244" t="n"/>
    </row>
    <row r="10" ht="31.35" customFormat="1" customHeight="1" s="149">
      <c r="A10" s="236" t="n"/>
      <c r="B10" s="69" t="n"/>
      <c r="C10" s="233" t="inlineStr">
        <is>
          <t>ИТОГО ИНЖЕНЕРНОЕ ОБОРУДОВАНИЕ</t>
        </is>
      </c>
      <c r="D10" s="69" t="n"/>
      <c r="E10" s="72" t="n"/>
      <c r="F10" s="235" t="n"/>
      <c r="G10" s="235" t="n">
        <v>0</v>
      </c>
    </row>
    <row r="11" ht="15.6" customFormat="1" customHeight="1" s="149">
      <c r="A11" s="236" t="n"/>
      <c r="B11" s="233" t="inlineStr">
        <is>
          <t>ТЕХНОЛОГИЧЕСКОЕ ОБОРУДОВАНИЕ</t>
        </is>
      </c>
      <c r="C11" s="243" t="n"/>
      <c r="D11" s="243" t="n"/>
      <c r="E11" s="243" t="n"/>
      <c r="F11" s="243" t="n"/>
      <c r="G11" s="244" t="n"/>
    </row>
    <row r="12" ht="31.35" customFormat="1" customHeight="1" s="149">
      <c r="A12" s="236" t="n"/>
      <c r="B12" s="233" t="n"/>
      <c r="C12" s="233" t="inlineStr">
        <is>
          <t>ИТОГО ТЕХНОЛОГИЧЕСКОЕ ОБОРУДОВАНИЕ</t>
        </is>
      </c>
      <c r="D12" s="233" t="n"/>
      <c r="E12" s="234" t="n"/>
      <c r="F12" s="235" t="n"/>
      <c r="G12" s="235" t="n">
        <v>0</v>
      </c>
    </row>
    <row r="13" ht="15.6" customFormat="1" customHeight="1" s="149">
      <c r="A13" s="236" t="n"/>
      <c r="B13" s="233" t="n"/>
      <c r="C13" s="233" t="inlineStr">
        <is>
          <t>Итого по разделу "Оборудование"</t>
        </is>
      </c>
      <c r="D13" s="233" t="n"/>
      <c r="E13" s="234" t="n"/>
      <c r="F13" s="235" t="n"/>
      <c r="G13" s="235">
        <f>G12</f>
        <v/>
      </c>
    </row>
    <row r="14" ht="15.6" customFormat="1" customHeight="1" s="149"/>
    <row r="15" ht="15.6" customFormat="1" customHeight="1" s="149">
      <c r="A15" s="149" t="inlineStr">
        <is>
          <t>Составил ______________________        М.С. Колотиевская</t>
        </is>
      </c>
      <c r="B15" s="149" t="n"/>
      <c r="C15" s="149" t="n"/>
    </row>
    <row r="16" ht="15.6" customFormat="1" customHeight="1" s="149">
      <c r="A16" s="99" t="inlineStr">
        <is>
          <t xml:space="preserve">                         (подпись, инициалы, фамилия)</t>
        </is>
      </c>
      <c r="B16" s="149" t="n"/>
      <c r="C16" s="149" t="n"/>
    </row>
    <row r="17" ht="15.6" customFormat="1" customHeight="1" s="149">
      <c r="A17" s="149" t="n"/>
      <c r="B17" s="149" t="n"/>
      <c r="C17" s="149" t="n"/>
    </row>
    <row r="18" ht="15.6" customFormat="1" customHeight="1" s="149">
      <c r="A18" s="149" t="inlineStr">
        <is>
          <t>Проверил ______________________       М.С. Колотиевская</t>
        </is>
      </c>
      <c r="B18" s="149" t="n"/>
      <c r="C18" s="149" t="n"/>
    </row>
    <row r="19" ht="15.6" customFormat="1" customHeight="1" s="149">
      <c r="A19" s="99" t="inlineStr">
        <is>
          <t xml:space="preserve">                        (подпись, инициалы, фамилия)</t>
        </is>
      </c>
      <c r="B19" s="149" t="n"/>
      <c r="C19" s="149" t="n"/>
    </row>
    <row r="20" ht="15.6" customFormat="1" customHeight="1" s="14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D11" sqref="D11"/>
    </sheetView>
  </sheetViews>
  <sheetFormatPr baseColWidth="8" defaultColWidth="8.85546875" defaultRowHeight="14.4" outlineLevelRow="0"/>
  <cols>
    <col width="14.42578125" customWidth="1" style="147" min="1" max="1"/>
    <col width="29.5703125" customWidth="1" style="147" min="2" max="2"/>
    <col width="39.140625" customWidth="1" style="147" min="3" max="3"/>
    <col width="24.42578125" customWidth="1" style="147" min="4" max="4"/>
    <col width="8.85546875" customWidth="1" style="147" min="5" max="5"/>
  </cols>
  <sheetData>
    <row r="1">
      <c r="B1" s="133" t="n"/>
      <c r="C1" s="133" t="n"/>
      <c r="D1" s="130" t="inlineStr">
        <is>
          <t>Приложение №7</t>
        </is>
      </c>
    </row>
    <row r="2">
      <c r="A2" s="130" t="n"/>
      <c r="B2" s="130" t="n"/>
      <c r="C2" s="130" t="n"/>
      <c r="D2" s="130" t="n"/>
    </row>
    <row r="3" ht="24.75" customHeight="1" s="147">
      <c r="A3" s="237" t="inlineStr">
        <is>
          <t>Расчет показателя УНЦ</t>
        </is>
      </c>
    </row>
    <row r="4" ht="24.75" customHeight="1" s="147">
      <c r="A4" s="237" t="n"/>
      <c r="B4" s="237" t="n"/>
      <c r="C4" s="237" t="n"/>
      <c r="D4" s="237" t="n"/>
    </row>
    <row r="5" ht="24.6" customHeight="1" s="147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ОБ'!D6:J6</f>
        <v/>
      </c>
    </row>
    <row r="6" ht="19.9" customHeight="1" s="147">
      <c r="A6" s="238" t="inlineStr">
        <is>
          <t>Единица измерения  — 1 м2</t>
        </is>
      </c>
      <c r="D6" s="238" t="n"/>
    </row>
    <row r="7">
      <c r="A7" s="133" t="n"/>
      <c r="B7" s="133" t="n"/>
      <c r="C7" s="133" t="n"/>
      <c r="D7" s="133" t="n"/>
    </row>
    <row r="8" ht="14.45" customHeight="1" s="147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47">
      <c r="A9" s="246" t="n"/>
      <c r="B9" s="246" t="n"/>
      <c r="C9" s="246" t="n"/>
      <c r="D9" s="246" t="n"/>
    </row>
    <row r="10">
      <c r="A10" s="178" t="n">
        <v>1</v>
      </c>
      <c r="B10" s="178" t="n">
        <v>2</v>
      </c>
      <c r="C10" s="178" t="n">
        <v>3</v>
      </c>
      <c r="D10" s="178" t="n">
        <v>4</v>
      </c>
    </row>
    <row r="11" ht="41.45" customHeight="1" s="147">
      <c r="A11" s="178" t="inlineStr">
        <is>
          <t>М7-06</t>
        </is>
      </c>
      <c r="B11" s="178" t="inlineStr">
        <is>
          <t>УНЦ на демонтаж зданий и сооружений</t>
        </is>
      </c>
      <c r="C11" s="177" t="inlineStr">
        <is>
          <t>Демонтаж закрытого склада</t>
        </is>
      </c>
      <c r="D11" s="135">
        <f>'Прил.4 РМ'!C41/1000</f>
        <v/>
      </c>
      <c r="E11" s="127" t="n"/>
    </row>
    <row r="12">
      <c r="A12" s="136" t="n"/>
      <c r="B12" s="137" t="n"/>
      <c r="C12" s="136" t="n"/>
      <c r="D12" s="136" t="n"/>
    </row>
    <row r="13">
      <c r="A13" s="133" t="inlineStr">
        <is>
          <t>Составил ______________________      М.С. Колотиевская</t>
        </is>
      </c>
      <c r="B13" s="138" t="n"/>
      <c r="C13" s="138" t="n"/>
      <c r="D13" s="136" t="n"/>
    </row>
    <row r="14">
      <c r="A14" s="139" t="inlineStr">
        <is>
          <t xml:space="preserve">                         (подпись, инициалы, фамилия)</t>
        </is>
      </c>
      <c r="B14" s="138" t="n"/>
      <c r="C14" s="138" t="n"/>
      <c r="D14" s="136" t="n"/>
    </row>
    <row r="15">
      <c r="A15" s="133" t="n"/>
      <c r="B15" s="138" t="n"/>
      <c r="C15" s="138" t="n"/>
      <c r="D15" s="136" t="n"/>
    </row>
    <row r="16">
      <c r="A16" s="133" t="inlineStr">
        <is>
          <t>Проверил ______________________        А.В. Костянецкая</t>
        </is>
      </c>
      <c r="B16" s="138" t="n"/>
      <c r="C16" s="138" t="n"/>
      <c r="D16" s="136" t="n"/>
    </row>
    <row r="17">
      <c r="A17" s="139" t="inlineStr">
        <is>
          <t xml:space="preserve">                        (подпись, инициалы, фамилия)</t>
        </is>
      </c>
      <c r="B17" s="138" t="n"/>
      <c r="C17" s="138" t="n"/>
      <c r="D17" s="13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topLeftCell="A6" workbookViewId="0">
      <selection activeCell="H15" sqref="H15"/>
    </sheetView>
  </sheetViews>
  <sheetFormatPr baseColWidth="8" defaultColWidth="9.140625" defaultRowHeight="14.4" outlineLevelRow="0"/>
  <cols>
    <col width="9.140625" customWidth="1" style="147" min="1" max="1"/>
    <col width="40.5703125" customWidth="1" style="147" min="2" max="2"/>
    <col width="37" customWidth="1" style="147" min="3" max="3"/>
    <col width="32" customWidth="1" style="147" min="4" max="4"/>
    <col width="9.140625" customWidth="1" style="147" min="5" max="5"/>
  </cols>
  <sheetData>
    <row r="4" ht="15.6" customHeight="1" s="147">
      <c r="B4" s="202" t="inlineStr">
        <is>
          <t>Приложение № 10</t>
        </is>
      </c>
    </row>
    <row r="5" ht="18" customHeight="1" s="147">
      <c r="B5" s="8" t="n"/>
    </row>
    <row r="6" ht="15.6" customHeight="1" s="147">
      <c r="B6" s="240" t="inlineStr">
        <is>
          <t>Используемые индексы изменений сметной стоимости и нормы сопутствующих затрат</t>
        </is>
      </c>
    </row>
    <row r="7" ht="18" customHeight="1" s="147">
      <c r="B7" s="117" t="n"/>
    </row>
    <row r="8" ht="46.9" customFormat="1" customHeight="1" s="149">
      <c r="B8" s="239" t="inlineStr">
        <is>
          <t>Наименование индекса / норм сопутствующих затрат</t>
        </is>
      </c>
      <c r="C8" s="239" t="inlineStr">
        <is>
          <t>Дата применения и обоснование индекса / норм сопутствующих затрат</t>
        </is>
      </c>
      <c r="D8" s="239" t="inlineStr">
        <is>
          <t>Размер индекса / норма сопутствующих затрат</t>
        </is>
      </c>
    </row>
    <row r="9" ht="15.6" customFormat="1" customHeight="1" s="149">
      <c r="B9" s="239" t="n">
        <v>1</v>
      </c>
      <c r="C9" s="239" t="n">
        <v>2</v>
      </c>
      <c r="D9" s="239" t="n">
        <v>3</v>
      </c>
    </row>
    <row r="10" ht="31.35" customFormat="1" customHeight="1" s="149">
      <c r="B10" s="239" t="inlineStr">
        <is>
          <t xml:space="preserve">Индекс изменения сметной стоимости на 1 квартал 2023 года. ОЗП </t>
        </is>
      </c>
      <c r="C10" s="239" t="inlineStr">
        <is>
          <t>Письмо Минстроя России от 30.03.2023г. №17106-ИФ/09  прил.1</t>
        </is>
      </c>
      <c r="D10" s="239" t="n">
        <v>44.29</v>
      </c>
    </row>
    <row r="11" ht="31.35" customFormat="1" customHeight="1" s="149">
      <c r="B11" s="239" t="inlineStr">
        <is>
          <t>Индекс изменения сметной стоимости на 1 квартал 2023 года. ЭМ</t>
        </is>
      </c>
      <c r="C11" s="239" t="inlineStr">
        <is>
          <t>Письмо Минстроя России от 30.03.2023г. №17106-ИФ/09  прил.1</t>
        </is>
      </c>
      <c r="D11" s="239" t="n">
        <v>13.47</v>
      </c>
    </row>
    <row r="12" ht="31.35" customFormat="1" customHeight="1" s="149">
      <c r="B12" s="239" t="inlineStr">
        <is>
          <t>Индекс изменения сметной стоимости на 1 квартал 2023 года. МАТ</t>
        </is>
      </c>
      <c r="C12" s="239" t="inlineStr">
        <is>
          <t>Письмо Минстроя России от 30.03.2023г. №17106-ИФ/09  прил.1</t>
        </is>
      </c>
      <c r="D12" s="239" t="n">
        <v>8.039999999999999</v>
      </c>
    </row>
    <row r="13" ht="31.35" customFormat="1" customHeight="1" s="149">
      <c r="B13" s="239" t="inlineStr">
        <is>
          <t>Индекс изменения сметной стоимости на 1 квартал 2023 года. ОБ</t>
        </is>
      </c>
      <c r="C13" s="105" t="inlineStr">
        <is>
          <t>Письмо Минстроя России от 23.02.2023г. №9791-ИФ/09 прил.6</t>
        </is>
      </c>
      <c r="D13" s="239" t="n">
        <v>6.26</v>
      </c>
    </row>
    <row r="14" ht="78" customFormat="1" customHeight="1" s="149">
      <c r="B14" s="239" t="inlineStr">
        <is>
          <t>Временные здания и сооружения</t>
        </is>
      </c>
      <c r="C14" s="23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" customFormat="1" customHeight="1" s="149">
      <c r="B15" s="239" t="inlineStr">
        <is>
          <t>Дополнительные затраты при производстве строительно-монтажных работ в зимнее время</t>
        </is>
      </c>
      <c r="C15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3" t="n"/>
    </row>
    <row r="16" ht="31.35" customFormat="1" customHeight="1" s="149">
      <c r="B16" s="239" t="inlineStr">
        <is>
          <t>Пусконаладочные работы</t>
        </is>
      </c>
      <c r="C16" s="239" t="n"/>
      <c r="D16" s="239" t="inlineStr">
        <is>
          <t>Расчёт</t>
        </is>
      </c>
    </row>
    <row r="17" ht="31.35" customFormat="1" customHeight="1" s="149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" t="n">
        <v>0.0214</v>
      </c>
    </row>
    <row r="18" ht="15.6" customFormat="1" customHeight="1" s="149">
      <c r="B18" s="239" t="inlineStr">
        <is>
          <t>Авторский надзор</t>
        </is>
      </c>
      <c r="C18" s="239" t="inlineStr">
        <is>
          <t>Приказ от 4.08.2020 № 421/пр п.173</t>
        </is>
      </c>
      <c r="D18" s="12" t="n">
        <v>0.002</v>
      </c>
    </row>
    <row r="19" ht="15.6" customFormat="1" customHeight="1" s="149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" t="n">
        <v>0.03</v>
      </c>
    </row>
    <row r="20" ht="15.6" customFormat="1" customHeight="1" s="149">
      <c r="B20" s="201" t="n"/>
    </row>
    <row r="21" ht="15.6" customFormat="1" customHeight="1" s="149">
      <c r="B21" s="201" t="n"/>
    </row>
    <row r="22" ht="15.6" customFormat="1" customHeight="1" s="149">
      <c r="B22" s="201" t="n"/>
    </row>
    <row r="23" ht="15.6" customFormat="1" customHeight="1" s="149">
      <c r="B23" s="201" t="n"/>
    </row>
    <row r="24" ht="15.6" customFormat="1" customHeight="1" s="149"/>
    <row r="25" ht="15.6" customFormat="1" customHeight="1" s="149"/>
    <row r="26" ht="15.6" customFormat="1" customHeight="1" s="149">
      <c r="B26" s="149" t="inlineStr">
        <is>
          <t>Составил ______________________        М.С. Колотиевская</t>
        </is>
      </c>
      <c r="C26" s="149" t="n"/>
    </row>
    <row r="27" ht="15.6" customFormat="1" customHeight="1" s="149">
      <c r="B27" s="99" t="inlineStr">
        <is>
          <t xml:space="preserve">                         (подпись, инициалы, фамилия)</t>
        </is>
      </c>
      <c r="C27" s="149" t="n"/>
    </row>
    <row r="28" ht="15.6" customFormat="1" customHeight="1" s="149">
      <c r="B28" s="149" t="n"/>
      <c r="C28" s="149" t="n"/>
    </row>
    <row r="29" ht="15.6" customFormat="1" customHeight="1" s="149">
      <c r="B29" s="149" t="inlineStr">
        <is>
          <t>Проверил ______________________        М.С. Колотиевская</t>
        </is>
      </c>
      <c r="C29" s="149" t="n"/>
    </row>
    <row r="30" ht="15.6" customFormat="1" customHeight="1" s="149">
      <c r="B30" s="99" t="inlineStr">
        <is>
          <t xml:space="preserve">                        (подпись, инициалы, фамилия)</t>
        </is>
      </c>
      <c r="C30" s="149" t="n"/>
    </row>
    <row r="31" ht="15.6" customFormat="1" customHeight="1" s="149"/>
    <row r="32" ht="15.6" customFormat="1" customHeight="1" s="149"/>
  </sheetData>
  <mergeCells count="2"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147" min="2" max="2"/>
    <col width="13" customWidth="1" style="147" min="3" max="3"/>
    <col width="22.85546875" customWidth="1" style="147" min="4" max="4"/>
    <col width="21.5703125" customWidth="1" style="147" min="5" max="5"/>
    <col width="43.85546875" customWidth="1" style="147" min="6" max="6"/>
  </cols>
  <sheetData>
    <row r="1" s="147"/>
    <row r="2" ht="17.25" customHeight="1" s="147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147"/>
    <row r="4" ht="18" customHeight="1" s="147">
      <c r="A4" s="148" t="inlineStr">
        <is>
          <t>Составлен в уровне цен на 01.01.2023 г.</t>
        </is>
      </c>
      <c r="B4" s="149" t="n"/>
      <c r="C4" s="149" t="n"/>
      <c r="D4" s="149" t="n"/>
      <c r="E4" s="149" t="n"/>
      <c r="F4" s="149" t="n"/>
      <c r="G4" s="149" t="n"/>
    </row>
    <row r="5" ht="15.75" customHeight="1" s="147">
      <c r="A5" s="150" t="inlineStr">
        <is>
          <t>№ пп.</t>
        </is>
      </c>
      <c r="B5" s="150" t="inlineStr">
        <is>
          <t>Наименование элемента</t>
        </is>
      </c>
      <c r="C5" s="150" t="inlineStr">
        <is>
          <t>Обозначение</t>
        </is>
      </c>
      <c r="D5" s="150" t="inlineStr">
        <is>
          <t>Формула</t>
        </is>
      </c>
      <c r="E5" s="150" t="inlineStr">
        <is>
          <t>Величина элемента</t>
        </is>
      </c>
      <c r="F5" s="150" t="inlineStr">
        <is>
          <t>Наименования обосновывающих документов</t>
        </is>
      </c>
      <c r="G5" s="149" t="n"/>
    </row>
    <row r="6" ht="15.75" customHeight="1" s="147">
      <c r="A6" s="150" t="n">
        <v>1</v>
      </c>
      <c r="B6" s="150" t="n">
        <v>2</v>
      </c>
      <c r="C6" s="150" t="n">
        <v>3</v>
      </c>
      <c r="D6" s="150" t="n">
        <v>4</v>
      </c>
      <c r="E6" s="150" t="n">
        <v>5</v>
      </c>
      <c r="F6" s="150" t="n">
        <v>6</v>
      </c>
      <c r="G6" s="149" t="n"/>
    </row>
    <row r="7" ht="110.25" customHeight="1" s="147">
      <c r="A7" s="151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154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9" t="n"/>
    </row>
    <row r="8" ht="31.5" customHeight="1" s="147">
      <c r="A8" s="151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55">
        <f>1973/12</f>
        <v/>
      </c>
      <c r="F8" s="193" t="inlineStr">
        <is>
          <t>Производственный календарь 2023 год
(40-часов.неделя)</t>
        </is>
      </c>
      <c r="G8" s="158" t="n"/>
    </row>
    <row r="9" ht="15.75" customHeight="1" s="147">
      <c r="A9" s="151" t="inlineStr">
        <is>
          <t>1.3</t>
        </is>
      </c>
      <c r="B9" s="193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55" t="n">
        <v>1</v>
      </c>
      <c r="F9" s="193" t="n"/>
      <c r="G9" s="158" t="n"/>
    </row>
    <row r="10" ht="15.75" customHeight="1" s="147">
      <c r="A10" s="151" t="inlineStr">
        <is>
          <t>1.4</t>
        </is>
      </c>
      <c r="B10" s="193" t="inlineStr">
        <is>
          <t>Средний разряд работ</t>
        </is>
      </c>
      <c r="C10" s="239" t="n"/>
      <c r="D10" s="239" t="n"/>
      <c r="E10" s="253" t="n">
        <v>3.3</v>
      </c>
      <c r="F10" s="193" t="inlineStr">
        <is>
          <t>РТМ</t>
        </is>
      </c>
      <c r="G10" s="158" t="n"/>
    </row>
    <row r="11" ht="78.75" customHeight="1" s="147">
      <c r="A11" s="151" t="inlineStr">
        <is>
          <t>1.5</t>
        </is>
      </c>
      <c r="B11" s="193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254" t="n">
        <v>1.232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9" t="n"/>
    </row>
    <row r="12" ht="78.75" customHeight="1" s="147">
      <c r="A12" s="151" t="inlineStr">
        <is>
          <t>1.6</t>
        </is>
      </c>
      <c r="B12" s="220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255" t="n">
        <v>1.139</v>
      </c>
      <c r="F12" s="2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7">
      <c r="A13" s="164" t="inlineStr">
        <is>
          <t>1.7</t>
        </is>
      </c>
      <c r="B13" s="165" t="inlineStr">
        <is>
          <t>Размер средств на оплату труда рабочих-строителей в текущем уровне цен (ФОТр.тек.), руб/чел.-ч</t>
        </is>
      </c>
      <c r="C13" s="206" t="inlineStr">
        <is>
          <t>ФОТр.тек.</t>
        </is>
      </c>
      <c r="D13" s="206" t="inlineStr">
        <is>
          <t>(С1ср/tср*КТ*Т*Кув)*Кинф</t>
        </is>
      </c>
      <c r="E13" s="167">
        <f>((E7*E9/E8)*E11)*E12</f>
        <v/>
      </c>
      <c r="F13" s="16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9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2023-08-25T11:34:24Z</dcterms:created>
  <dcterms:modified xsi:type="dcterms:W3CDTF">2025-01-24T12:12:20Z</dcterms:modified>
  <cp:lastModifiedBy>user22</cp:lastModifiedBy>
</cp:coreProperties>
</file>