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38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табл'!$A$1:$H$32</definedName>
    <definedName name="_xlnm.Print_Area" localSheetId="1">'Прил.2 Расч стоим'!$A$1:$K$54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5">
    <numFmt numFmtId="164" formatCode="0.0%"/>
    <numFmt numFmtId="165" formatCode="_-* #,##0.0_-;\-* #,##0.0_-;_-* &quot;-&quot;??_-;_-@_-"/>
    <numFmt numFmtId="166" formatCode="#,##0.0"/>
    <numFmt numFmtId="167" formatCode="#,##0.000"/>
    <numFmt numFmtId="168" formatCode="0.0000"/>
  </numFmts>
  <fonts count="12">
    <font>
      <name val="Calibri"/>
      <strike val="0"/>
      <color rgb="FF000000"/>
      <sz val="11"/>
    </font>
    <font>
      <name val="Times New Roman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2"/>
    </font>
    <font>
      <name val="Arial"/>
      <strike val="0"/>
      <color rgb="FF000000"/>
      <sz val="10"/>
    </font>
    <font>
      <name val="Arial"/>
      <strike val="0"/>
      <color rgb="FF000000"/>
      <sz val="11"/>
    </font>
    <font>
      <name val="Arial"/>
      <b val="1"/>
      <strike val="0"/>
      <color rgb="FF000000"/>
      <sz val="10"/>
    </font>
    <font>
      <name val="Arial"/>
      <strike val="0"/>
      <color rgb="FF000000"/>
      <sz val="9"/>
    </font>
    <font>
      <name val="Arial"/>
      <strike val="0"/>
      <color rgb="FF000000"/>
      <sz val="8"/>
    </font>
    <font>
      <name val="Times New Roman"/>
      <strike val="0"/>
      <color rgb="FF0000FF"/>
      <sz val="12"/>
      <u val="single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5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vertical="center" wrapText="1"/>
    </xf>
    <xf numFmtId="0" fontId="1" fillId="0" borderId="4" applyAlignment="1" pivotButton="0" quotePrefix="0" xfId="0">
      <alignment horizontal="justify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vertical="center" wrapText="1"/>
    </xf>
    <xf numFmtId="14" fontId="1" fillId="0" borderId="1" pivotButton="0" quotePrefix="0" xfId="0"/>
    <xf numFmtId="43" fontId="1" fillId="0" borderId="1" pivotButton="0" quotePrefix="0" xfId="0"/>
    <xf numFmtId="43" fontId="1" fillId="0" borderId="1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0" fontId="1" fillId="0" borderId="1" applyAlignment="1" pivotButton="0" quotePrefix="0" xfId="0">
      <alignment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5" fillId="0" borderId="4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left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4" fontId="6" fillId="0" borderId="1" applyAlignment="1" pivotButton="0" quotePrefix="0" xfId="0">
      <alignment horizontal="right" vertical="center" wrapText="1"/>
    </xf>
    <xf numFmtId="10" fontId="6" fillId="0" borderId="4" applyAlignment="1" pivotButton="0" quotePrefix="0" xfId="0">
      <alignment horizontal="right" vertical="center" wrapText="1"/>
    </xf>
    <xf numFmtId="0" fontId="7" fillId="0" borderId="1" pivotButton="0" quotePrefix="0" xfId="0"/>
    <xf numFmtId="2" fontId="8" fillId="0" borderId="1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 wrapText="1"/>
    </xf>
    <xf numFmtId="4" fontId="6" fillId="0" borderId="3" applyAlignment="1" pivotButton="0" quotePrefix="0" xfId="0">
      <alignment horizontal="right" vertical="center" wrapText="1"/>
    </xf>
    <xf numFmtId="10" fontId="6" fillId="0" borderId="9" applyAlignment="1" pivotButton="0" quotePrefix="0" xfId="0">
      <alignment horizontal="right" vertical="center" wrapText="1"/>
    </xf>
    <xf numFmtId="4" fontId="6" fillId="0" borderId="9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9" fontId="1" fillId="0" borderId="1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43" fontId="1" fillId="0" borderId="1" pivotButton="0" quotePrefix="0" xfId="0"/>
    <xf numFmtId="43" fontId="1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0" fontId="0" fillId="0" borderId="14" pivotButton="0" quotePrefix="0" xfId="0"/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2">
    <dxf>
      <numFmt numFmtId="164" formatCode="#,##0.0000"/>
      <border/>
    </dxf>
    <dxf>
      <numFmt numFmtId="164" formatCode="#,##0.0000"/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M32"/>
  <sheetViews>
    <sheetView showGridLines="1" showRowColHeaders="1" tabSelected="0" view="pageBreakPreview" zoomScale="55" zoomScaleNormal="55" workbookViewId="0">
      <selection activeCell="D16" sqref="D16"/>
    </sheetView>
  </sheetViews>
  <sheetFormatPr baseColWidth="8" defaultColWidth="9.140625" defaultRowHeight="14.4" outlineLevelRow="0"/>
  <cols>
    <col width="9.140625" customWidth="1" style="86" min="1" max="1"/>
    <col width="9.140625" customWidth="1" style="86" min="2" max="2"/>
    <col width="36.85546875" customWidth="1" style="86" min="3" max="3"/>
    <col width="36.42578125" customWidth="1" style="86" min="4" max="4"/>
    <col width="36.42578125" customWidth="1" style="86" min="5" max="5"/>
    <col width="30.28515625" customWidth="1" style="86" min="6" max="6"/>
    <col width="36.42578125" customWidth="1" style="86" min="7" max="7"/>
    <col width="36.42578125" customWidth="1" style="86" min="8" max="8"/>
    <col width="9.140625" customWidth="1" style="86" min="9" max="9"/>
  </cols>
  <sheetData>
    <row r="3">
      <c r="B3" s="109" t="inlineStr">
        <is>
          <t>Приложение № 1</t>
        </is>
      </c>
    </row>
    <row r="4">
      <c r="B4" s="144" t="inlineStr">
        <is>
          <t>Сравнительная таблица отбора объекта-представителя</t>
        </is>
      </c>
    </row>
    <row r="5">
      <c r="B5" s="2" t="n"/>
      <c r="C5" s="2" t="n"/>
      <c r="D5" s="2" t="n"/>
      <c r="E5" s="2" t="n"/>
      <c r="F5" s="2" t="n"/>
      <c r="G5" s="2" t="n"/>
    </row>
    <row r="6">
      <c r="B6" s="2" t="n"/>
      <c r="C6" s="2" t="n"/>
      <c r="D6" s="2" t="n"/>
      <c r="E6" s="2" t="n"/>
      <c r="F6" s="2" t="n"/>
      <c r="G6" s="2" t="n"/>
    </row>
    <row r="7">
      <c r="B7" s="111" t="inlineStr">
        <is>
          <t>Наименование разрабатываемого показателя УНЦ —   Демонтаж резервуара накопителя</t>
        </is>
      </c>
      <c r="I7" s="4" t="n"/>
    </row>
    <row r="8" ht="31.7" customHeight="1" s="84">
      <c r="B8" s="111" t="inlineStr">
        <is>
          <t>Сопоставимый уровень цен: базовый уровень цен</t>
        </is>
      </c>
    </row>
    <row r="9">
      <c r="B9" s="111" t="inlineStr">
        <is>
          <t>Единица измерения  — м3</t>
        </is>
      </c>
      <c r="I9" s="4" t="n"/>
    </row>
    <row r="10">
      <c r="B10" s="111" t="n"/>
    </row>
    <row r="11">
      <c r="B11" s="143" t="inlineStr">
        <is>
          <t>№ п/п</t>
        </is>
      </c>
      <c r="C11" s="143" t="inlineStr">
        <is>
          <t>Параметр</t>
        </is>
      </c>
      <c r="D11" s="131" t="inlineStr">
        <is>
          <t>Объект-представитель 1</t>
        </is>
      </c>
      <c r="E11" s="143" t="inlineStr">
        <is>
          <t>Объект-представитель 2</t>
        </is>
      </c>
      <c r="F11" s="165" t="n"/>
      <c r="G11" s="143" t="inlineStr">
        <is>
          <t>Объект-представитель 3</t>
        </is>
      </c>
      <c r="H11" s="143" t="inlineStr">
        <is>
          <t>Объект-представитель 4</t>
        </is>
      </c>
      <c r="I11" s="4" t="n"/>
    </row>
    <row r="12" ht="31.7" customHeight="1" s="84">
      <c r="B12" s="143" t="n">
        <v>1</v>
      </c>
      <c r="C12" s="131" t="inlineStr">
        <is>
          <t>Наименование объекта-представителя</t>
        </is>
      </c>
      <c r="D12" s="131" t="inlineStr">
        <is>
          <t>Строительство ВЛ 110 кВ, ПС 110/35/6 кВ «Верховье» (для технологического присоединения объектов нефтедобычи Ярегского нефтетитанового месторождения)</t>
        </is>
      </c>
      <c r="E12" s="143" t="inlineStr">
        <is>
          <t>Комплексная реконструкция подстанции Тея 220/6 кВ</t>
        </is>
      </c>
      <c r="F12" s="165" t="n"/>
      <c r="G12" s="131" t="inlineStr">
        <is>
          <t>Сооружение ПС 220 кВ "Хованская"</t>
        </is>
      </c>
      <c r="H12" s="131" t="inlineStr">
        <is>
          <t>ПС 220 кВ Восточная промзона с заходами ВЛ 220 кВ</t>
        </is>
      </c>
    </row>
    <row r="13" ht="31.35" customHeight="1" s="84">
      <c r="B13" s="143" t="n">
        <v>2</v>
      </c>
      <c r="C13" s="131" t="inlineStr">
        <is>
          <t>Наименование субъекта Российской Федерации</t>
        </is>
      </c>
      <c r="D13" s="131" t="inlineStr">
        <is>
          <t>Республика Коми</t>
        </is>
      </c>
      <c r="E13" s="143" t="inlineStr">
        <is>
          <t>Республика Хакассия</t>
        </is>
      </c>
      <c r="F13" s="165" t="n"/>
      <c r="G13" s="131" t="inlineStr">
        <is>
          <t>г.Москва</t>
        </is>
      </c>
      <c r="H13" s="131" t="inlineStr">
        <is>
          <t>Краснодарский край</t>
        </is>
      </c>
    </row>
    <row r="14">
      <c r="B14" s="143" t="n">
        <v>3</v>
      </c>
      <c r="C14" s="131" t="inlineStr">
        <is>
          <t>Климатический район и подрайон</t>
        </is>
      </c>
      <c r="D14" s="131" t="inlineStr">
        <is>
          <t>IВ</t>
        </is>
      </c>
      <c r="E14" s="143" t="inlineStr">
        <is>
          <t>IВ (сейсмика 7 баллов)</t>
        </is>
      </c>
      <c r="F14" s="165" t="n"/>
      <c r="G14" s="131" t="inlineStr">
        <is>
          <t>IIВ</t>
        </is>
      </c>
      <c r="H14" s="131" t="inlineStr">
        <is>
          <t>IIIБ</t>
        </is>
      </c>
    </row>
    <row r="15">
      <c r="B15" s="143" t="n">
        <v>4</v>
      </c>
      <c r="C15" s="131" t="inlineStr">
        <is>
          <t>Мощность объекта</t>
        </is>
      </c>
      <c r="D15" s="131" t="inlineStr">
        <is>
          <t>3 м3</t>
        </is>
      </c>
      <c r="E15" s="131" t="inlineStr">
        <is>
          <t>2*150 м3</t>
        </is>
      </c>
      <c r="F15" s="131" t="inlineStr">
        <is>
          <t>50 м3</t>
        </is>
      </c>
      <c r="G15" s="131" t="inlineStr">
        <is>
          <t>2*150 м3</t>
        </is>
      </c>
      <c r="H15" s="131" t="inlineStr">
        <is>
          <t xml:space="preserve"> 2*320 м3</t>
        </is>
      </c>
      <c r="J15" s="86" t="n"/>
      <c r="K15" s="86" t="n"/>
      <c r="L15" s="86" t="n"/>
      <c r="M15" s="86" t="n"/>
    </row>
    <row r="16" ht="249.6" customHeight="1" s="84">
      <c r="B16" s="143" t="n">
        <v>5</v>
      </c>
      <c r="C16" s="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1" t="inlineStr">
        <is>
          <t>Резервуар для сбора стоков (осветленных вод) объемом 3(м3). Резервуар подземный, неутепленный, выполняется полносборным из ж/б элементов по серии 3.900-3 в.1/82. Внутренний диаметр колец – 2м; высота в свету – 1.8м</t>
        </is>
      </c>
      <c r="E16" s="131" t="inlineStr">
        <is>
          <t>Резервуар для воды в кол-ве 2шт объемом 150(м3) каждый, размерами в осях 6х9м, высотой 3,2м до низа ребристых плит. Конструктивно решается в сборно-монолитном исполнении: днище и стены-монолитные, плиты покрытия-ребристые по серии 1.442.1-5.94. Резервуар снабжен лазом и камерой приборов, выполненных из сборных элементов по серии 3.900.1-14 вып.1. Резервуар выполняется подземно-надземным, с утеплением и обваловкой грунтом надземной части</t>
        </is>
      </c>
      <c r="F16" s="131" t="inlineStr">
        <is>
          <t xml:space="preserve">Резервуар для воды в кол-ве 1 шт объемом 50(м3) </t>
        </is>
      </c>
      <c r="G16" s="131" t="inlineStr">
        <is>
          <t xml:space="preserve">Резервуар-накопитель ливневых стоков объемом 150(м3), подземный, неутепленный. Резервуар выполняется из монолитного железобетона; покрытие представляет собой ж/б плиту по стальным двутавровым балкам. Камера приборов и лаз выполняются из сборных ж/б элементов по серии 3.900.1-14 </t>
        </is>
      </c>
      <c r="H16" s="131" t="inlineStr">
        <is>
          <t>Резервуар-накопитель ливневых стоков объемом 320(м3), подземный, неутепленный. Конструктивно решается в сборно-монолитном исполнении: днище и стены-монолитные, плиты покрытия-ребристые по серии 1.442.1-5.94 в.1. Лазы(люки) и камеры датчиков выполнены из сборных элементов по серии 3.900.1-14 вып.1</t>
        </is>
      </c>
      <c r="J16" s="86" t="n"/>
      <c r="K16" s="86" t="n"/>
      <c r="M16" s="86" t="n"/>
    </row>
    <row r="17" ht="78" customHeight="1" s="84">
      <c r="B17" s="143" t="n">
        <v>6</v>
      </c>
      <c r="C17" s="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3" t="inlineStr">
        <is>
          <t>15,589/102,7 ТЕР республики Коми на 3 квартал 2014</t>
        </is>
      </c>
      <c r="E17" s="143" t="inlineStr">
        <is>
          <t>884,844/7087,6 ТЕР Республика Хакасия  4 квартал 2018</t>
        </is>
      </c>
      <c r="F17" s="143" t="inlineStr">
        <is>
          <t>359/2875 ТЕР Республика Хакасия  4 квартал 2018</t>
        </is>
      </c>
      <c r="G17" s="143" t="inlineStr">
        <is>
          <t>/3 569, 5 ТСН июль 2016</t>
        </is>
      </c>
      <c r="H17" s="143" t="inlineStr">
        <is>
          <t xml:space="preserve"> 870,738/5529,2 ТЕР Краснодарский край 4 квартал 2016</t>
        </is>
      </c>
      <c r="J17" s="86" t="n"/>
      <c r="K17" s="86" t="n"/>
      <c r="L17" s="86" t="n"/>
      <c r="M17" s="86" t="n"/>
    </row>
    <row r="18">
      <c r="B18" s="59" t="inlineStr">
        <is>
          <t>6.1</t>
        </is>
      </c>
      <c r="C18" s="131" t="inlineStr">
        <is>
          <t>строительно-монтажные работы</t>
        </is>
      </c>
      <c r="D18" s="143" t="inlineStr">
        <is>
          <t>15,589/102,7</t>
        </is>
      </c>
      <c r="E18" s="143" t="inlineStr">
        <is>
          <t>885,1624/7090</t>
        </is>
      </c>
      <c r="F18" s="143" t="inlineStr">
        <is>
          <t>359/2875</t>
        </is>
      </c>
      <c r="G18" s="143" t="inlineStr">
        <is>
          <t>/3 569, 5</t>
        </is>
      </c>
      <c r="H18" s="143" t="inlineStr">
        <is>
          <t>870,738/5529,2</t>
        </is>
      </c>
      <c r="J18" s="86" t="n"/>
      <c r="K18" s="86" t="n"/>
      <c r="L18" s="86" t="n"/>
      <c r="M18" s="86" t="n"/>
    </row>
    <row r="19" ht="15.75" customHeight="1" s="84">
      <c r="B19" s="59" t="inlineStr">
        <is>
          <t>6.2</t>
        </is>
      </c>
      <c r="C19" s="131" t="inlineStr">
        <is>
          <t>оборудование и инвентарь</t>
        </is>
      </c>
      <c r="D19" s="131" t="n"/>
      <c r="E19" s="131" t="n"/>
      <c r="F19" s="131" t="n"/>
      <c r="G19" s="131" t="n"/>
      <c r="H19" s="131" t="n"/>
    </row>
    <row r="20" ht="16.5" customHeight="1" s="84">
      <c r="B20" s="59" t="inlineStr">
        <is>
          <t>6.3</t>
        </is>
      </c>
      <c r="C20" s="131" t="inlineStr">
        <is>
          <t>пусконаладочные работы</t>
        </is>
      </c>
      <c r="D20" s="131" t="n"/>
      <c r="E20" s="131" t="n"/>
      <c r="F20" s="131" t="n"/>
      <c r="G20" s="131" t="n"/>
      <c r="H20" s="131" t="n"/>
    </row>
    <row r="21" ht="35.45" customHeight="1" s="84">
      <c r="B21" s="59" t="inlineStr">
        <is>
          <t>6.4</t>
        </is>
      </c>
      <c r="C21" s="60" t="inlineStr">
        <is>
          <t>прочие и лимитированные затраты</t>
        </is>
      </c>
      <c r="D21" s="131" t="n"/>
      <c r="E21" s="131" t="n"/>
      <c r="F21" s="131" t="n"/>
      <c r="G21" s="131" t="n"/>
      <c r="H21" s="131" t="n"/>
    </row>
    <row r="22">
      <c r="B22" s="143" t="n">
        <v>7</v>
      </c>
      <c r="C22" s="60" t="inlineStr">
        <is>
          <t>Сопоставимый уровень цен</t>
        </is>
      </c>
      <c r="D22" s="143" t="inlineStr">
        <is>
          <t>4 квартал 2018</t>
        </is>
      </c>
      <c r="E22" s="143" t="inlineStr">
        <is>
          <t>4 квартал 2018</t>
        </is>
      </c>
      <c r="F22" s="143" t="inlineStr">
        <is>
          <t>4 квартал 2018</t>
        </is>
      </c>
      <c r="G22" s="143" t="inlineStr">
        <is>
          <t>4 квартал 2018</t>
        </is>
      </c>
      <c r="H22" s="143" t="inlineStr">
        <is>
          <t>4 квартал 2018</t>
        </is>
      </c>
    </row>
    <row r="23" ht="109.15" customHeight="1" s="84">
      <c r="B23" s="143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2" t="n">
        <v>130.0182</v>
      </c>
      <c r="E23" s="15" t="n">
        <v>3902.11956</v>
      </c>
      <c r="F23" s="62" t="n">
        <v>2875</v>
      </c>
      <c r="G23" s="62" t="n">
        <v>4068.66</v>
      </c>
      <c r="H23" s="62" t="n">
        <v>6192.704</v>
      </c>
    </row>
    <row r="24" ht="46.9" customHeight="1" s="84">
      <c r="B24" s="143" t="n">
        <v>9</v>
      </c>
      <c r="C24" s="11" t="inlineStr">
        <is>
          <t>Приведенная сметная стоимость на единицу мощности, тыс. руб. (строка 9/строку 4)</t>
        </is>
      </c>
      <c r="D24" s="63" t="n">
        <v>43.3394</v>
      </c>
      <c r="E24" s="64" t="n">
        <v>13.0070652</v>
      </c>
      <c r="F24" s="63" t="n">
        <v>57.5</v>
      </c>
      <c r="G24" s="63" t="n">
        <v>13.5622</v>
      </c>
      <c r="H24" s="63" t="n">
        <v>9.6761</v>
      </c>
    </row>
    <row r="25" ht="114" customHeight="1" s="84">
      <c r="B25" s="143" t="n">
        <v>10</v>
      </c>
      <c r="C25" s="131" t="inlineStr">
        <is>
          <t>Примечание</t>
        </is>
      </c>
      <c r="D25" s="131" t="n"/>
      <c r="E25" s="131" t="inlineStr">
        <is>
          <t>Выбран объектом представителем, так как чаще встречается по объему. Исключены затраты на корректровку по транспортировке  свыше 30 км</t>
        </is>
      </c>
      <c r="F25" s="131" t="n"/>
      <c r="G25" s="131" t="n"/>
      <c r="H25" s="11" t="n"/>
    </row>
    <row r="26">
      <c r="B26" s="6" t="n"/>
      <c r="C26" s="7" t="n"/>
      <c r="D26" s="7" t="n"/>
      <c r="E26" s="7" t="n"/>
      <c r="F26" s="7" t="n"/>
      <c r="G26" s="7" t="n"/>
      <c r="H26" s="7" t="n"/>
    </row>
    <row r="27" ht="37.5" customHeight="1" s="84">
      <c r="B27" s="8" t="n"/>
    </row>
    <row r="28">
      <c r="B28" s="86" t="inlineStr">
        <is>
          <t>Составил ______________________        М.С. Колотиевская</t>
        </is>
      </c>
    </row>
    <row r="29">
      <c r="B29" s="8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М.С. Колотиевская</t>
        </is>
      </c>
    </row>
    <row r="32">
      <c r="B32" s="8" t="inlineStr">
        <is>
          <t xml:space="preserve">                        (подпись, инициалы, фамилия)</t>
        </is>
      </c>
    </row>
  </sheetData>
  <mergeCells count="9">
    <mergeCell ref="B3:G3"/>
    <mergeCell ref="E12:F12"/>
    <mergeCell ref="E11:F11"/>
    <mergeCell ref="B9:G9"/>
    <mergeCell ref="B8:G8"/>
    <mergeCell ref="B4:G4"/>
    <mergeCell ref="E13:F13"/>
    <mergeCell ref="E14:F14"/>
    <mergeCell ref="B7:G7"/>
  </mergeCells>
  <printOptions gridLines="0" gridLinesSet="1"/>
  <pageMargins left="0.7" right="0.7" top="0.75" bottom="0.75" header="0.3" footer="0.3"/>
  <pageSetup orientation="portrait" paperSize="9" scale="3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P54"/>
  <sheetViews>
    <sheetView showGridLines="1" showRowColHeaders="1" tabSelected="0" view="pageBreakPreview" zoomScale="70" zoomScaleNormal="70" workbookViewId="0">
      <selection activeCell="B14" sqref="B14:E14"/>
    </sheetView>
  </sheetViews>
  <sheetFormatPr baseColWidth="8" defaultColWidth="9.140625" defaultRowHeight="14.4" outlineLevelRow="0"/>
  <cols>
    <col width="5.42578125" customWidth="1" style="86" min="1" max="1"/>
    <col width="9.140625" customWidth="1" style="86" min="2" max="2"/>
    <col width="35.42578125" customWidth="1" style="86" min="3" max="3"/>
    <col width="13.85546875" customWidth="1" style="86" min="4" max="4"/>
    <col width="24.85546875" customWidth="1" style="86" min="5" max="5"/>
    <col width="12.5703125" customWidth="1" style="86" min="6" max="6"/>
    <col width="14.85546875" customWidth="1" style="86" min="7" max="7"/>
    <col width="16.5703125" customWidth="1" style="86" min="8" max="8"/>
    <col width="13" customWidth="1" style="86" min="9" max="9"/>
    <col width="13" customWidth="1" style="86" min="10" max="10"/>
    <col width="18" customWidth="1" style="86" min="11" max="11"/>
    <col width="9.140625" customWidth="1" style="86" min="12" max="12"/>
  </cols>
  <sheetData>
    <row r="3">
      <c r="B3" s="109" t="inlineStr">
        <is>
          <t>Приложение № 2</t>
        </is>
      </c>
    </row>
    <row r="4">
      <c r="B4" s="144" t="inlineStr">
        <is>
          <t>Расчет стоимости основных видов работ для выбора объекта-представителя</t>
        </is>
      </c>
    </row>
    <row r="5"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B6" s="111" t="inlineStr">
        <is>
          <t>Наименование разрабатываемого показателя УНЦ -   Демонтаж резервуара накопителя</t>
        </is>
      </c>
      <c r="L6" s="4" t="n"/>
    </row>
    <row r="7">
      <c r="B7" s="111" t="inlineStr">
        <is>
          <t>Единица измерения  — м3</t>
        </is>
      </c>
      <c r="L7" s="4" t="n"/>
    </row>
    <row r="8">
      <c r="B8" s="111" t="n"/>
    </row>
    <row r="9" ht="15.75" customHeight="1" s="84">
      <c r="B9" s="143" t="inlineStr">
        <is>
          <t>№ п/п</t>
        </is>
      </c>
      <c r="C9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3" t="inlineStr">
        <is>
          <t>Объект-представитель 1</t>
        </is>
      </c>
      <c r="E9" s="166" t="n"/>
      <c r="F9" s="166" t="n"/>
      <c r="G9" s="166" t="n"/>
      <c r="H9" s="166" t="n"/>
      <c r="I9" s="166" t="n"/>
      <c r="J9" s="165" t="n"/>
    </row>
    <row r="10" ht="15.75" customHeight="1" s="84">
      <c r="B10" s="167" t="n"/>
      <c r="C10" s="167" t="n"/>
      <c r="D10" s="143" t="inlineStr">
        <is>
          <t>Номер сметы</t>
        </is>
      </c>
      <c r="E10" s="143" t="inlineStr">
        <is>
          <t>Наименование сметы</t>
        </is>
      </c>
      <c r="F10" s="143" t="inlineStr">
        <is>
          <t>Сметная стоимость в уровне цен 4 кв. 2018 г., тыс. руб.</t>
        </is>
      </c>
      <c r="G10" s="166" t="n"/>
      <c r="H10" s="166" t="n"/>
      <c r="I10" s="166" t="n"/>
      <c r="J10" s="165" t="n"/>
    </row>
    <row r="11" ht="31.35" customHeight="1" s="84">
      <c r="B11" s="168" t="n"/>
      <c r="C11" s="168" t="n"/>
      <c r="D11" s="168" t="n"/>
      <c r="E11" s="168" t="n"/>
      <c r="F11" s="143" t="inlineStr">
        <is>
          <t>Строительные работы</t>
        </is>
      </c>
      <c r="G11" s="143" t="inlineStr">
        <is>
          <t>Монтажные работы</t>
        </is>
      </c>
      <c r="H11" s="143" t="inlineStr">
        <is>
          <t>Оборудование</t>
        </is>
      </c>
      <c r="I11" s="143" t="inlineStr">
        <is>
          <t>Прочее</t>
        </is>
      </c>
      <c r="J11" s="143" t="inlineStr">
        <is>
          <t>Всего</t>
        </is>
      </c>
      <c r="M11" s="86" t="n"/>
      <c r="N11" s="86" t="n"/>
      <c r="O11" s="86" t="n"/>
      <c r="P11" s="86" t="n"/>
    </row>
    <row r="12" ht="66.2" customHeight="1" s="84">
      <c r="B12" s="134" t="n"/>
      <c r="C12" s="131" t="inlineStr">
        <is>
          <t>Устройство резервуаров</t>
        </is>
      </c>
      <c r="D12" s="65" t="inlineStr">
        <is>
          <t xml:space="preserve"> 06-03-03</t>
        </is>
      </c>
      <c r="E12" s="133" t="inlineStr">
        <is>
          <t>Резервуар для сбора стоков</t>
        </is>
      </c>
      <c r="F12" s="169" t="n">
        <v>102.7</v>
      </c>
      <c r="G12" s="169" t="n"/>
      <c r="H12" s="169" t="n"/>
      <c r="I12" s="169" t="n"/>
      <c r="J12" s="170" t="n">
        <v>102.7</v>
      </c>
    </row>
    <row r="13" ht="15.75" customHeight="1" s="84">
      <c r="B13" s="171" t="inlineStr">
        <is>
          <t>Всего по объекту:</t>
        </is>
      </c>
      <c r="C13" s="166" t="n"/>
      <c r="D13" s="166" t="n"/>
      <c r="E13" s="165" t="n"/>
      <c r="F13" s="172" t="n">
        <v>102.7</v>
      </c>
      <c r="G13" s="172" t="n">
        <v>0</v>
      </c>
      <c r="H13" s="172" t="n">
        <v>0</v>
      </c>
      <c r="I13" s="172" t="n">
        <v>0</v>
      </c>
      <c r="J13" s="172" t="n">
        <v>102.7</v>
      </c>
    </row>
    <row r="14" ht="28.5" customHeight="1" s="84">
      <c r="B14" s="171" t="inlineStr">
        <is>
          <t>Всего по объекту в сопоставимом уровне цен 4 кв. 2018г:</t>
        </is>
      </c>
      <c r="C14" s="166" t="n"/>
      <c r="D14" s="166" t="n"/>
      <c r="E14" s="165" t="n"/>
      <c r="F14" s="172" t="n">
        <v>130.0182</v>
      </c>
      <c r="G14" s="172" t="n">
        <v>0</v>
      </c>
      <c r="H14" s="172" t="n">
        <v>0</v>
      </c>
      <c r="I14" s="172" t="n">
        <v>0</v>
      </c>
      <c r="J14" s="170" t="n">
        <v>130.0182</v>
      </c>
    </row>
    <row r="15">
      <c r="B15" s="111" t="n"/>
    </row>
    <row r="16" ht="15.75" customHeight="1" s="84">
      <c r="B16" s="143" t="inlineStr">
        <is>
          <t>№ п/п</t>
        </is>
      </c>
      <c r="C16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143" t="inlineStr">
        <is>
          <t>Объект-представитель 2</t>
        </is>
      </c>
      <c r="E16" s="166" t="n"/>
      <c r="F16" s="166" t="n"/>
      <c r="G16" s="166" t="n"/>
      <c r="H16" s="166" t="n"/>
      <c r="I16" s="166" t="n"/>
      <c r="J16" s="165" t="n"/>
    </row>
    <row r="17" ht="15.75" customHeight="1" s="84">
      <c r="B17" s="167" t="n"/>
      <c r="C17" s="167" t="n"/>
      <c r="D17" s="143" t="inlineStr">
        <is>
          <t>Номер сметы</t>
        </is>
      </c>
      <c r="E17" s="143" t="inlineStr">
        <is>
          <t>Наименование сметы</t>
        </is>
      </c>
      <c r="F17" s="143" t="inlineStr">
        <is>
          <t>Сметная стоимость в уровне цен 4 кв. 2018 г., тыс. руб.</t>
        </is>
      </c>
      <c r="G17" s="166" t="n"/>
      <c r="H17" s="166" t="n"/>
      <c r="I17" s="166" t="n"/>
      <c r="J17" s="165" t="n"/>
    </row>
    <row r="18" ht="31.35" customHeight="1" s="84">
      <c r="B18" s="168" t="n"/>
      <c r="C18" s="168" t="n"/>
      <c r="D18" s="168" t="n"/>
      <c r="E18" s="168" t="n"/>
      <c r="F18" s="143" t="inlineStr">
        <is>
          <t>Строительные работы</t>
        </is>
      </c>
      <c r="G18" s="143" t="inlineStr">
        <is>
          <t>Монтажные работы</t>
        </is>
      </c>
      <c r="H18" s="143" t="inlineStr">
        <is>
          <t>Оборудование</t>
        </is>
      </c>
      <c r="I18" s="143" t="inlineStr">
        <is>
          <t>Прочее</t>
        </is>
      </c>
      <c r="J18" s="143" t="inlineStr">
        <is>
          <t>Всего</t>
        </is>
      </c>
    </row>
    <row r="19" ht="66.2" customHeight="1" s="84">
      <c r="B19" s="131" t="n">
        <v>1</v>
      </c>
      <c r="C19" s="131" t="inlineStr">
        <is>
          <t>Устройство резервуаров</t>
        </is>
      </c>
      <c r="D19" s="69" t="inlineStr">
        <is>
          <t xml:space="preserve"> 06-04-01</t>
        </is>
      </c>
      <c r="E19" s="131" t="inlineStr">
        <is>
          <t>Резервуар для воды V=150м3 (2 шт.)</t>
        </is>
      </c>
      <c r="F19" s="45" t="n">
        <v>3902.11956</v>
      </c>
      <c r="G19" s="131" t="n"/>
      <c r="H19" s="131" t="n"/>
      <c r="I19" s="131" t="n"/>
      <c r="J19" s="131" t="n">
        <v>3902.11956</v>
      </c>
    </row>
    <row r="20" ht="15.75" customHeight="1" s="84">
      <c r="B20" s="171" t="inlineStr">
        <is>
          <t>Всего по объекту:</t>
        </is>
      </c>
      <c r="C20" s="166" t="n"/>
      <c r="D20" s="166" t="n"/>
      <c r="E20" s="165" t="n"/>
      <c r="F20" s="172" t="n">
        <v>3902.11956</v>
      </c>
      <c r="G20" s="172" t="n">
        <v>0</v>
      </c>
      <c r="H20" s="172" t="n">
        <v>0</v>
      </c>
      <c r="I20" s="172" t="n">
        <v>0</v>
      </c>
      <c r="J20" s="172" t="n">
        <v>3902.11956</v>
      </c>
    </row>
    <row r="21" ht="28.5" customHeight="1" s="84">
      <c r="B21" s="171" t="inlineStr">
        <is>
          <t>Всего по объекту в сопоставимом уровне цен 4 кв. 2018г:</t>
        </is>
      </c>
      <c r="C21" s="166" t="n"/>
      <c r="D21" s="166" t="n"/>
      <c r="E21" s="165" t="n"/>
      <c r="F21" s="172" t="n">
        <v>3902.11956</v>
      </c>
      <c r="G21" s="172" t="n">
        <v>0</v>
      </c>
      <c r="H21" s="172" t="n">
        <v>0</v>
      </c>
      <c r="I21" s="172" t="n">
        <v>0</v>
      </c>
      <c r="J21" s="170" t="n">
        <v>3902.11956</v>
      </c>
    </row>
    <row r="23" ht="15.75" customHeight="1" s="84">
      <c r="B23" s="143" t="inlineStr">
        <is>
          <t>№ п/п</t>
        </is>
      </c>
      <c r="C23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3" s="143" t="inlineStr">
        <is>
          <t>Объект-представитель 2</t>
        </is>
      </c>
      <c r="E23" s="166" t="n"/>
      <c r="F23" s="166" t="n"/>
      <c r="G23" s="166" t="n"/>
      <c r="H23" s="166" t="n"/>
      <c r="I23" s="166" t="n"/>
      <c r="J23" s="165" t="n"/>
    </row>
    <row r="24" ht="15.75" customHeight="1" s="84">
      <c r="B24" s="167" t="n"/>
      <c r="C24" s="167" t="n"/>
      <c r="D24" s="143" t="inlineStr">
        <is>
          <t>Номер сметы</t>
        </is>
      </c>
      <c r="E24" s="143" t="inlineStr">
        <is>
          <t>Наименование сметы</t>
        </is>
      </c>
      <c r="F24" s="143" t="inlineStr">
        <is>
          <t>Сметная стоимость в уровне цен 4 кв. 2018 г., тыс. руб.</t>
        </is>
      </c>
      <c r="G24" s="166" t="n"/>
      <c r="H24" s="166" t="n"/>
      <c r="I24" s="166" t="n"/>
      <c r="J24" s="165" t="n"/>
    </row>
    <row r="25" ht="31.35" customHeight="1" s="84">
      <c r="B25" s="168" t="n"/>
      <c r="C25" s="168" t="n"/>
      <c r="D25" s="168" t="n"/>
      <c r="E25" s="168" t="n"/>
      <c r="F25" s="143" t="inlineStr">
        <is>
          <t>Строительные работы</t>
        </is>
      </c>
      <c r="G25" s="143" t="inlineStr">
        <is>
          <t>Монтажные работы</t>
        </is>
      </c>
      <c r="H25" s="143" t="inlineStr">
        <is>
          <t>Оборудование</t>
        </is>
      </c>
      <c r="I25" s="143" t="inlineStr">
        <is>
          <t>Прочее</t>
        </is>
      </c>
      <c r="J25" s="143" t="inlineStr">
        <is>
          <t>Всего</t>
        </is>
      </c>
    </row>
    <row r="26" ht="31.35" customHeight="1" s="84">
      <c r="B26" s="131" t="n">
        <v>1</v>
      </c>
      <c r="C26" s="131" t="inlineStr">
        <is>
          <t>Устройство резервуаров</t>
        </is>
      </c>
      <c r="D26" s="69" t="inlineStr">
        <is>
          <t xml:space="preserve"> 06-04-01</t>
        </is>
      </c>
      <c r="E26" s="131" t="inlineStr">
        <is>
          <t>Резервуар для воды V=50м3 (1 шт.)</t>
        </is>
      </c>
      <c r="F26" s="45" t="n">
        <v>2875</v>
      </c>
      <c r="G26" s="131" t="n"/>
      <c r="H26" s="131" t="n"/>
      <c r="I26" s="131" t="n"/>
      <c r="J26" s="131" t="n">
        <v>2875</v>
      </c>
    </row>
    <row r="27" ht="15.75" customHeight="1" s="84">
      <c r="B27" s="171" t="inlineStr">
        <is>
          <t>Всего по объекту:</t>
        </is>
      </c>
      <c r="C27" s="166" t="n"/>
      <c r="D27" s="166" t="n"/>
      <c r="E27" s="165" t="n"/>
      <c r="F27" s="172" t="n">
        <v>2875</v>
      </c>
      <c r="G27" s="172" t="n">
        <v>0</v>
      </c>
      <c r="H27" s="172" t="n">
        <v>0</v>
      </c>
      <c r="I27" s="172" t="n">
        <v>0</v>
      </c>
      <c r="J27" s="172" t="n">
        <v>2875</v>
      </c>
    </row>
    <row r="28" ht="15.75" customHeight="1" s="84">
      <c r="B28" s="171" t="inlineStr">
        <is>
          <t>Всего по объекту в сопоставимом уровне цен 4 кв. 2018г:</t>
        </is>
      </c>
      <c r="C28" s="166" t="n"/>
      <c r="D28" s="166" t="n"/>
      <c r="E28" s="165" t="n"/>
      <c r="F28" s="172" t="n">
        <v>2875</v>
      </c>
      <c r="G28" s="172" t="n">
        <v>0</v>
      </c>
      <c r="H28" s="172" t="n">
        <v>0</v>
      </c>
      <c r="I28" s="172" t="n">
        <v>0</v>
      </c>
      <c r="J28" s="170" t="n">
        <v>2875</v>
      </c>
    </row>
    <row r="33" ht="15.75" customHeight="1" s="84">
      <c r="B33" s="143" t="inlineStr">
        <is>
          <t>№ п/п</t>
        </is>
      </c>
      <c r="C33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33" s="143" t="inlineStr">
        <is>
          <t>Объект-представитель 3</t>
        </is>
      </c>
      <c r="E33" s="166" t="n"/>
      <c r="F33" s="166" t="n"/>
      <c r="G33" s="166" t="n"/>
      <c r="H33" s="166" t="n"/>
      <c r="I33" s="166" t="n"/>
      <c r="J33" s="165" t="n"/>
    </row>
    <row r="34" ht="15.75" customHeight="1" s="84">
      <c r="B34" s="167" t="n"/>
      <c r="C34" s="167" t="n"/>
      <c r="D34" s="143" t="inlineStr">
        <is>
          <t>Номер сметы</t>
        </is>
      </c>
      <c r="E34" s="143" t="inlineStr">
        <is>
          <t>Наименование сметы</t>
        </is>
      </c>
      <c r="F34" s="143" t="inlineStr">
        <is>
          <t>Сметная стоимость в уровне цен 4 кв. 2018 г., тыс. руб.</t>
        </is>
      </c>
      <c r="G34" s="166" t="n"/>
      <c r="H34" s="166" t="n"/>
      <c r="I34" s="166" t="n"/>
      <c r="J34" s="165" t="n"/>
    </row>
    <row r="35" ht="31.35" customHeight="1" s="84">
      <c r="B35" s="168" t="n"/>
      <c r="C35" s="168" t="n"/>
      <c r="D35" s="168" t="n"/>
      <c r="E35" s="168" t="n"/>
      <c r="F35" s="143" t="inlineStr">
        <is>
          <t>Строительные работы</t>
        </is>
      </c>
      <c r="G35" s="143" t="inlineStr">
        <is>
          <t>Монтажные работы</t>
        </is>
      </c>
      <c r="H35" s="143" t="inlineStr">
        <is>
          <t>Оборудование</t>
        </is>
      </c>
      <c r="I35" s="143" t="inlineStr">
        <is>
          <t>Прочее</t>
        </is>
      </c>
      <c r="J35" s="143" t="inlineStr">
        <is>
          <t>Всего</t>
        </is>
      </c>
    </row>
    <row r="36" ht="71.45" customHeight="1" s="84">
      <c r="B36" s="131" t="n"/>
      <c r="C36" s="131" t="inlineStr">
        <is>
          <t>Устройство резервуаров</t>
        </is>
      </c>
      <c r="D36" s="86" t="inlineStr">
        <is>
          <t xml:space="preserve"> 06-04-02</t>
        </is>
      </c>
      <c r="E36" s="69" t="inlineStr">
        <is>
          <t>Резервуар - накопитель ливневых стоков V=150 м3, Сооружения м сети очистных стоков</t>
        </is>
      </c>
      <c r="F36" s="45" t="n">
        <v>3569</v>
      </c>
      <c r="G36" s="131" t="n"/>
      <c r="H36" s="131" t="n"/>
      <c r="I36" s="131" t="n"/>
      <c r="J36" s="131" t="n">
        <v>3569</v>
      </c>
    </row>
    <row r="37" ht="15.75" customHeight="1" s="84">
      <c r="B37" s="171" t="inlineStr">
        <is>
          <t>Всего по объекту:</t>
        </is>
      </c>
      <c r="C37" s="166" t="n"/>
      <c r="D37" s="166" t="n"/>
      <c r="E37" s="165" t="n"/>
      <c r="F37" s="172" t="n">
        <v>3569</v>
      </c>
      <c r="G37" s="172" t="n">
        <v>0</v>
      </c>
      <c r="H37" s="172" t="n">
        <v>0</v>
      </c>
      <c r="I37" s="172" t="n">
        <v>0</v>
      </c>
      <c r="J37" s="172" t="n">
        <v>3569</v>
      </c>
    </row>
    <row r="38" ht="28.5" customHeight="1" s="84">
      <c r="B38" s="171" t="inlineStr">
        <is>
          <t>Всего по объекту в сопоставимом уровне цен 4 кв. 2018г:</t>
        </is>
      </c>
      <c r="C38" s="166" t="n"/>
      <c r="D38" s="166" t="n"/>
      <c r="E38" s="165" t="n"/>
      <c r="F38" s="172" t="n">
        <v>4068.66</v>
      </c>
      <c r="G38" s="172" t="n">
        <v>0</v>
      </c>
      <c r="H38" s="172" t="n">
        <v>0</v>
      </c>
      <c r="I38" s="172" t="n">
        <v>0</v>
      </c>
      <c r="J38" s="170" t="n">
        <v>4068.66</v>
      </c>
    </row>
    <row r="41" ht="15.75" customHeight="1" s="84">
      <c r="B41" s="143" t="inlineStr">
        <is>
          <t>№ п/п</t>
        </is>
      </c>
      <c r="C41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41" s="143" t="inlineStr">
        <is>
          <t>Объект-представитель 4</t>
        </is>
      </c>
      <c r="E41" s="166" t="n"/>
      <c r="F41" s="166" t="n"/>
      <c r="G41" s="166" t="n"/>
      <c r="H41" s="166" t="n"/>
      <c r="I41" s="166" t="n"/>
      <c r="J41" s="165" t="n"/>
    </row>
    <row r="42" ht="15.75" customHeight="1" s="84">
      <c r="B42" s="167" t="n"/>
      <c r="C42" s="167" t="n"/>
      <c r="D42" s="143" t="inlineStr">
        <is>
          <t>Номер сметы</t>
        </is>
      </c>
      <c r="E42" s="143" t="inlineStr">
        <is>
          <t>Наименование сметы</t>
        </is>
      </c>
      <c r="F42" s="143" t="inlineStr">
        <is>
          <t>Сметная стоимость в уровне цен 4 кв. 2018 г., тыс. руб.</t>
        </is>
      </c>
      <c r="G42" s="166" t="n"/>
      <c r="H42" s="166" t="n"/>
      <c r="I42" s="166" t="n"/>
      <c r="J42" s="165" t="n"/>
    </row>
    <row r="43" ht="31.35" customHeight="1" s="84">
      <c r="B43" s="168" t="n"/>
      <c r="C43" s="168" t="n"/>
      <c r="D43" s="168" t="n"/>
      <c r="E43" s="168" t="n"/>
      <c r="F43" s="143" t="inlineStr">
        <is>
          <t>Строительные работы</t>
        </is>
      </c>
      <c r="G43" s="143" t="inlineStr">
        <is>
          <t>Монтажные работы</t>
        </is>
      </c>
      <c r="H43" s="143" t="inlineStr">
        <is>
          <t>Оборудование</t>
        </is>
      </c>
      <c r="I43" s="143" t="inlineStr">
        <is>
          <t>Прочее</t>
        </is>
      </c>
      <c r="J43" s="143" t="inlineStr">
        <is>
          <t>Всего</t>
        </is>
      </c>
    </row>
    <row r="44" ht="83.25" customHeight="1" s="84">
      <c r="B44" s="131" t="n"/>
      <c r="C44" s="131" t="inlineStr">
        <is>
          <t>Устройство резервуаров</t>
        </is>
      </c>
      <c r="D44" s="69" t="inlineStr">
        <is>
          <t xml:space="preserve"> 06-07-01</t>
        </is>
      </c>
      <c r="E44" s="131" t="inlineStr">
        <is>
          <t xml:space="preserve">Строительные решения. Резервуары ливневых стоков V=320 м3 (2 шт) </t>
        </is>
      </c>
      <c r="F44" s="170" t="n">
        <v>5529.2</v>
      </c>
      <c r="G44" s="170" t="n"/>
      <c r="H44" s="170" t="n"/>
      <c r="I44" s="170" t="n"/>
      <c r="J44" s="170" t="n">
        <v>5529.2</v>
      </c>
    </row>
    <row r="45" ht="15.75" customHeight="1" s="84">
      <c r="B45" s="171" t="inlineStr">
        <is>
          <t>Всего по объекту:</t>
        </is>
      </c>
      <c r="C45" s="166" t="n"/>
      <c r="D45" s="166" t="n"/>
      <c r="E45" s="165" t="n"/>
      <c r="F45" s="172" t="n">
        <v>5529.2</v>
      </c>
      <c r="G45" s="172" t="n">
        <v>0</v>
      </c>
      <c r="H45" s="172" t="n">
        <v>0</v>
      </c>
      <c r="I45" s="172" t="n">
        <v>0</v>
      </c>
      <c r="J45" s="172" t="n">
        <v>5529.2</v>
      </c>
    </row>
    <row r="46" ht="28.5" customHeight="1" s="84">
      <c r="B46" s="171" t="inlineStr">
        <is>
          <t>Всего по объекту в сопоставимом уровне цен 4 кв. 2018г:</t>
        </is>
      </c>
      <c r="C46" s="166" t="n"/>
      <c r="D46" s="166" t="n"/>
      <c r="E46" s="165" t="n"/>
      <c r="F46" s="172" t="n">
        <v>6192.704</v>
      </c>
      <c r="G46" s="172" t="n">
        <v>0</v>
      </c>
      <c r="H46" s="172" t="n">
        <v>0</v>
      </c>
      <c r="I46" s="172" t="n">
        <v>0</v>
      </c>
      <c r="J46" s="170" t="n">
        <v>6192.704</v>
      </c>
    </row>
    <row r="50">
      <c r="B50" s="86" t="inlineStr">
        <is>
          <t>Составил ______________________        М.С. Колотиевская</t>
        </is>
      </c>
    </row>
    <row r="51">
      <c r="B51" s="8" t="inlineStr">
        <is>
          <t xml:space="preserve">                         (подпись, инициалы, фамилия)</t>
        </is>
      </c>
    </row>
    <row r="53">
      <c r="B53" s="86" t="inlineStr">
        <is>
          <t>Проверил ______________________         М.С. Колотиевская</t>
        </is>
      </c>
    </row>
    <row r="54">
      <c r="B54" s="8" t="inlineStr">
        <is>
          <t xml:space="preserve">                        (подпись, инициалы, фамилия)</t>
        </is>
      </c>
    </row>
  </sheetData>
  <mergeCells count="44">
    <mergeCell ref="E17:E18"/>
    <mergeCell ref="D9:J9"/>
    <mergeCell ref="F34:J34"/>
    <mergeCell ref="E42:E43"/>
    <mergeCell ref="F10:J10"/>
    <mergeCell ref="D17:D18"/>
    <mergeCell ref="B33:B35"/>
    <mergeCell ref="B6:K6"/>
    <mergeCell ref="B20:E20"/>
    <mergeCell ref="E34:E35"/>
    <mergeCell ref="C23:C25"/>
    <mergeCell ref="E10:E11"/>
    <mergeCell ref="D33:J33"/>
    <mergeCell ref="D23:J23"/>
    <mergeCell ref="B45:E45"/>
    <mergeCell ref="B4:K4"/>
    <mergeCell ref="F24:J24"/>
    <mergeCell ref="F42:J42"/>
    <mergeCell ref="B7:K7"/>
    <mergeCell ref="C33:C35"/>
    <mergeCell ref="B16:B18"/>
    <mergeCell ref="B41:B43"/>
    <mergeCell ref="B46:E46"/>
    <mergeCell ref="B3:K3"/>
    <mergeCell ref="D24:D25"/>
    <mergeCell ref="F17:J17"/>
    <mergeCell ref="B27:E27"/>
    <mergeCell ref="B21:E21"/>
    <mergeCell ref="D42:D43"/>
    <mergeCell ref="C41:C43"/>
    <mergeCell ref="B14:E14"/>
    <mergeCell ref="E24:E25"/>
    <mergeCell ref="B23:B25"/>
    <mergeCell ref="D10:D11"/>
    <mergeCell ref="D41:J41"/>
    <mergeCell ref="B13:E13"/>
    <mergeCell ref="C16:C18"/>
    <mergeCell ref="B38:E38"/>
    <mergeCell ref="D16:J16"/>
    <mergeCell ref="B9:B11"/>
    <mergeCell ref="D34:D35"/>
    <mergeCell ref="B37:E37"/>
    <mergeCell ref="B28:E28"/>
    <mergeCell ref="C9:C11"/>
  </mergeCells>
  <printOptions gridLines="0" gridLinesSet="1"/>
  <pageMargins left="0.7" right="0.7" top="0.75" bottom="0.75" header="0.3" footer="0.3"/>
  <pageSetup orientation="portrait" paperSize="9" scale="4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22"/>
  <sheetViews>
    <sheetView showGridLines="1" showRowColHeaders="1" tabSelected="0" topLeftCell="A85" zoomScale="70" zoomScaleNormal="70" workbookViewId="0">
      <selection activeCell="F33" sqref="F33"/>
    </sheetView>
  </sheetViews>
  <sheetFormatPr baseColWidth="8" defaultColWidth="9.140625" defaultRowHeight="14.4" outlineLevelRow="0"/>
  <cols>
    <col width="12.42578125" customWidth="1" style="84" min="2" max="2"/>
    <col width="17" customWidth="1" style="84" min="3" max="3"/>
    <col width="49.5703125" customWidth="1" style="84" min="4" max="4"/>
    <col width="16.42578125" customWidth="1" style="84" min="5" max="5"/>
    <col width="20.5703125" customWidth="1" style="84" min="6" max="6"/>
    <col width="16.140625" customWidth="1" style="84" min="7" max="7"/>
    <col width="16.5703125" customWidth="1" style="84" min="8" max="8"/>
  </cols>
  <sheetData>
    <row r="2" ht="15.6" customHeight="1" s="84">
      <c r="A2" s="109" t="inlineStr">
        <is>
          <t xml:space="preserve">Приложение № 3 </t>
        </is>
      </c>
    </row>
    <row r="3" ht="17.45" customHeight="1" s="84">
      <c r="A3" s="122" t="inlineStr">
        <is>
          <t>Объектная ресурсная ведомость</t>
        </is>
      </c>
    </row>
    <row r="4" ht="18.75" customHeight="1" s="84">
      <c r="A4" s="122" t="n"/>
      <c r="B4" s="122" t="n"/>
      <c r="C4" s="12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" customHeight="1" s="84">
      <c r="A5" s="10" t="n"/>
    </row>
    <row r="6" ht="15.6" customHeight="1" s="84">
      <c r="A6" s="124" t="inlineStr">
        <is>
          <t>Наименование разрабатываемого показателя УНЦ -  Демонтаж резервуара накопителя</t>
        </is>
      </c>
    </row>
    <row r="7" ht="15.6" customFormat="1" customHeight="1" s="86">
      <c r="A7" s="70" t="n"/>
      <c r="B7" s="70" t="n"/>
      <c r="C7" s="70" t="n"/>
      <c r="D7" s="70" t="n"/>
      <c r="E7" s="70" t="n"/>
      <c r="F7" s="70" t="n"/>
      <c r="G7" s="70" t="n"/>
      <c r="H7" s="70" t="n"/>
    </row>
    <row r="8" ht="38.25" customFormat="1" customHeight="1" s="86">
      <c r="A8" s="117" t="inlineStr">
        <is>
          <t>п/п</t>
        </is>
      </c>
      <c r="B8" s="117" t="inlineStr">
        <is>
          <t>№ЛСР</t>
        </is>
      </c>
      <c r="C8" s="117" t="inlineStr">
        <is>
          <t>Код ресурса</t>
        </is>
      </c>
      <c r="D8" s="117" t="inlineStr">
        <is>
          <t>Наименование ресурса</t>
        </is>
      </c>
      <c r="E8" s="117" t="inlineStr">
        <is>
          <t>Ед. изм.</t>
        </is>
      </c>
      <c r="F8" s="117" t="inlineStr">
        <is>
          <t>Кол-во единиц по данным объекта-представителя</t>
        </is>
      </c>
      <c r="G8" s="117" t="inlineStr">
        <is>
          <t>Сметная стоимость в ценах на 01.01.2000 (руб.)</t>
        </is>
      </c>
      <c r="H8" s="173" t="n"/>
    </row>
    <row r="9" ht="40.7" customFormat="1" customHeight="1" s="86">
      <c r="A9" s="168" t="n"/>
      <c r="B9" s="168" t="n"/>
      <c r="C9" s="168" t="n"/>
      <c r="D9" s="168" t="n"/>
      <c r="E9" s="168" t="n"/>
      <c r="F9" s="168" t="n"/>
      <c r="G9" s="143" t="inlineStr">
        <is>
          <t>на ед.изм.</t>
        </is>
      </c>
      <c r="H9" s="143" t="inlineStr">
        <is>
          <t>общая</t>
        </is>
      </c>
    </row>
    <row r="10" ht="15.6" customFormat="1" customHeight="1" s="86">
      <c r="A10" s="143" t="n">
        <v>1</v>
      </c>
      <c r="B10" s="143" t="n"/>
      <c r="C10" s="143" t="n">
        <v>2</v>
      </c>
      <c r="D10" s="143" t="inlineStr">
        <is>
          <t>З</t>
        </is>
      </c>
      <c r="E10" s="143" t="n">
        <v>4</v>
      </c>
      <c r="F10" s="143" t="n">
        <v>5</v>
      </c>
      <c r="G10" s="143" t="n">
        <v>6</v>
      </c>
      <c r="H10" s="143" t="n">
        <v>7</v>
      </c>
    </row>
    <row r="11" ht="15.6" customFormat="1" customHeight="1" s="14">
      <c r="A11" s="119" t="inlineStr">
        <is>
          <t>Затраты труда рабочих</t>
        </is>
      </c>
      <c r="B11" s="166" t="n"/>
      <c r="C11" s="166" t="n"/>
      <c r="D11" s="166" t="n"/>
      <c r="E11" s="165" t="n"/>
      <c r="F11" s="119" t="n">
        <v>4550.53</v>
      </c>
      <c r="G11" s="17" t="n"/>
      <c r="H11" s="17">
        <f>SUM(H12:H25)</f>
        <v/>
      </c>
    </row>
    <row r="12" ht="15.6" customFormat="1" customHeight="1" s="86">
      <c r="A12" s="120" t="n">
        <v>1</v>
      </c>
      <c r="B12" s="120" t="n"/>
      <c r="C12" s="121" t="inlineStr">
        <is>
          <t>1-100-40</t>
        </is>
      </c>
      <c r="D12" s="121" t="inlineStr">
        <is>
          <t>Затраты труда рабочих (ср 4)</t>
        </is>
      </c>
      <c r="E12" s="120" t="inlineStr">
        <is>
          <t>чел.-ч</t>
        </is>
      </c>
      <c r="F12" s="120" t="n">
        <v>3850.87</v>
      </c>
      <c r="G12" s="126" t="n">
        <v>9.619999999999999</v>
      </c>
      <c r="H12" s="126">
        <f>ROUND(F12*G12,2)</f>
        <v/>
      </c>
    </row>
    <row r="13" ht="15.6" customFormat="1" customHeight="1" s="86">
      <c r="A13" s="120" t="n">
        <v>2</v>
      </c>
      <c r="B13" s="120" t="n"/>
      <c r="C13" s="121" t="inlineStr">
        <is>
          <t>1-100-38</t>
        </is>
      </c>
      <c r="D13" s="121" t="inlineStr">
        <is>
          <t>Затраты труда рабочих (ср 3,8)</t>
        </is>
      </c>
      <c r="E13" s="120" t="inlineStr">
        <is>
          <t>чел.-ч</t>
        </is>
      </c>
      <c r="F13" s="120" t="n">
        <v>486.15</v>
      </c>
      <c r="G13" s="126" t="n">
        <v>9.4</v>
      </c>
      <c r="H13" s="126">
        <f>ROUND(F13*G13,2)</f>
        <v/>
      </c>
    </row>
    <row r="14" ht="15.6" customFormat="1" customHeight="1" s="86">
      <c r="A14" s="120" t="n">
        <v>3</v>
      </c>
      <c r="B14" s="120" t="n"/>
      <c r="C14" s="121" t="inlineStr">
        <is>
          <t>1-100-35</t>
        </is>
      </c>
      <c r="D14" s="121" t="inlineStr">
        <is>
          <t>Затраты труда рабочих (ср 3,5)</t>
        </is>
      </c>
      <c r="E14" s="120" t="inlineStr">
        <is>
          <t>чел.-ч</t>
        </is>
      </c>
      <c r="F14" s="120" t="n">
        <v>79.65000000000001</v>
      </c>
      <c r="G14" s="126" t="n">
        <v>9.07</v>
      </c>
      <c r="H14" s="126">
        <f>ROUND(F14*G14,2)</f>
        <v/>
      </c>
    </row>
    <row r="15" ht="15.6" customFormat="1" customHeight="1" s="86">
      <c r="A15" s="120" t="n">
        <v>4</v>
      </c>
      <c r="B15" s="120" t="n"/>
      <c r="C15" s="121" t="inlineStr">
        <is>
          <t>1-100-31</t>
        </is>
      </c>
      <c r="D15" s="121" t="inlineStr">
        <is>
          <t>Затраты труда рабочих (ср 3,1)</t>
        </is>
      </c>
      <c r="E15" s="120" t="inlineStr">
        <is>
          <t>чел.-ч</t>
        </is>
      </c>
      <c r="F15" s="120" t="n">
        <v>55.2</v>
      </c>
      <c r="G15" s="126" t="n">
        <v>8.640000000000001</v>
      </c>
      <c r="H15" s="126">
        <f>ROUND(F15*G15,2)</f>
        <v/>
      </c>
    </row>
    <row r="16" ht="15.6" customFormat="1" customHeight="1" s="86">
      <c r="A16" s="120" t="n">
        <v>5</v>
      </c>
      <c r="B16" s="120" t="n"/>
      <c r="C16" s="121" t="inlineStr">
        <is>
          <t>1-100-36</t>
        </is>
      </c>
      <c r="D16" s="121" t="inlineStr">
        <is>
          <t>Затраты труда рабочих (ср 3,6)</t>
        </is>
      </c>
      <c r="E16" s="120" t="inlineStr">
        <is>
          <t>чел.-ч</t>
        </is>
      </c>
      <c r="F16" s="120" t="n">
        <v>39.98</v>
      </c>
      <c r="G16" s="126" t="n">
        <v>9.18</v>
      </c>
      <c r="H16" s="126">
        <f>ROUND(F16*G16,2)</f>
        <v/>
      </c>
    </row>
    <row r="17" ht="15.6" customFormat="1" customHeight="1" s="86">
      <c r="A17" s="120" t="n">
        <v>6</v>
      </c>
      <c r="B17" s="120" t="n"/>
      <c r="C17" s="121" t="inlineStr">
        <is>
          <t>1-100-24</t>
        </is>
      </c>
      <c r="D17" s="121" t="inlineStr">
        <is>
          <t>Затраты труда рабочих (ср 2,4)</t>
        </is>
      </c>
      <c r="E17" s="120" t="inlineStr">
        <is>
          <t>чел.-ч</t>
        </is>
      </c>
      <c r="F17" s="120" t="n">
        <v>16.29</v>
      </c>
      <c r="G17" s="126" t="n">
        <v>8.09</v>
      </c>
      <c r="H17" s="126">
        <f>ROUND(F17*G17,2)</f>
        <v/>
      </c>
    </row>
    <row r="18" ht="15.6" customFormat="1" customHeight="1" s="86">
      <c r="A18" s="120" t="n">
        <v>7</v>
      </c>
      <c r="B18" s="120" t="n"/>
      <c r="C18" s="121" t="inlineStr">
        <is>
          <t>1-100-35</t>
        </is>
      </c>
      <c r="D18" s="121" t="inlineStr">
        <is>
          <t>Затраты труда рабочих (ср 3,5)</t>
        </is>
      </c>
      <c r="E18" s="120" t="inlineStr">
        <is>
          <t>чел.-ч</t>
        </is>
      </c>
      <c r="F18" s="120" t="n">
        <v>10.01</v>
      </c>
      <c r="G18" s="126" t="n">
        <v>9.07</v>
      </c>
      <c r="H18" s="126">
        <f>ROUND(F18*G18,2)</f>
        <v/>
      </c>
    </row>
    <row r="19" ht="15.6" customFormat="1" customHeight="1" s="86">
      <c r="A19" s="120" t="n">
        <v>8</v>
      </c>
      <c r="B19" s="120" t="n"/>
      <c r="C19" s="121" t="inlineStr">
        <is>
          <t>1-100-30</t>
        </is>
      </c>
      <c r="D19" s="121" t="inlineStr">
        <is>
          <t>Затраты труда рабочих (ср 3)</t>
        </is>
      </c>
      <c r="E19" s="120" t="inlineStr">
        <is>
          <t>чел.-ч</t>
        </is>
      </c>
      <c r="F19" s="120" t="n">
        <v>4.52</v>
      </c>
      <c r="G19" s="126" t="n">
        <v>8.529999999999999</v>
      </c>
      <c r="H19" s="126">
        <f>ROUND(F19*G19,2)</f>
        <v/>
      </c>
    </row>
    <row r="20" ht="15.6" customFormat="1" customHeight="1" s="86">
      <c r="A20" s="120" t="n">
        <v>9</v>
      </c>
      <c r="B20" s="120" t="n"/>
      <c r="C20" s="121" t="inlineStr">
        <is>
          <t>1-100-44</t>
        </is>
      </c>
      <c r="D20" s="121" t="inlineStr">
        <is>
          <t>Затраты труда рабочих (ср 4,4)</t>
        </is>
      </c>
      <c r="E20" s="120" t="inlineStr">
        <is>
          <t>чел.-ч</t>
        </is>
      </c>
      <c r="F20" s="120" t="n">
        <v>3.24</v>
      </c>
      <c r="G20" s="126" t="n">
        <v>10.21</v>
      </c>
      <c r="H20" s="126">
        <f>ROUND(F20*G20,2)</f>
        <v/>
      </c>
    </row>
    <row r="21" ht="15.6" customFormat="1" customHeight="1" s="86">
      <c r="A21" s="120" t="n">
        <v>10</v>
      </c>
      <c r="B21" s="120" t="n"/>
      <c r="C21" s="121" t="inlineStr">
        <is>
          <t>1-100-32</t>
        </is>
      </c>
      <c r="D21" s="121" t="inlineStr">
        <is>
          <t>Затраты труда рабочих (ср 3,2)</t>
        </is>
      </c>
      <c r="E21" s="120" t="inlineStr">
        <is>
          <t>чел.-ч</t>
        </is>
      </c>
      <c r="F21" s="120" t="n">
        <v>2.5</v>
      </c>
      <c r="G21" s="126" t="n">
        <v>8.74</v>
      </c>
      <c r="H21" s="126">
        <f>ROUND(F21*G21,2)</f>
        <v/>
      </c>
    </row>
    <row r="22" ht="15.6" customFormat="1" customHeight="1" s="86">
      <c r="A22" s="120" t="n">
        <v>11</v>
      </c>
      <c r="B22" s="120" t="n"/>
      <c r="C22" s="121" t="inlineStr">
        <is>
          <t>1-100-15</t>
        </is>
      </c>
      <c r="D22" s="121" t="inlineStr">
        <is>
          <t>Затраты труда рабочих (ср 1,5)</t>
        </is>
      </c>
      <c r="E22" s="120" t="inlineStr">
        <is>
          <t>чел.-ч</t>
        </is>
      </c>
      <c r="F22" s="120" t="n">
        <v>0.77</v>
      </c>
      <c r="G22" s="126" t="n">
        <v>7.5</v>
      </c>
      <c r="H22" s="126">
        <f>ROUND(F22*G22,2)</f>
        <v/>
      </c>
    </row>
    <row r="23" ht="15.6" customFormat="1" customHeight="1" s="86">
      <c r="A23" s="120" t="n">
        <v>12</v>
      </c>
      <c r="B23" s="120" t="n"/>
      <c r="C23" s="121" t="inlineStr">
        <is>
          <t>1-100-20</t>
        </is>
      </c>
      <c r="D23" s="121" t="inlineStr">
        <is>
          <t>Затраты труда рабочих (ср 2)</t>
        </is>
      </c>
      <c r="E23" s="120" t="inlineStr">
        <is>
          <t>чел.-ч</t>
        </is>
      </c>
      <c r="F23" s="120" t="n">
        <v>0.71</v>
      </c>
      <c r="G23" s="126" t="n">
        <v>7.8</v>
      </c>
      <c r="H23" s="126">
        <f>ROUND(F23*G23,2)</f>
        <v/>
      </c>
    </row>
    <row r="24" ht="15.6" customFormat="1" customHeight="1" s="86">
      <c r="A24" s="120" t="n">
        <v>13</v>
      </c>
      <c r="B24" s="120" t="n"/>
      <c r="C24" s="121" t="inlineStr">
        <is>
          <t>1-100-22</t>
        </is>
      </c>
      <c r="D24" s="121" t="inlineStr">
        <is>
          <t>Затраты труда рабочих (ср 2,2)</t>
        </is>
      </c>
      <c r="E24" s="120" t="inlineStr">
        <is>
          <t>чел.-ч</t>
        </is>
      </c>
      <c r="F24" s="120" t="n">
        <v>0.52</v>
      </c>
      <c r="G24" s="126" t="n">
        <v>7.94</v>
      </c>
      <c r="H24" s="126">
        <f>ROUND(F24*G24,2)</f>
        <v/>
      </c>
    </row>
    <row r="25" ht="15.6" customFormat="1" customHeight="1" s="86">
      <c r="A25" s="120" t="n">
        <v>14</v>
      </c>
      <c r="B25" s="120" t="n"/>
      <c r="C25" s="121" t="inlineStr">
        <is>
          <t>1-100-28</t>
        </is>
      </c>
      <c r="D25" s="121" t="inlineStr">
        <is>
          <t>Затраты труда рабочих (ср 2,8)</t>
        </is>
      </c>
      <c r="E25" s="120" t="inlineStr">
        <is>
          <t>чел.-ч</t>
        </is>
      </c>
      <c r="F25" s="120" t="n">
        <v>0.12</v>
      </c>
      <c r="G25" s="126" t="n">
        <v>8.380000000000001</v>
      </c>
      <c r="H25" s="126">
        <f>ROUND(F25*G25,2)</f>
        <v/>
      </c>
    </row>
    <row r="26" ht="15.6" customFormat="1" customHeight="1" s="14">
      <c r="A26" s="119" t="inlineStr">
        <is>
          <t>Затраты труда машинистов</t>
        </is>
      </c>
      <c r="B26" s="166" t="n"/>
      <c r="C26" s="166" t="n"/>
      <c r="D26" s="166" t="n"/>
      <c r="E26" s="165" t="n"/>
      <c r="F26" s="119" t="n">
        <v>328.46</v>
      </c>
      <c r="G26" s="17" t="n"/>
      <c r="H26" s="17">
        <f>SUM(H27:H27)</f>
        <v/>
      </c>
    </row>
    <row r="27" ht="15.6" customFormat="1" customHeight="1" s="86">
      <c r="A27" s="120" t="n">
        <v>15</v>
      </c>
      <c r="B27" s="120" t="n"/>
      <c r="C27" s="121" t="n">
        <v>2</v>
      </c>
      <c r="D27" s="121" t="inlineStr">
        <is>
          <t>Затраты труда машинистов</t>
        </is>
      </c>
      <c r="E27" s="120" t="inlineStr">
        <is>
          <t>чел.-ч</t>
        </is>
      </c>
      <c r="F27" s="120" t="n">
        <v>328.46</v>
      </c>
      <c r="G27" s="126" t="n">
        <v>13.19</v>
      </c>
      <c r="H27" s="126">
        <f>ROUND(F27*G27,2)</f>
        <v/>
      </c>
    </row>
    <row r="28" ht="15.6" customFormat="1" customHeight="1" s="14">
      <c r="A28" s="119" t="inlineStr">
        <is>
          <t>Машины и механизмы</t>
        </is>
      </c>
      <c r="B28" s="166" t="n"/>
      <c r="C28" s="166" t="n"/>
      <c r="D28" s="166" t="n"/>
      <c r="E28" s="165" t="n"/>
      <c r="F28" s="119" t="n"/>
      <c r="G28" s="17" t="n"/>
      <c r="H28" s="17">
        <f>SUM(H29:H48)</f>
        <v/>
      </c>
    </row>
    <row r="29" ht="31.35" customFormat="1" customHeight="1" s="86">
      <c r="A29" s="120" t="n">
        <v>16</v>
      </c>
      <c r="B29" s="120" t="n"/>
      <c r="C29" s="21" t="inlineStr">
        <is>
          <t>91.05.06-012</t>
        </is>
      </c>
      <c r="D29" s="121" t="inlineStr">
        <is>
          <t>Краны на гусеничном ходу, грузоподъемность до 16 т</t>
        </is>
      </c>
      <c r="E29" s="120" t="inlineStr">
        <is>
          <t>маш.час</t>
        </is>
      </c>
      <c r="F29" s="120" t="n">
        <v>209.29</v>
      </c>
      <c r="G29" s="126" t="n">
        <v>96.89</v>
      </c>
      <c r="H29" s="126">
        <f>ROUND(F29*G29,2)</f>
        <v/>
      </c>
    </row>
    <row r="30" ht="15.6" customFormat="1" customHeight="1" s="86">
      <c r="A30" s="120" t="n">
        <v>17</v>
      </c>
      <c r="B30" s="120" t="n"/>
      <c r="C30" s="21" t="inlineStr">
        <is>
          <t>91.14.03-002</t>
        </is>
      </c>
      <c r="D30" s="121" t="inlineStr">
        <is>
          <t>Автомобиль-самосвал, грузоподъемность до 10 т</t>
        </is>
      </c>
      <c r="E30" s="120" t="inlineStr">
        <is>
          <t>маш.час</t>
        </is>
      </c>
      <c r="F30" s="120" t="n">
        <v>122.49</v>
      </c>
      <c r="G30" s="126" t="n">
        <v>87.48999999999999</v>
      </c>
      <c r="H30" s="126">
        <f>ROUND(F30*G30,2)</f>
        <v/>
      </c>
    </row>
    <row r="31" ht="31.35" customFormat="1" customHeight="1" s="86">
      <c r="A31" s="120" t="n">
        <v>18</v>
      </c>
      <c r="B31" s="120" t="n"/>
      <c r="C31" s="21" t="inlineStr">
        <is>
          <t>91.17.04-233</t>
        </is>
      </c>
      <c r="D31" s="121" t="inlineStr">
        <is>
          <t>Установки для сварки ручной дуговой (постоянного тока)</t>
        </is>
      </c>
      <c r="E31" s="120" t="inlineStr">
        <is>
          <t>маш.час</t>
        </is>
      </c>
      <c r="F31" s="120" t="n">
        <v>229.64</v>
      </c>
      <c r="G31" s="126" t="n">
        <v>8.1</v>
      </c>
      <c r="H31" s="126">
        <f>ROUND(F31*G31,2)</f>
        <v/>
      </c>
    </row>
    <row r="32" ht="15.6" customFormat="1" customHeight="1" s="86">
      <c r="A32" s="120" t="n">
        <v>19</v>
      </c>
      <c r="B32" s="120" t="n"/>
      <c r="C32" s="21" t="inlineStr">
        <is>
          <t>91.14.02-001</t>
        </is>
      </c>
      <c r="D32" s="121" t="inlineStr">
        <is>
          <t>Автомобили бортовые, грузоподъемность до 5 т</t>
        </is>
      </c>
      <c r="E32" s="120" t="inlineStr">
        <is>
          <t>маш.час</t>
        </is>
      </c>
      <c r="F32" s="120" t="n">
        <v>21.61</v>
      </c>
      <c r="G32" s="126" t="n">
        <v>65.70999999999999</v>
      </c>
      <c r="H32" s="126">
        <f>ROUND(F32*G32,2)</f>
        <v/>
      </c>
    </row>
    <row r="33" ht="31.35" customFormat="1" customHeight="1" s="86">
      <c r="A33" s="120" t="n">
        <v>20</v>
      </c>
      <c r="B33" s="120" t="n"/>
      <c r="C33" s="21" t="inlineStr">
        <is>
          <t>91.05.06-007</t>
        </is>
      </c>
      <c r="D33" s="121" t="inlineStr">
        <is>
          <t>Краны на гусеничном ходу, грузоподъемность 25 т</t>
        </is>
      </c>
      <c r="E33" s="120" t="inlineStr">
        <is>
          <t>маш.час</t>
        </is>
      </c>
      <c r="F33" s="120" t="n">
        <v>3.84</v>
      </c>
      <c r="G33" s="126" t="n">
        <v>120.04</v>
      </c>
      <c r="H33" s="126">
        <f>ROUND(F33*G33,2)</f>
        <v/>
      </c>
    </row>
    <row r="34" ht="31.35" customFormat="1" customHeight="1" s="86">
      <c r="A34" s="120" t="n">
        <v>21</v>
      </c>
      <c r="B34" s="120" t="n"/>
      <c r="C34" s="21" t="inlineStr">
        <is>
          <t>91.05.05-014</t>
        </is>
      </c>
      <c r="D34" s="121" t="inlineStr">
        <is>
          <t>Краны на автомобильном ходу, грузоподъемность 10 т</t>
        </is>
      </c>
      <c r="E34" s="120" t="inlineStr">
        <is>
          <t>маш.час</t>
        </is>
      </c>
      <c r="F34" s="120" t="n">
        <v>2.44</v>
      </c>
      <c r="G34" s="126" t="n">
        <v>111.99</v>
      </c>
      <c r="H34" s="126">
        <f>ROUND(F34*G34,2)</f>
        <v/>
      </c>
    </row>
    <row r="35" ht="15.6" customFormat="1" customHeight="1" s="86">
      <c r="A35" s="120" t="n">
        <v>22</v>
      </c>
      <c r="B35" s="120" t="n"/>
      <c r="C35" s="21" t="inlineStr">
        <is>
          <t>91.07.04-001</t>
        </is>
      </c>
      <c r="D35" s="121" t="inlineStr">
        <is>
          <t>Вибратор глубинный</t>
        </is>
      </c>
      <c r="E35" s="120" t="inlineStr">
        <is>
          <t>маш.час</t>
        </is>
      </c>
      <c r="F35" s="120" t="n">
        <v>139.52</v>
      </c>
      <c r="G35" s="126" t="n">
        <v>1.9</v>
      </c>
      <c r="H35" s="126">
        <f>ROUND(F35*G35,2)</f>
        <v/>
      </c>
    </row>
    <row r="36" ht="31.35" customFormat="1" customHeight="1" s="86">
      <c r="A36" s="120" t="n">
        <v>23</v>
      </c>
      <c r="B36" s="120" t="n"/>
      <c r="C36" s="21" t="inlineStr">
        <is>
          <t>91.06.03-055</t>
        </is>
      </c>
      <c r="D36" s="121" t="inlineStr">
        <is>
          <t>Лебедки электрические тяговым усилием 19,62 кН (2 т)</t>
        </is>
      </c>
      <c r="E36" s="120" t="inlineStr">
        <is>
          <t>маш.час</t>
        </is>
      </c>
      <c r="F36" s="120" t="n">
        <v>16.74</v>
      </c>
      <c r="G36" s="126" t="n">
        <v>6.66</v>
      </c>
      <c r="H36" s="126">
        <f>ROUND(F36*G36,2)</f>
        <v/>
      </c>
    </row>
    <row r="37" ht="31.35" customFormat="1" customHeight="1" s="86">
      <c r="A37" s="120" t="n">
        <v>24</v>
      </c>
      <c r="B37" s="120" t="n"/>
      <c r="C37" s="21" t="inlineStr">
        <is>
          <t>91.05.05-015</t>
        </is>
      </c>
      <c r="D37" s="121" t="inlineStr">
        <is>
          <t>Краны на автомобильном ходу, грузоподъемность 16 т</t>
        </is>
      </c>
      <c r="E37" s="120" t="inlineStr">
        <is>
          <t>маш.час</t>
        </is>
      </c>
      <c r="F37" s="120" t="n">
        <v>0.32</v>
      </c>
      <c r="G37" s="126" t="n">
        <v>115.4</v>
      </c>
      <c r="H37" s="126">
        <f>ROUND(F37*G37,2)</f>
        <v/>
      </c>
    </row>
    <row r="38" ht="15.6" customFormat="1" customHeight="1" s="86">
      <c r="A38" s="120" t="n">
        <v>25</v>
      </c>
      <c r="B38" s="120" t="n"/>
      <c r="C38" s="21" t="inlineStr">
        <is>
          <t>91.06.05-011</t>
        </is>
      </c>
      <c r="D38" s="121" t="inlineStr">
        <is>
          <t>Погрузчик, грузоподъемность 5 т</t>
        </is>
      </c>
      <c r="E38" s="120" t="inlineStr">
        <is>
          <t>маш.час</t>
        </is>
      </c>
      <c r="F38" s="120" t="n">
        <v>0.28</v>
      </c>
      <c r="G38" s="126" t="n">
        <v>89.98999999999999</v>
      </c>
      <c r="H38" s="126">
        <f>ROUND(F38*G38,2)</f>
        <v/>
      </c>
    </row>
    <row r="39" ht="46.9" customFormat="1" customHeight="1" s="86">
      <c r="A39" s="120" t="n">
        <v>26</v>
      </c>
      <c r="B39" s="120" t="n"/>
      <c r="C39" s="21" t="inlineStr">
        <is>
          <t>91.18.01-007</t>
        </is>
      </c>
      <c r="D39" s="12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9" s="120" t="inlineStr">
        <is>
          <t>маш.час</t>
        </is>
      </c>
      <c r="F39" s="120" t="n">
        <v>0.13</v>
      </c>
      <c r="G39" s="126" t="n">
        <v>90</v>
      </c>
      <c r="H39" s="126">
        <f>ROUND(F39*G39,2)</f>
        <v/>
      </c>
    </row>
    <row r="40" ht="31.35" customFormat="1" customHeight="1" s="86">
      <c r="A40" s="120" t="n">
        <v>27</v>
      </c>
      <c r="B40" s="120" t="n"/>
      <c r="C40" s="21" t="inlineStr">
        <is>
          <t>91.01.05-086</t>
        </is>
      </c>
      <c r="D40" s="121" t="inlineStr">
        <is>
          <t>Экскаваторы одноковшовые дизельные на гусеничном ходу, емкость ковша 0,65 м3</t>
        </is>
      </c>
      <c r="E40" s="120" t="inlineStr">
        <is>
          <t>маш.час</t>
        </is>
      </c>
      <c r="F40" s="120" t="n">
        <v>0.03</v>
      </c>
      <c r="G40" s="126" t="n">
        <v>115.27</v>
      </c>
      <c r="H40" s="126">
        <f>ROUND(F40*G40,2)</f>
        <v/>
      </c>
    </row>
    <row r="41" ht="31.35" customFormat="1" customHeight="1" s="86">
      <c r="A41" s="120" t="n">
        <v>28</v>
      </c>
      <c r="B41" s="120" t="n"/>
      <c r="C41" s="21" t="inlineStr">
        <is>
          <t>91.21.22-443</t>
        </is>
      </c>
      <c r="D41" s="121" t="inlineStr">
        <is>
          <t>Установки для изготовления бандажей, диафрагм, пряжек</t>
        </is>
      </c>
      <c r="E41" s="120" t="inlineStr">
        <is>
          <t>маш.час</t>
        </is>
      </c>
      <c r="F41" s="120" t="n">
        <v>1.1</v>
      </c>
      <c r="G41" s="126" t="n">
        <v>2.16</v>
      </c>
      <c r="H41" s="126">
        <f>ROUND(F41*G41,2)</f>
        <v/>
      </c>
    </row>
    <row r="42" ht="15.6" customFormat="1" customHeight="1" s="86">
      <c r="A42" s="120" t="n">
        <v>29</v>
      </c>
      <c r="B42" s="120" t="n"/>
      <c r="C42" s="21" t="inlineStr">
        <is>
          <t>91.05.01-017</t>
        </is>
      </c>
      <c r="D42" s="121" t="inlineStr">
        <is>
          <t>Краны башенные, грузоподъемность 8 т</t>
        </is>
      </c>
      <c r="E42" s="120" t="inlineStr">
        <is>
          <t>маш.час</t>
        </is>
      </c>
      <c r="F42" s="120" t="n">
        <v>0.02</v>
      </c>
      <c r="G42" s="126" t="n">
        <v>86.40000000000001</v>
      </c>
      <c r="H42" s="126">
        <f>ROUND(F42*G42,2)</f>
        <v/>
      </c>
    </row>
    <row r="43" ht="15.6" customFormat="1" customHeight="1" s="86">
      <c r="A43" s="120" t="n">
        <v>30</v>
      </c>
      <c r="B43" s="120" t="n"/>
      <c r="C43" s="21" t="inlineStr">
        <is>
          <t>91.08.04-021</t>
        </is>
      </c>
      <c r="D43" s="121" t="inlineStr">
        <is>
          <t>Котлы битумные передвижные 400 л</t>
        </is>
      </c>
      <c r="E43" s="120" t="inlineStr">
        <is>
          <t>маш.час</t>
        </is>
      </c>
      <c r="F43" s="120" t="n">
        <v>0.02</v>
      </c>
      <c r="G43" s="126" t="n">
        <v>30</v>
      </c>
      <c r="H43" s="126">
        <f>ROUND(F43*G43,2)</f>
        <v/>
      </c>
    </row>
    <row r="44" ht="31.35" customFormat="1" customHeight="1" s="86">
      <c r="A44" s="120" t="n">
        <v>31</v>
      </c>
      <c r="B44" s="120" t="n"/>
      <c r="C44" s="21" t="inlineStr">
        <is>
          <t>91.06.03-047</t>
        </is>
      </c>
      <c r="D44" s="121" t="inlineStr">
        <is>
          <t>Лебедки ручные и рычажные тяговым усилием 31,39 кН (3,2 т)</t>
        </is>
      </c>
      <c r="E44" s="120" t="inlineStr">
        <is>
          <t>маш.час</t>
        </is>
      </c>
      <c r="F44" s="120" t="n">
        <v>0.18</v>
      </c>
      <c r="G44" s="126" t="n">
        <v>3.12</v>
      </c>
      <c r="H44" s="126">
        <f>ROUND(F44*G44,2)</f>
        <v/>
      </c>
    </row>
    <row r="45" ht="15.6" customFormat="1" customHeight="1" s="86">
      <c r="A45" s="120" t="n">
        <v>32</v>
      </c>
      <c r="B45" s="120" t="n"/>
      <c r="C45" s="21" t="inlineStr">
        <is>
          <t>91.07.04-002</t>
        </is>
      </c>
      <c r="D45" s="121" t="inlineStr">
        <is>
          <t>Вибраторы поверхностные</t>
        </is>
      </c>
      <c r="E45" s="120" t="inlineStr">
        <is>
          <t>маш.час</t>
        </is>
      </c>
      <c r="F45" s="120" t="n">
        <v>0.79</v>
      </c>
      <c r="G45" s="126" t="n">
        <v>0.5</v>
      </c>
      <c r="H45" s="126">
        <f>ROUND(F45*G45,2)</f>
        <v/>
      </c>
    </row>
    <row r="46" ht="31.35" customFormat="1" customHeight="1" s="86">
      <c r="A46" s="120" t="n">
        <v>33</v>
      </c>
      <c r="B46" s="120" t="n"/>
      <c r="C46" s="21" t="inlineStr">
        <is>
          <t>91.06.06-048</t>
        </is>
      </c>
      <c r="D46" s="121" t="inlineStr">
        <is>
          <t>Подъемники одномачтовые, грузоподъемность до 500 кг, высота подъема 45 м</t>
        </is>
      </c>
      <c r="E46" s="120" t="inlineStr">
        <is>
          <t>маш.час</t>
        </is>
      </c>
      <c r="F46" s="120" t="n">
        <v>0.01</v>
      </c>
      <c r="G46" s="126" t="n">
        <v>31.26</v>
      </c>
      <c r="H46" s="126">
        <f>ROUND(F46*G46,2)</f>
        <v/>
      </c>
    </row>
    <row r="47" ht="31.35" customFormat="1" customHeight="1" s="86">
      <c r="A47" s="120" t="n">
        <v>34</v>
      </c>
      <c r="B47" s="120" t="n"/>
      <c r="C47" s="21" t="inlineStr">
        <is>
          <t>91.08.09-023</t>
        </is>
      </c>
      <c r="D47" s="121" t="inlineStr">
        <is>
          <t>Трамбовки пневматические при работе от передвижных компрессорных станций</t>
        </is>
      </c>
      <c r="E47" s="120" t="inlineStr">
        <is>
          <t>маш.час</t>
        </is>
      </c>
      <c r="F47" s="120" t="n">
        <v>0.5</v>
      </c>
      <c r="G47" s="126" t="n">
        <v>0.55</v>
      </c>
      <c r="H47" s="126">
        <f>ROUND(F47*G47,2)</f>
        <v/>
      </c>
    </row>
    <row r="48" ht="15.6" customFormat="1" customHeight="1" s="86">
      <c r="A48" s="120" t="n">
        <v>35</v>
      </c>
      <c r="B48" s="120" t="n"/>
      <c r="C48" s="21" t="inlineStr">
        <is>
          <t>91.08.09-025</t>
        </is>
      </c>
      <c r="D48" s="121" t="inlineStr">
        <is>
          <t>Трамбовки электрические</t>
        </is>
      </c>
      <c r="E48" s="120" t="inlineStr">
        <is>
          <t>маш.час</t>
        </is>
      </c>
      <c r="F48" s="120" t="n">
        <v>0.01</v>
      </c>
      <c r="G48" s="126" t="n">
        <v>6.7</v>
      </c>
      <c r="H48" s="126">
        <f>ROUND(F48*G48,2)</f>
        <v/>
      </c>
    </row>
    <row r="49" ht="15.6" customFormat="1" customHeight="1" s="14">
      <c r="A49" s="119" t="inlineStr">
        <is>
          <t>Материалы</t>
        </is>
      </c>
      <c r="B49" s="166" t="n"/>
      <c r="C49" s="166" t="n"/>
      <c r="D49" s="166" t="n"/>
      <c r="E49" s="165" t="n"/>
      <c r="F49" s="119" t="n"/>
      <c r="G49" s="17" t="n"/>
      <c r="H49" s="17">
        <f>SUM(H50:H113)</f>
        <v/>
      </c>
    </row>
    <row r="50" ht="31.35" customFormat="1" customHeight="1" s="86">
      <c r="A50" s="120" t="n">
        <v>36</v>
      </c>
      <c r="B50" s="120" t="n"/>
      <c r="C50" s="21" t="inlineStr">
        <is>
          <t>08.4.03.03-0032</t>
        </is>
      </c>
      <c r="D50" s="121" t="inlineStr">
        <is>
          <t>Горячекатаная арматурная сталь периодического профиля класса А-III, диаметром 12 мм</t>
        </is>
      </c>
      <c r="E50" s="120" t="inlineStr">
        <is>
          <t>т</t>
        </is>
      </c>
      <c r="F50" s="120" t="n">
        <v>11.02494</v>
      </c>
      <c r="G50" s="126" t="n">
        <v>7997.23</v>
      </c>
      <c r="H50" s="126">
        <f>ROUND(F50*G50,2)</f>
        <v/>
      </c>
    </row>
    <row r="51" ht="15.6" customFormat="1" customHeight="1" s="86">
      <c r="A51" s="120" t="n">
        <v>37</v>
      </c>
      <c r="B51" s="120" t="n"/>
      <c r="C51" s="21" t="inlineStr">
        <is>
          <t>04.1.02.05-0006</t>
        </is>
      </c>
      <c r="D51" s="121" t="inlineStr">
        <is>
          <t>Бетон тяжелый, класс В15 (М200)</t>
        </is>
      </c>
      <c r="E51" s="120" t="inlineStr">
        <is>
          <t>м3</t>
        </is>
      </c>
      <c r="F51" s="120" t="n">
        <v>107.2346</v>
      </c>
      <c r="G51" s="126" t="n">
        <v>592.76</v>
      </c>
      <c r="H51" s="126">
        <f>ROUND(F51*G51,2)</f>
        <v/>
      </c>
    </row>
    <row r="52" ht="31.35" customFormat="1" customHeight="1" s="86">
      <c r="A52" s="120" t="n">
        <v>38</v>
      </c>
      <c r="B52" s="120" t="n"/>
      <c r="C52" s="21" t="inlineStr">
        <is>
          <t>02.3.01.02-0020</t>
        </is>
      </c>
      <c r="D52" s="121" t="inlineStr">
        <is>
          <t>Песок природный для строительных растворов средний</t>
        </is>
      </c>
      <c r="E52" s="120" t="inlineStr">
        <is>
          <t>м3</t>
        </is>
      </c>
      <c r="F52" s="120" t="n">
        <v>554.316875</v>
      </c>
      <c r="G52" s="126" t="n">
        <v>59.99</v>
      </c>
      <c r="H52" s="126">
        <f>ROUND(F52*G52,2)</f>
        <v/>
      </c>
    </row>
    <row r="53" ht="46.9" customFormat="1" customHeight="1" s="86">
      <c r="A53" s="120" t="n">
        <v>39</v>
      </c>
      <c r="B53" s="120" t="n"/>
      <c r="C53" s="21" t="inlineStr">
        <is>
          <t>12.2.05.09-0041</t>
        </is>
      </c>
      <c r="D53" s="121" t="inlineStr">
        <is>
          <t>Плиты теплоизоляционные из экструдированного пенополистерола Тимплэкс, Тип 35, толщина 50 мм</t>
        </is>
      </c>
      <c r="E53" s="120" t="inlineStr">
        <is>
          <t>м3</t>
        </is>
      </c>
      <c r="F53" s="120" t="n">
        <v>39.910331</v>
      </c>
      <c r="G53" s="126" t="n">
        <v>679.1799999999999</v>
      </c>
      <c r="H53" s="126">
        <f>ROUND(F53*G53,2)</f>
        <v/>
      </c>
    </row>
    <row r="54" ht="46.9" customFormat="1" customHeight="1" s="86">
      <c r="A54" s="120" t="n">
        <v>40</v>
      </c>
      <c r="B54" s="120" t="n"/>
      <c r="C54" s="21" t="inlineStr">
        <is>
          <t>Прайс "Акватрон" 12.02.2019</t>
        </is>
      </c>
      <c r="D54" s="121" t="inlineStr">
        <is>
          <t>АКВАТРОН-6</t>
        </is>
      </c>
      <c r="E54" s="120" t="inlineStr">
        <is>
          <t>кг</t>
        </is>
      </c>
      <c r="F54" s="120" t="n">
        <v>3482.512</v>
      </c>
      <c r="G54" s="126" t="n">
        <v>7.32</v>
      </c>
      <c r="H54" s="126">
        <f>ROUND(F54*G54,2)</f>
        <v/>
      </c>
    </row>
    <row r="55" ht="46.9" customFormat="1" customHeight="1" s="86">
      <c r="A55" s="120" t="n">
        <v>41</v>
      </c>
      <c r="B55" s="120" t="n"/>
      <c r="C55" s="21" t="inlineStr">
        <is>
          <t>05.1.06.06-0128</t>
        </is>
      </c>
      <c r="D55" s="121" t="inlineStr">
        <is>
          <t>Плиты перекрытия ребристые: 2П1-4А-IIIвт(П) /бетон В15 (М200), объем 0,95 м3, расход арматуры 134,6 кг/ (серия 1.442.1-2 выпуск 1)</t>
        </is>
      </c>
      <c r="E55" s="120" t="inlineStr">
        <is>
          <t>шт.</t>
        </is>
      </c>
      <c r="F55" s="120" t="n">
        <v>12</v>
      </c>
      <c r="G55" s="126" t="n">
        <v>1725.08</v>
      </c>
      <c r="H55" s="126">
        <f>ROUND(F55*G55,2)</f>
        <v/>
      </c>
    </row>
    <row r="56" ht="31.35" customFormat="1" customHeight="1" s="86">
      <c r="A56" s="120" t="n">
        <v>42</v>
      </c>
      <c r="B56" s="120" t="n"/>
      <c r="C56" s="21" t="inlineStr">
        <is>
          <t>08.4.03.03-0030</t>
        </is>
      </c>
      <c r="D56" s="121" t="inlineStr">
        <is>
          <t>Горячекатаная арматурная сталь периодического профиля класса А-III, диаметром 8 мм</t>
        </is>
      </c>
      <c r="E56" s="120" t="inlineStr">
        <is>
          <t>т</t>
        </is>
      </c>
      <c r="F56" s="120" t="n">
        <v>0.98136</v>
      </c>
      <c r="G56" s="126" t="n">
        <v>8102.64</v>
      </c>
      <c r="H56" s="126">
        <f>ROUND(F56*G56,2)</f>
        <v/>
      </c>
    </row>
    <row r="57" ht="15.6" customFormat="1" customHeight="1" s="86">
      <c r="A57" s="120" t="n">
        <v>43</v>
      </c>
      <c r="B57" s="120" t="n"/>
      <c r="C57" s="21" t="inlineStr">
        <is>
          <t>04.1.02.05-0003</t>
        </is>
      </c>
      <c r="D57" s="121" t="inlineStr">
        <is>
          <t>Бетон тяжелый, класс В7,5 (М100)</t>
        </is>
      </c>
      <c r="E57" s="120" t="inlineStr">
        <is>
          <t>м3</t>
        </is>
      </c>
      <c r="F57" s="120" t="n">
        <v>13.26</v>
      </c>
      <c r="G57" s="126" t="n">
        <v>560</v>
      </c>
      <c r="H57" s="126">
        <f>ROUND(F57*G57,2)</f>
        <v/>
      </c>
    </row>
    <row r="58" ht="31.35" customFormat="1" customHeight="1" s="86">
      <c r="A58" s="120" t="n">
        <v>44</v>
      </c>
      <c r="B58" s="120" t="n"/>
      <c r="C58" s="21" t="inlineStr">
        <is>
          <t>11.1.03.06-0087</t>
        </is>
      </c>
      <c r="D58" s="121" t="inlineStr">
        <is>
          <t>Доски обрезные хвойных пород длиной 4-6,5 м, шириной 75-150 мм, толщиной 25 мм, III сорта</t>
        </is>
      </c>
      <c r="E58" s="120" t="inlineStr">
        <is>
          <t>м3</t>
        </is>
      </c>
      <c r="F58" s="120" t="n">
        <v>4.767</v>
      </c>
      <c r="G58" s="126" t="n">
        <v>1100</v>
      </c>
      <c r="H58" s="126">
        <f>ROUND(F58*G58,2)</f>
        <v/>
      </c>
    </row>
    <row r="59" ht="31.35" customFormat="1" customHeight="1" s="86">
      <c r="A59" s="120" t="n">
        <v>45</v>
      </c>
      <c r="B59" s="120" t="n"/>
      <c r="C59" s="21" t="inlineStr">
        <is>
          <t>08.4.03.02-0001</t>
        </is>
      </c>
      <c r="D59" s="121" t="inlineStr">
        <is>
          <t>Горячекатаная арматурная сталь гладкая класса А-I, диаметром 6 мм</t>
        </is>
      </c>
      <c r="E59" s="120" t="inlineStr">
        <is>
          <t>т</t>
        </is>
      </c>
      <c r="F59" s="120" t="n">
        <v>0.6225000000000001</v>
      </c>
      <c r="G59" s="126" t="n">
        <v>7418.82</v>
      </c>
      <c r="H59" s="126">
        <f>ROUND(F59*G59,2)</f>
        <v/>
      </c>
    </row>
    <row r="60" ht="31.35" customFormat="1" customHeight="1" s="86">
      <c r="A60" s="120" t="n">
        <v>46</v>
      </c>
      <c r="B60" s="120" t="n"/>
      <c r="C60" s="21" t="inlineStr">
        <is>
          <t>08.4.03.03-0031</t>
        </is>
      </c>
      <c r="D60" s="121" t="inlineStr">
        <is>
          <t>Горячекатаная арматурная сталь периодического профиля класса А-III, диаметром 10 мм</t>
        </is>
      </c>
      <c r="E60" s="120" t="inlineStr">
        <is>
          <t>т</t>
        </is>
      </c>
      <c r="F60" s="120" t="n">
        <v>0.55986</v>
      </c>
      <c r="G60" s="126" t="n">
        <v>8014.15</v>
      </c>
      <c r="H60" s="126">
        <f>ROUND(F60*G60,2)</f>
        <v/>
      </c>
    </row>
    <row r="61" ht="15.6" customFormat="1" customHeight="1" s="86">
      <c r="A61" s="120" t="n">
        <v>47</v>
      </c>
      <c r="B61" s="120" t="n"/>
      <c r="C61" s="21" t="inlineStr">
        <is>
          <t>12.1.02.03-0195</t>
        </is>
      </c>
      <c r="D61" s="121" t="inlineStr">
        <is>
          <t>Техноэласт ЭПП</t>
        </is>
      </c>
      <c r="E61" s="120" t="inlineStr">
        <is>
          <t>м2</t>
        </is>
      </c>
      <c r="F61" s="120" t="n">
        <v>156.427656</v>
      </c>
      <c r="G61" s="126" t="n">
        <v>24.94</v>
      </c>
      <c r="H61" s="126">
        <f>ROUND(F61*G61,2)</f>
        <v/>
      </c>
    </row>
    <row r="62" ht="31.35" customFormat="1" customHeight="1" s="86">
      <c r="A62" s="120" t="n">
        <v>48</v>
      </c>
      <c r="B62" s="120" t="n"/>
      <c r="C62" s="21" t="inlineStr">
        <is>
          <t>02.2.05.04-0093</t>
        </is>
      </c>
      <c r="D62" s="121" t="inlineStr">
        <is>
          <t>Щебень из природного камня для строительных работ марка 800, фракция 20-40 мм</t>
        </is>
      </c>
      <c r="E62" s="120" t="inlineStr">
        <is>
          <t>м3</t>
        </is>
      </c>
      <c r="F62" s="120" t="n">
        <v>33.428571</v>
      </c>
      <c r="G62" s="126" t="n">
        <v>108.4</v>
      </c>
      <c r="H62" s="126">
        <f>ROUND(F62*G62,2)</f>
        <v/>
      </c>
    </row>
    <row r="63" ht="15.6" customFormat="1" customHeight="1" s="86">
      <c r="A63" s="120" t="n">
        <v>49</v>
      </c>
      <c r="B63" s="120" t="n"/>
      <c r="C63" s="21" t="inlineStr">
        <is>
          <t>01.7.11.07-0054</t>
        </is>
      </c>
      <c r="D63" s="121" t="inlineStr">
        <is>
          <t>Электроды диаметром 6 мм Э42</t>
        </is>
      </c>
      <c r="E63" s="120" t="inlineStr">
        <is>
          <t>т</t>
        </is>
      </c>
      <c r="F63" s="120" t="n">
        <v>0.2902</v>
      </c>
      <c r="G63" s="126" t="n">
        <v>9424</v>
      </c>
      <c r="H63" s="126">
        <f>ROUND(F63*G63,2)</f>
        <v/>
      </c>
    </row>
    <row r="64" ht="15.6" customFormat="1" customHeight="1" s="86">
      <c r="A64" s="120" t="n">
        <v>50</v>
      </c>
      <c r="B64" s="120" t="n"/>
      <c r="C64" s="21" t="inlineStr">
        <is>
          <t>01.7.15.06-0111</t>
        </is>
      </c>
      <c r="D64" s="121" t="inlineStr">
        <is>
          <t>Гвозди строительные</t>
        </is>
      </c>
      <c r="E64" s="120" t="inlineStr">
        <is>
          <t>т</t>
        </is>
      </c>
      <c r="F64" s="120" t="n">
        <v>0.2226</v>
      </c>
      <c r="G64" s="126" t="n">
        <v>11978</v>
      </c>
      <c r="H64" s="126">
        <f>ROUND(F64*G64,2)</f>
        <v/>
      </c>
    </row>
    <row r="65" ht="31.35" customFormat="1" customHeight="1" s="86">
      <c r="A65" s="120" t="n">
        <v>51</v>
      </c>
      <c r="B65" s="120" t="n"/>
      <c r="C65" s="21" t="inlineStr">
        <is>
          <t>23.1.02.04-0024</t>
        </is>
      </c>
      <c r="D65" s="121" t="inlineStr">
        <is>
          <t>Сальник набивной (серия 5.900-2) длиной 300 мм, диаметром условного прохода 200 мм</t>
        </is>
      </c>
      <c r="E65" s="120" t="inlineStr">
        <is>
          <t>шт.</t>
        </is>
      </c>
      <c r="F65" s="120" t="n">
        <v>2</v>
      </c>
      <c r="G65" s="126" t="n">
        <v>1278</v>
      </c>
      <c r="H65" s="126">
        <f>ROUND(F65*G65,2)</f>
        <v/>
      </c>
    </row>
    <row r="66" ht="15.6" customFormat="1" customHeight="1" s="86">
      <c r="A66" s="120" t="n">
        <v>52</v>
      </c>
      <c r="B66" s="120" t="n"/>
      <c r="C66" s="21" t="inlineStr">
        <is>
          <t>08.1.02.06-0041</t>
        </is>
      </c>
      <c r="D66" s="121" t="inlineStr">
        <is>
          <t>Люки чугунные легкие</t>
        </is>
      </c>
      <c r="E66" s="120" t="inlineStr">
        <is>
          <t>шт.</t>
        </is>
      </c>
      <c r="F66" s="120" t="n">
        <v>4</v>
      </c>
      <c r="G66" s="126" t="n">
        <v>375</v>
      </c>
      <c r="H66" s="126">
        <f>ROUND(F66*G66,2)</f>
        <v/>
      </c>
    </row>
    <row r="67" ht="31.35" customFormat="1" customHeight="1" s="86">
      <c r="A67" s="120" t="n">
        <v>53</v>
      </c>
      <c r="B67" s="120" t="n"/>
      <c r="C67" s="21" t="inlineStr">
        <is>
          <t>07.2.05.01-0032</t>
        </is>
      </c>
      <c r="D67" s="121" t="inlineStr">
        <is>
          <t>Ограждения лестничных проемов, лестничные марши, пожарные лестницы</t>
        </is>
      </c>
      <c r="E67" s="120" t="inlineStr">
        <is>
          <t>т</t>
        </is>
      </c>
      <c r="F67" s="120" t="n">
        <v>0.188</v>
      </c>
      <c r="G67" s="126" t="n">
        <v>7571</v>
      </c>
      <c r="H67" s="126">
        <f>ROUND(F67*G67,2)</f>
        <v/>
      </c>
    </row>
    <row r="68" ht="46.9" customFormat="1" customHeight="1" s="86">
      <c r="A68" s="120" t="n">
        <v>54</v>
      </c>
      <c r="B68" s="120" t="n"/>
      <c r="C68" s="21" t="inlineStr">
        <is>
          <t>11.1.03.06-0095</t>
        </is>
      </c>
      <c r="D68" s="121" t="inlineStr">
        <is>
          <t>Доски обрезные хвойных пород длиной 4-6,5 м, шириной 75-150 мм, толщиной 44 мм и более, III сорта</t>
        </is>
      </c>
      <c r="E68" s="120" t="inlineStr">
        <is>
          <t>м3</t>
        </is>
      </c>
      <c r="F68" s="120" t="n">
        <v>1.244</v>
      </c>
      <c r="G68" s="126" t="n">
        <v>1056</v>
      </c>
      <c r="H68" s="126">
        <f>ROUND(F68*G68,2)</f>
        <v/>
      </c>
    </row>
    <row r="69" ht="46.9" customFormat="1" customHeight="1" s="86">
      <c r="A69" s="120" t="n">
        <v>55</v>
      </c>
      <c r="B69" s="120" t="n"/>
      <c r="C69" s="21" t="inlineStr">
        <is>
          <t>05.1.01.09-0065</t>
        </is>
      </c>
      <c r="D69" s="121" t="inlineStr">
        <is>
          <t>Кольцо стеновое смотровых колодцев КС15.9 /бетон В15 (М200), объем 0,40 м3, расход арматуры 7,02 кг/ (серия 3.900.1-14)</t>
        </is>
      </c>
      <c r="E69" s="120" t="inlineStr">
        <is>
          <t>шт.</t>
        </is>
      </c>
      <c r="F69" s="120" t="n">
        <v>2</v>
      </c>
      <c r="G69" s="126" t="n">
        <v>647.77</v>
      </c>
      <c r="H69" s="126">
        <f>ROUND(F69*G69,2)</f>
        <v/>
      </c>
    </row>
    <row r="70" ht="46.9" customFormat="1" customHeight="1" s="86">
      <c r="A70" s="120" t="n">
        <v>56</v>
      </c>
      <c r="B70" s="120" t="n"/>
      <c r="C70" s="21" t="inlineStr">
        <is>
          <t>11.1.02.04-0031</t>
        </is>
      </c>
      <c r="D70" s="121" t="inlineStr">
        <is>
          <t>Лесоматериалы круглые хвойных пород для строительства диаметром 14-24 см, длиной 3-6,5 м</t>
        </is>
      </c>
      <c r="E70" s="120" t="inlineStr">
        <is>
          <t>м3</t>
        </is>
      </c>
      <c r="F70" s="120" t="n">
        <v>2.249</v>
      </c>
      <c r="G70" s="126" t="n">
        <v>558.33</v>
      </c>
      <c r="H70" s="126">
        <f>ROUND(F70*G70,2)</f>
        <v/>
      </c>
    </row>
    <row r="71" ht="31.35" customFormat="1" customHeight="1" s="86">
      <c r="A71" s="120" t="n">
        <v>57</v>
      </c>
      <c r="B71" s="120" t="n"/>
      <c r="C71" s="21" t="inlineStr">
        <is>
          <t>07.2.07.13-0242</t>
        </is>
      </c>
      <c r="D71" s="121" t="inlineStr">
        <is>
          <t>Элементы соединительные стальные оцинкованные</t>
        </is>
      </c>
      <c r="E71" s="120" t="inlineStr">
        <is>
          <t>т</t>
        </is>
      </c>
      <c r="F71" s="120" t="n">
        <v>0.055</v>
      </c>
      <c r="G71" s="126" t="n">
        <v>22562.97</v>
      </c>
      <c r="H71" s="126">
        <f>ROUND(F71*G71,2)</f>
        <v/>
      </c>
    </row>
    <row r="72" ht="31.35" customFormat="1" customHeight="1" s="86">
      <c r="A72" s="120" t="n">
        <v>58</v>
      </c>
      <c r="B72" s="120" t="n"/>
      <c r="C72" s="21" t="inlineStr">
        <is>
          <t>04.3.01.09-0014</t>
        </is>
      </c>
      <c r="D72" s="121" t="inlineStr">
        <is>
          <t>Раствор готовый кладочный цементный марки 100</t>
        </is>
      </c>
      <c r="E72" s="120" t="inlineStr">
        <is>
          <t>м3</t>
        </is>
      </c>
      <c r="F72" s="120" t="n">
        <v>2.139552</v>
      </c>
      <c r="G72" s="126" t="n">
        <v>519.8</v>
      </c>
      <c r="H72" s="126">
        <f>ROUND(F72*G72,2)</f>
        <v/>
      </c>
    </row>
    <row r="73" ht="15.6" customFormat="1" customHeight="1" s="86">
      <c r="A73" s="120" t="n">
        <v>59</v>
      </c>
      <c r="B73" s="120" t="n"/>
      <c r="C73" s="21" t="inlineStr">
        <is>
          <t>14.1.04.02-0011</t>
        </is>
      </c>
      <c r="D73" s="121" t="inlineStr">
        <is>
          <t>Клей резиновый № 88-Н</t>
        </is>
      </c>
      <c r="E73" s="120" t="inlineStr">
        <is>
          <t>кг</t>
        </is>
      </c>
      <c r="F73" s="120" t="n">
        <v>23.78</v>
      </c>
      <c r="G73" s="126" t="n">
        <v>45</v>
      </c>
      <c r="H73" s="126">
        <f>ROUND(F73*G73,2)</f>
        <v/>
      </c>
    </row>
    <row r="74" ht="78" customFormat="1" customHeight="1" s="86">
      <c r="A74" s="120" t="n">
        <v>60</v>
      </c>
      <c r="B74" s="120" t="n"/>
      <c r="C74" s="21" t="inlineStr">
        <is>
          <t>07.2.07.12-0006</t>
        </is>
      </c>
      <c r="D74" s="121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74" s="120" t="inlineStr">
        <is>
          <t>т</t>
        </is>
      </c>
      <c r="F74" s="120" t="n">
        <v>0.0862</v>
      </c>
      <c r="G74" s="126" t="n">
        <v>10045</v>
      </c>
      <c r="H74" s="126">
        <f>ROUND(F74*G74,2)</f>
        <v/>
      </c>
    </row>
    <row r="75" ht="46.9" customFormat="1" customHeight="1" s="86">
      <c r="A75" s="120" t="n">
        <v>61</v>
      </c>
      <c r="B75" s="120" t="n"/>
      <c r="C75" s="21" t="inlineStr">
        <is>
          <t>05.1.06.09-0008</t>
        </is>
      </c>
      <c r="D75" s="121" t="inlineStr">
        <is>
          <t>Плита перекрытия: 2ПП15-2 /бетон В15 (М200), объем 0,27 м3, расход арматуры 32,71 кг/ (серия 3.900.1-14)</t>
        </is>
      </c>
      <c r="E75" s="120" t="inlineStr">
        <is>
          <t>шт.</t>
        </is>
      </c>
      <c r="F75" s="120" t="n">
        <v>2</v>
      </c>
      <c r="G75" s="126" t="n">
        <v>391.02</v>
      </c>
      <c r="H75" s="126">
        <f>ROUND(F75*G75,2)</f>
        <v/>
      </c>
    </row>
    <row r="76" ht="46.9" customFormat="1" customHeight="1" s="86">
      <c r="A76" s="120" t="n">
        <v>62</v>
      </c>
      <c r="B76" s="120" t="n"/>
      <c r="C76" s="21" t="inlineStr">
        <is>
          <t>05.1.01.09-0056</t>
        </is>
      </c>
      <c r="D76" s="121" t="inlineStr">
        <is>
          <t>Кольцо стеновое смотровых колодцев КС10.9 /бетон В15 (М200), объем 0,24 м3, расход арматуры 5,66 кг/ (серия 3.900.1-14)</t>
        </is>
      </c>
      <c r="E76" s="120" t="inlineStr">
        <is>
          <t>шт.</t>
        </is>
      </c>
      <c r="F76" s="120" t="n">
        <v>2</v>
      </c>
      <c r="G76" s="126" t="n">
        <v>362.1</v>
      </c>
      <c r="H76" s="126">
        <f>ROUND(F76*G76,2)</f>
        <v/>
      </c>
    </row>
    <row r="77" ht="31.35" customFormat="1" customHeight="1" s="86">
      <c r="A77" s="120" t="n">
        <v>63</v>
      </c>
      <c r="B77" s="120" t="n"/>
      <c r="C77" s="21" t="inlineStr">
        <is>
          <t>08.3.03.06-0002</t>
        </is>
      </c>
      <c r="D77" s="121" t="inlineStr">
        <is>
          <t>Проволока горячекатаная в мотках, диаметром 6,3-6,5 мм</t>
        </is>
      </c>
      <c r="E77" s="120" t="inlineStr">
        <is>
          <t>т</t>
        </is>
      </c>
      <c r="F77" s="120" t="n">
        <v>0.1036</v>
      </c>
      <c r="G77" s="126" t="n">
        <v>4455.2</v>
      </c>
      <c r="H77" s="126">
        <f>ROUND(F77*G77,2)</f>
        <v/>
      </c>
    </row>
    <row r="78" ht="15.6" customFormat="1" customHeight="1" s="86">
      <c r="A78" s="120" t="n">
        <v>64</v>
      </c>
      <c r="B78" s="120" t="n"/>
      <c r="C78" s="21" t="inlineStr">
        <is>
          <t>01.7.03.01-0001</t>
        </is>
      </c>
      <c r="D78" s="121" t="inlineStr">
        <is>
          <t>Вода</t>
        </is>
      </c>
      <c r="E78" s="120" t="inlineStr">
        <is>
          <t>м3</t>
        </is>
      </c>
      <c r="F78" s="120" t="n">
        <v>188.0369</v>
      </c>
      <c r="G78" s="126" t="n">
        <v>2.44</v>
      </c>
      <c r="H78" s="126">
        <f>ROUND(F78*G78,2)</f>
        <v/>
      </c>
    </row>
    <row r="79" ht="31.35" customFormat="1" customHeight="1" s="86">
      <c r="A79" s="120" t="n">
        <v>65</v>
      </c>
      <c r="B79" s="120" t="n"/>
      <c r="C79" s="21" t="inlineStr">
        <is>
          <t>11.1.03.06-0094</t>
        </is>
      </c>
      <c r="D79" s="121" t="inlineStr">
        <is>
          <t>Доска обрезная, хвойных пород, ширина 75-150 мм, толщина 44 мм и более, длина 4-6,5 м, сорт II</t>
        </is>
      </c>
      <c r="E79" s="120" t="inlineStr">
        <is>
          <t>м3</t>
        </is>
      </c>
      <c r="F79" s="120" t="n">
        <v>0.28</v>
      </c>
      <c r="G79" s="126" t="n">
        <v>1320</v>
      </c>
      <c r="H79" s="126">
        <f>ROUND(F79*G79,2)</f>
        <v/>
      </c>
    </row>
    <row r="80" ht="46.9" customFormat="1" customHeight="1" s="86">
      <c r="A80" s="120" t="n">
        <v>66</v>
      </c>
      <c r="B80" s="120" t="n"/>
      <c r="C80" s="21" t="inlineStr">
        <is>
          <t>05.1.06.09-0088</t>
        </is>
      </c>
      <c r="D80" s="121" t="inlineStr">
        <is>
          <t>Плита перекрытия: ПП10-2 /бетон В15 (М200), объем 0,10 м3, расход арматуры 16,65 кг/ (серия 3.900.1-14)</t>
        </is>
      </c>
      <c r="E80" s="120" t="inlineStr">
        <is>
          <t>шт.</t>
        </is>
      </c>
      <c r="F80" s="120" t="n">
        <v>2</v>
      </c>
      <c r="G80" s="126" t="n">
        <v>175.57</v>
      </c>
      <c r="H80" s="126">
        <f>ROUND(F80*G80,2)</f>
        <v/>
      </c>
    </row>
    <row r="81" ht="46.9" customFormat="1" customHeight="1" s="86">
      <c r="A81" s="120" t="n">
        <v>67</v>
      </c>
      <c r="B81" s="120" t="n"/>
      <c r="C81" s="21" t="inlineStr">
        <is>
          <t>19.2.02.01-0001</t>
        </is>
      </c>
      <c r="D81" s="121" t="inlineStr">
        <is>
          <t>Зонты вентиляционных систем из листовой и сортовой стали, круглые, диаметром шахты 200 мм</t>
        </is>
      </c>
      <c r="E81" s="120" t="inlineStr">
        <is>
          <t>шт.</t>
        </is>
      </c>
      <c r="F81" s="120" t="n">
        <v>2</v>
      </c>
      <c r="G81" s="126" t="n">
        <v>138.79</v>
      </c>
      <c r="H81" s="126">
        <f>ROUND(F81*G81,2)</f>
        <v/>
      </c>
    </row>
    <row r="82" ht="15.6" customFormat="1" customHeight="1" s="86">
      <c r="A82" s="120" t="n">
        <v>68</v>
      </c>
      <c r="B82" s="120" t="n"/>
      <c r="C82" s="21" t="inlineStr">
        <is>
          <t>11.2.13.04-0011</t>
        </is>
      </c>
      <c r="D82" s="121" t="inlineStr">
        <is>
          <t>Щиты из досок, толщина 25 мм</t>
        </is>
      </c>
      <c r="E82" s="120" t="inlineStr">
        <is>
          <t>м2</t>
        </is>
      </c>
      <c r="F82" s="120" t="n">
        <v>7.2</v>
      </c>
      <c r="G82" s="126" t="n">
        <v>35.53</v>
      </c>
      <c r="H82" s="126">
        <f>ROUND(F82*G82,2)</f>
        <v/>
      </c>
    </row>
    <row r="83" ht="78" customFormat="1" customHeight="1" s="86">
      <c r="A83" s="120" t="n">
        <v>69</v>
      </c>
      <c r="B83" s="120" t="n"/>
      <c r="C83" s="21" t="inlineStr">
        <is>
          <t>08.4.01.02-0013</t>
        </is>
      </c>
      <c r="D83" s="12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83" s="120" t="inlineStr">
        <is>
          <t>т</t>
        </is>
      </c>
      <c r="F83" s="120" t="n">
        <v>0.0336</v>
      </c>
      <c r="G83" s="126" t="n">
        <v>6800</v>
      </c>
      <c r="H83" s="126">
        <f>ROUND(F83*G83,2)</f>
        <v/>
      </c>
    </row>
    <row r="84" ht="15.6" customFormat="1" customHeight="1" s="86">
      <c r="A84" s="120" t="n">
        <v>70</v>
      </c>
      <c r="B84" s="120" t="n"/>
      <c r="C84" s="21" t="inlineStr">
        <is>
          <t>03.2.02.08-0002</t>
        </is>
      </c>
      <c r="D84" s="121" t="inlineStr">
        <is>
          <t>Цемент расширяющийся</t>
        </is>
      </c>
      <c r="E84" s="120" t="inlineStr">
        <is>
          <t>т</t>
        </is>
      </c>
      <c r="F84" s="120" t="n">
        <v>0.06</v>
      </c>
      <c r="G84" s="126" t="n">
        <v>2165.8</v>
      </c>
      <c r="H84" s="126">
        <f>ROUND(F84*G84,2)</f>
        <v/>
      </c>
    </row>
    <row r="85" ht="15.6" customFormat="1" customHeight="1" s="86">
      <c r="A85" s="120" t="n">
        <v>71</v>
      </c>
      <c r="B85" s="120" t="n"/>
      <c r="C85" s="21" t="inlineStr">
        <is>
          <t>01.7.07.29-0111</t>
        </is>
      </c>
      <c r="D85" s="121" t="inlineStr">
        <is>
          <t>Пакля пропитанная</t>
        </is>
      </c>
      <c r="E85" s="120" t="inlineStr">
        <is>
          <t>кг</t>
        </is>
      </c>
      <c r="F85" s="120" t="n">
        <v>13.6</v>
      </c>
      <c r="G85" s="126" t="n">
        <v>9.039999999999999</v>
      </c>
      <c r="H85" s="126">
        <f>ROUND(F85*G85,2)</f>
        <v/>
      </c>
    </row>
    <row r="86" ht="15.6" customFormat="1" customHeight="1" s="86">
      <c r="A86" s="120" t="n">
        <v>72</v>
      </c>
      <c r="B86" s="120" t="n"/>
      <c r="C86" s="21" t="inlineStr">
        <is>
          <t>03.1.02.03-0011</t>
        </is>
      </c>
      <c r="D86" s="121" t="inlineStr">
        <is>
          <t>Известь строительная негашеная комовая, сорт I</t>
        </is>
      </c>
      <c r="E86" s="120" t="inlineStr">
        <is>
          <t>т</t>
        </is>
      </c>
      <c r="F86" s="120" t="n">
        <v>0.1596</v>
      </c>
      <c r="G86" s="126" t="n">
        <v>734.5</v>
      </c>
      <c r="H86" s="126">
        <f>ROUND(F86*G86,2)</f>
        <v/>
      </c>
    </row>
    <row r="87" ht="31.35" customFormat="1" customHeight="1" s="86">
      <c r="A87" s="120" t="n">
        <v>73</v>
      </c>
      <c r="B87" s="120" t="n"/>
      <c r="C87" s="21" t="inlineStr">
        <is>
          <t>24.2.05.01-0002</t>
        </is>
      </c>
      <c r="D87" s="121" t="inlineStr">
        <is>
          <t>Трубы хризотилцементные безнапорные БНТ, диаметр условного прохода 150 мм</t>
        </is>
      </c>
      <c r="E87" s="120" t="inlineStr">
        <is>
          <t>м</t>
        </is>
      </c>
      <c r="F87" s="120" t="n">
        <v>3.4</v>
      </c>
      <c r="G87" s="126" t="n">
        <v>32.67</v>
      </c>
      <c r="H87" s="126">
        <f>ROUND(F87*G87,2)</f>
        <v/>
      </c>
    </row>
    <row r="88" ht="31.35" customFormat="1" customHeight="1" s="86">
      <c r="A88" s="120" t="n">
        <v>74</v>
      </c>
      <c r="B88" s="120" t="n"/>
      <c r="C88" s="21" t="inlineStr">
        <is>
          <t>05.1.01.13-0043</t>
        </is>
      </c>
      <c r="D88" s="121" t="inlineStr">
        <is>
          <t>Плита железобетонная покрытий, перекрытий и днищ</t>
        </is>
      </c>
      <c r="E88" s="120" t="inlineStr">
        <is>
          <t>м3</t>
        </is>
      </c>
      <c r="F88" s="120" t="n">
        <v>0.0799</v>
      </c>
      <c r="G88" s="126" t="n">
        <v>1382.9</v>
      </c>
      <c r="H88" s="126">
        <f>ROUND(F88*G88,2)</f>
        <v/>
      </c>
    </row>
    <row r="89" ht="31.35" customFormat="1" customHeight="1" s="86">
      <c r="A89" s="120" t="n">
        <v>75</v>
      </c>
      <c r="B89" s="120" t="n"/>
      <c r="C89" s="21" t="inlineStr">
        <is>
          <t>08.3.03.05-0011</t>
        </is>
      </c>
      <c r="D89" s="121" t="inlineStr">
        <is>
          <t>Проволока стальная низкоуглеродистая разного назначения оцинкованная, диаметр 1,1 мм</t>
        </is>
      </c>
      <c r="E89" s="120" t="inlineStr">
        <is>
          <t>т</t>
        </is>
      </c>
      <c r="F89" s="120" t="n">
        <v>0.0075</v>
      </c>
      <c r="G89" s="126" t="n">
        <v>14690</v>
      </c>
      <c r="H89" s="126">
        <f>ROUND(F89*G89,2)</f>
        <v/>
      </c>
    </row>
    <row r="90" ht="31.35" customFormat="1" customHeight="1" s="86">
      <c r="A90" s="120" t="n">
        <v>76</v>
      </c>
      <c r="B90" s="120" t="n"/>
      <c r="C90" s="21" t="inlineStr">
        <is>
          <t>11.1.03.06-0092</t>
        </is>
      </c>
      <c r="D90" s="121" t="inlineStr">
        <is>
          <t>Доска обрезная, хвойных пород, ширина 75-150 мм, толщина 32-40 мм, длина 4-6,5 м, сорт IV</t>
        </is>
      </c>
      <c r="E90" s="120" t="inlineStr">
        <is>
          <t>м3</t>
        </is>
      </c>
      <c r="F90" s="120" t="n">
        <v>0.1018</v>
      </c>
      <c r="G90" s="126" t="n">
        <v>1010</v>
      </c>
      <c r="H90" s="126">
        <f>ROUND(F90*G90,2)</f>
        <v/>
      </c>
    </row>
    <row r="91" ht="31.35" customFormat="1" customHeight="1" s="86">
      <c r="A91" s="120" t="n">
        <v>77</v>
      </c>
      <c r="B91" s="120" t="n"/>
      <c r="C91" s="21" t="inlineStr">
        <is>
          <t>08.3.02.01-0041</t>
        </is>
      </c>
      <c r="D91" s="121" t="inlineStr">
        <is>
          <t>Лента стальная упаковочная мягкая нормальной точности 0,7х20-50 мм</t>
        </is>
      </c>
      <c r="E91" s="120" t="inlineStr">
        <is>
          <t>т</t>
        </is>
      </c>
      <c r="F91" s="120" t="n">
        <v>0.0118</v>
      </c>
      <c r="G91" s="126" t="n">
        <v>7590</v>
      </c>
      <c r="H91" s="126">
        <f>ROUND(F91*G91,2)</f>
        <v/>
      </c>
    </row>
    <row r="92" ht="15.6" customFormat="1" customHeight="1" s="86">
      <c r="A92" s="120" t="n">
        <v>78</v>
      </c>
      <c r="B92" s="120" t="n"/>
      <c r="C92" s="21" t="inlineStr">
        <is>
          <t>04.3.01.12-0002</t>
        </is>
      </c>
      <c r="D92" s="121" t="inlineStr">
        <is>
          <t>Раствор кладочный, цементно-известковый, М25</t>
        </is>
      </c>
      <c r="E92" s="120" t="inlineStr">
        <is>
          <t>м3</t>
        </is>
      </c>
      <c r="F92" s="120" t="n">
        <v>0.18</v>
      </c>
      <c r="G92" s="126" t="n">
        <v>497</v>
      </c>
      <c r="H92" s="126">
        <f>ROUND(F92*G92,2)</f>
        <v/>
      </c>
    </row>
    <row r="93" ht="15.6" customFormat="1" customHeight="1" s="86">
      <c r="A93" s="120" t="n">
        <v>79</v>
      </c>
      <c r="B93" s="120" t="n"/>
      <c r="C93" s="21" t="inlineStr">
        <is>
          <t>12.1.02.06-0042</t>
        </is>
      </c>
      <c r="D93" s="121" t="inlineStr">
        <is>
          <t>Рубероид кровельный РПП-300</t>
        </is>
      </c>
      <c r="E93" s="120" t="inlineStr">
        <is>
          <t>м2</t>
        </is>
      </c>
      <c r="F93" s="120" t="n">
        <v>11.76</v>
      </c>
      <c r="G93" s="126" t="n">
        <v>6.78</v>
      </c>
      <c r="H93" s="126">
        <f>ROUND(F93*G93,2)</f>
        <v/>
      </c>
    </row>
    <row r="94" ht="15.6" customFormat="1" customHeight="1" s="86">
      <c r="A94" s="120" t="n">
        <v>80</v>
      </c>
      <c r="B94" s="120" t="n"/>
      <c r="C94" s="21" t="inlineStr">
        <is>
          <t>01.7.11.07-0054</t>
        </is>
      </c>
      <c r="D94" s="121" t="inlineStr">
        <is>
          <t>Электроды сварочные Э42, диаметр 6 мм</t>
        </is>
      </c>
      <c r="E94" s="120" t="inlineStr">
        <is>
          <t>т</t>
        </is>
      </c>
      <c r="F94" s="120" t="n">
        <v>0.0058</v>
      </c>
      <c r="G94" s="126" t="n">
        <v>9424</v>
      </c>
      <c r="H94" s="126">
        <f>ROUND(F94*G94,2)</f>
        <v/>
      </c>
    </row>
    <row r="95" ht="31.35" customFormat="1" customHeight="1" s="86">
      <c r="A95" s="120" t="n">
        <v>81</v>
      </c>
      <c r="B95" s="120" t="n"/>
      <c r="C95" s="21" t="inlineStr">
        <is>
          <t>08.3.03.06-0002</t>
        </is>
      </c>
      <c r="D95" s="121" t="inlineStr">
        <is>
          <t>Проволока горячекатаная в мотках, диаметр 6,3-6,5 мм</t>
        </is>
      </c>
      <c r="E95" s="120" t="inlineStr">
        <is>
          <t>т</t>
        </is>
      </c>
      <c r="F95" s="120" t="n">
        <v>0.0119</v>
      </c>
      <c r="G95" s="126" t="n">
        <v>4455.2</v>
      </c>
      <c r="H95" s="126">
        <f>ROUND(F95*G95,2)</f>
        <v/>
      </c>
    </row>
    <row r="96" ht="31.35" customFormat="1" customHeight="1" s="86">
      <c r="A96" s="120" t="n">
        <v>82</v>
      </c>
      <c r="B96" s="120" t="n"/>
      <c r="C96" s="21" t="inlineStr">
        <is>
          <t>04.1.02.05-0003</t>
        </is>
      </c>
      <c r="D96" s="121" t="inlineStr">
        <is>
          <t>Смеси бетонные тяжелого бетона (БСТ), класс В7,5 (М100)</t>
        </is>
      </c>
      <c r="E96" s="120" t="inlineStr">
        <is>
          <t>м3</t>
        </is>
      </c>
      <c r="F96" s="120" t="n">
        <v>0.0269</v>
      </c>
      <c r="G96" s="126" t="n">
        <v>560</v>
      </c>
      <c r="H96" s="126">
        <f>ROUND(F96*G96,2)</f>
        <v/>
      </c>
    </row>
    <row r="97" ht="31.35" customFormat="1" customHeight="1" s="86">
      <c r="A97" s="120" t="n">
        <v>83</v>
      </c>
      <c r="B97" s="120" t="n"/>
      <c r="C97" s="21" t="inlineStr">
        <is>
          <t>08.4.03.02-0005</t>
        </is>
      </c>
      <c r="D97" s="121" t="inlineStr">
        <is>
          <t>Сталь арматурная, горячекатаная, гладкая, класс А-I, диаметр 14 мм</t>
        </is>
      </c>
      <c r="E97" s="120" t="inlineStr">
        <is>
          <t>т</t>
        </is>
      </c>
      <c r="F97" s="120" t="n">
        <v>0.0024</v>
      </c>
      <c r="G97" s="126" t="n">
        <v>6210</v>
      </c>
      <c r="H97" s="126">
        <f>ROUND(F97*G97,2)</f>
        <v/>
      </c>
    </row>
    <row r="98" ht="46.9" customFormat="1" customHeight="1" s="86">
      <c r="A98" s="120" t="n">
        <v>84</v>
      </c>
      <c r="B98" s="120" t="n"/>
      <c r="C98" s="21" t="inlineStr">
        <is>
          <t>01.7.19.09-0023</t>
        </is>
      </c>
      <c r="D98" s="121" t="inlineStr">
        <is>
          <t>Рукава резинотканевые напорно-всасывающие для воды давлением 1 МПа (10 кгс/см2), диаметром 25 мм</t>
        </is>
      </c>
      <c r="E98" s="120" t="inlineStr">
        <is>
          <t>м</t>
        </is>
      </c>
      <c r="F98" s="120" t="n">
        <v>0.3</v>
      </c>
      <c r="G98" s="126" t="n">
        <v>49.06</v>
      </c>
      <c r="H98" s="126">
        <f>ROUND(F98*G98,2)</f>
        <v/>
      </c>
    </row>
    <row r="99" ht="15.6" customFormat="1" customHeight="1" s="86">
      <c r="A99" s="120" t="n">
        <v>85</v>
      </c>
      <c r="B99" s="120" t="n"/>
      <c r="C99" s="21" t="inlineStr">
        <is>
          <t>03.2.02.08-0001</t>
        </is>
      </c>
      <c r="D99" s="121" t="inlineStr">
        <is>
          <t>Цемент гипсоглиноземистый расширяющийся</t>
        </is>
      </c>
      <c r="E99" s="120" t="inlineStr">
        <is>
          <t>т</t>
        </is>
      </c>
      <c r="F99" s="120" t="n">
        <v>0.003</v>
      </c>
      <c r="G99" s="126" t="n">
        <v>1836</v>
      </c>
      <c r="H99" s="126">
        <f>ROUND(F99*G99,2)</f>
        <v/>
      </c>
    </row>
    <row r="100" ht="15.6" customFormat="1" customHeight="1" s="86">
      <c r="A100" s="120" t="n">
        <v>86</v>
      </c>
      <c r="B100" s="120" t="n"/>
      <c r="C100" s="21" t="inlineStr">
        <is>
          <t>01.2.03.03-0043</t>
        </is>
      </c>
      <c r="D100" s="121" t="inlineStr">
        <is>
          <t>Мастика битумно-кукерсольная холодная</t>
        </is>
      </c>
      <c r="E100" s="120" t="inlineStr">
        <is>
          <t>т</t>
        </is>
      </c>
      <c r="F100" s="120" t="n">
        <v>0.0016</v>
      </c>
      <c r="G100" s="126" t="n">
        <v>3219.2</v>
      </c>
      <c r="H100" s="126">
        <f>ROUND(F100*G100,2)</f>
        <v/>
      </c>
    </row>
    <row r="101" ht="15.6" customFormat="1" customHeight="1" s="86">
      <c r="A101" s="120" t="n">
        <v>87</v>
      </c>
      <c r="B101" s="120" t="n"/>
      <c r="C101" s="21" t="inlineStr">
        <is>
          <t>02.2.05.04-1777</t>
        </is>
      </c>
      <c r="D101" s="121" t="inlineStr">
        <is>
          <t>Щебень М 800, фракция 20-40 мм, группа 2</t>
        </is>
      </c>
      <c r="E101" s="120" t="inlineStr">
        <is>
          <t>м3</t>
        </is>
      </c>
      <c r="F101" s="120" t="n">
        <v>0.0457</v>
      </c>
      <c r="G101" s="126" t="n">
        <v>108.4</v>
      </c>
      <c r="H101" s="126">
        <f>ROUND(F101*G101,2)</f>
        <v/>
      </c>
    </row>
    <row r="102" ht="15.6" customFormat="1" customHeight="1" s="86">
      <c r="A102" s="120" t="n">
        <v>88</v>
      </c>
      <c r="B102" s="120" t="n"/>
      <c r="C102" s="21" t="inlineStr">
        <is>
          <t>01.7.15.03-0042</t>
        </is>
      </c>
      <c r="D102" s="121" t="inlineStr">
        <is>
          <t>Болты с гайками и шайбами строительные</t>
        </is>
      </c>
      <c r="E102" s="120" t="inlineStr">
        <is>
          <t>кг</t>
        </is>
      </c>
      <c r="F102" s="120" t="n">
        <v>0.3624</v>
      </c>
      <c r="G102" s="126" t="n">
        <v>9.039999999999999</v>
      </c>
      <c r="H102" s="126">
        <f>ROUND(F102*G102,2)</f>
        <v/>
      </c>
    </row>
    <row r="103" ht="15.6" customFormat="1" customHeight="1" s="86">
      <c r="A103" s="120" t="n">
        <v>89</v>
      </c>
      <c r="B103" s="120" t="n"/>
      <c r="C103" s="21" t="inlineStr">
        <is>
          <t>04.1.02.01-0006</t>
        </is>
      </c>
      <c r="D103" s="121" t="inlineStr">
        <is>
          <t>Бетон мелкозернистый, класс В15 (М200)</t>
        </is>
      </c>
      <c r="E103" s="120" t="inlineStr">
        <is>
          <t>м3</t>
        </is>
      </c>
      <c r="F103" s="120" t="n">
        <v>0.0054</v>
      </c>
      <c r="G103" s="126" t="n">
        <v>490</v>
      </c>
      <c r="H103" s="126">
        <f>ROUND(F103*G103,2)</f>
        <v/>
      </c>
    </row>
    <row r="104" ht="15.6" customFormat="1" customHeight="1" s="86">
      <c r="A104" s="120" t="n">
        <v>90</v>
      </c>
      <c r="B104" s="120" t="n"/>
      <c r="C104" s="21" t="inlineStr">
        <is>
          <t>11.2.13.04-0012</t>
        </is>
      </c>
      <c r="D104" s="121" t="inlineStr">
        <is>
          <t>Щиты из досок, толщина 40 мм</t>
        </is>
      </c>
      <c r="E104" s="120" t="inlineStr">
        <is>
          <t>м2</t>
        </is>
      </c>
      <c r="F104" s="120" t="n">
        <v>0.0243</v>
      </c>
      <c r="G104" s="126" t="n">
        <v>57.63</v>
      </c>
      <c r="H104" s="126">
        <f>ROUND(F104*G104,2)</f>
        <v/>
      </c>
    </row>
    <row r="105" ht="15.6" customFormat="1" customHeight="1" s="86">
      <c r="A105" s="120" t="n">
        <v>91</v>
      </c>
      <c r="B105" s="120" t="n"/>
      <c r="C105" s="21" t="inlineStr">
        <is>
          <t>01.7.07.12-0024</t>
        </is>
      </c>
      <c r="D105" s="121" t="inlineStr">
        <is>
          <t>Пленка полиэтиленовая, толщина 0,15 мм</t>
        </is>
      </c>
      <c r="E105" s="120" t="inlineStr">
        <is>
          <t>м2</t>
        </is>
      </c>
      <c r="F105" s="120" t="n">
        <v>0.325</v>
      </c>
      <c r="G105" s="126" t="n">
        <v>3.62</v>
      </c>
      <c r="H105" s="126">
        <f>ROUND(F105*G105,2)</f>
        <v/>
      </c>
    </row>
    <row r="106" ht="15.6" customFormat="1" customHeight="1" s="86">
      <c r="A106" s="120" t="n">
        <v>92</v>
      </c>
      <c r="B106" s="120" t="n"/>
      <c r="C106" s="21" t="inlineStr">
        <is>
          <t>01.7.11.07-0045</t>
        </is>
      </c>
      <c r="D106" s="121" t="inlineStr">
        <is>
          <t>Электроды сварочные Э42А, диаметр 5 мм</t>
        </is>
      </c>
      <c r="E106" s="120" t="inlineStr">
        <is>
          <t>т</t>
        </is>
      </c>
      <c r="F106" s="120" t="n">
        <v>0.0001</v>
      </c>
      <c r="G106" s="126" t="n">
        <v>10362</v>
      </c>
      <c r="H106" s="126">
        <f>ROUND(F106*G106,2)</f>
        <v/>
      </c>
    </row>
    <row r="107" ht="31.35" customFormat="1" customHeight="1" s="86">
      <c r="A107" s="120" t="n">
        <v>93</v>
      </c>
      <c r="B107" s="120" t="n"/>
      <c r="C107" s="21" t="inlineStr">
        <is>
          <t>11.1.03.01-0079</t>
        </is>
      </c>
      <c r="D107" s="121" t="inlineStr">
        <is>
          <t>Бруски обрезные, хвойных пород, длина 4-6,5 м, ширина 75-150 мм, толщина 40-75 мм, сорт III</t>
        </is>
      </c>
      <c r="E107" s="120" t="inlineStr">
        <is>
          <t>м3</t>
        </is>
      </c>
      <c r="F107" s="120" t="n">
        <v>0.0008</v>
      </c>
      <c r="G107" s="126" t="n">
        <v>1287</v>
      </c>
      <c r="H107" s="126">
        <f>ROUND(F107*G107,2)</f>
        <v/>
      </c>
    </row>
    <row r="108" ht="15.6" customFormat="1" customHeight="1" s="86">
      <c r="A108" s="120" t="n">
        <v>94</v>
      </c>
      <c r="B108" s="120" t="n"/>
      <c r="C108" s="21" t="inlineStr">
        <is>
          <t>04.3.01.09-0012</t>
        </is>
      </c>
      <c r="D108" s="121" t="inlineStr">
        <is>
          <t>Раствор готовый кладочный, цементный, М50</t>
        </is>
      </c>
      <c r="E108" s="120" t="inlineStr">
        <is>
          <t>м3</t>
        </is>
      </c>
      <c r="F108" s="120" t="n">
        <v>0.002</v>
      </c>
      <c r="G108" s="126" t="n">
        <v>485.9</v>
      </c>
      <c r="H108" s="126">
        <f>ROUND(F108*G108,2)</f>
        <v/>
      </c>
    </row>
    <row r="109" ht="15.6" customFormat="1" customHeight="1" s="86">
      <c r="A109" s="120" t="n">
        <v>95</v>
      </c>
      <c r="B109" s="120" t="n"/>
      <c r="C109" s="21" t="inlineStr">
        <is>
          <t>01.3.01.03-0002</t>
        </is>
      </c>
      <c r="D109" s="121" t="inlineStr">
        <is>
          <t>Керосин для технических целей</t>
        </is>
      </c>
      <c r="E109" s="120" t="inlineStr">
        <is>
          <t>т</t>
        </is>
      </c>
      <c r="F109" s="120" t="n">
        <v>0.0002</v>
      </c>
      <c r="G109" s="126" t="n">
        <v>2606.9</v>
      </c>
      <c r="H109" s="126">
        <f>ROUND(F109*G109,2)</f>
        <v/>
      </c>
    </row>
    <row r="110" ht="31.35" customFormat="1" customHeight="1" s="86">
      <c r="A110" s="120" t="n">
        <v>96</v>
      </c>
      <c r="B110" s="120" t="n"/>
      <c r="C110" s="21" t="inlineStr">
        <is>
          <t>01.7.19.04-0031</t>
        </is>
      </c>
      <c r="D110" s="121" t="inlineStr">
        <is>
          <t>Прокладки резиновые (пластина техническая прессованная)</t>
        </is>
      </c>
      <c r="E110" s="120" t="inlineStr">
        <is>
          <t>кг</t>
        </is>
      </c>
      <c r="F110" s="120" t="n">
        <v>0.0013</v>
      </c>
      <c r="G110" s="126" t="n">
        <v>23.09</v>
      </c>
      <c r="H110" s="126">
        <f>ROUND(F110*G110,2)</f>
        <v/>
      </c>
    </row>
    <row r="111" ht="15.6" customFormat="1" customHeight="1" s="86">
      <c r="A111" s="120" t="n">
        <v>97</v>
      </c>
      <c r="B111" s="120" t="n"/>
      <c r="C111" s="21" t="inlineStr">
        <is>
          <t>14.5.09.07-0030</t>
        </is>
      </c>
      <c r="D111" s="121" t="inlineStr">
        <is>
          <t>Растворитель Р-4</t>
        </is>
      </c>
      <c r="E111" s="120" t="inlineStr">
        <is>
          <t>кг</t>
        </is>
      </c>
      <c r="F111" s="120" t="n">
        <v>0.0005999999999999999</v>
      </c>
      <c r="G111" s="126" t="n">
        <v>9.42</v>
      </c>
      <c r="H111" s="126">
        <f>ROUND(F111*G111,2)</f>
        <v/>
      </c>
    </row>
    <row r="112" ht="15.6" customFormat="1" customHeight="1" s="86">
      <c r="A112" s="120" t="n">
        <v>98</v>
      </c>
      <c r="B112" s="120" t="n"/>
      <c r="C112" s="21" t="inlineStr">
        <is>
          <t>08.4.03.04</t>
        </is>
      </c>
      <c r="D112" s="121" t="inlineStr">
        <is>
          <t>Арматура</t>
        </is>
      </c>
      <c r="E112" s="120" t="inlineStr">
        <is>
          <t>т</t>
        </is>
      </c>
      <c r="F112" s="120" t="n">
        <v>17.2</v>
      </c>
      <c r="G112" s="126" t="n"/>
      <c r="H112" s="126">
        <f>ROUND(F112*G112,2)</f>
        <v/>
      </c>
    </row>
    <row r="113" ht="15.6" customFormat="1" customHeight="1" s="86">
      <c r="A113" s="120" t="n">
        <v>99</v>
      </c>
      <c r="B113" s="120" t="n"/>
      <c r="C113" s="21" t="inlineStr">
        <is>
          <t>08.4.01.02</t>
        </is>
      </c>
      <c r="D113" s="121" t="inlineStr">
        <is>
          <t>Детали закладные и накладные</t>
        </is>
      </c>
      <c r="E113" s="120" t="inlineStr">
        <is>
          <t>т</t>
        </is>
      </c>
      <c r="F113" s="120" t="n">
        <v>0.0336</v>
      </c>
      <c r="G113" s="126" t="n"/>
      <c r="H113" s="126">
        <f>ROUND(F113*G113,2)</f>
        <v/>
      </c>
    </row>
    <row r="114" ht="15.6" customFormat="1" customHeight="1" s="86"/>
    <row r="115" ht="15.6" customFormat="1" customHeight="1" s="86"/>
    <row r="116" ht="15.6" customFormat="1" customHeight="1" s="86"/>
    <row r="117" ht="15.6" customFormat="1" customHeight="1" s="86"/>
    <row r="118" ht="15.6" customFormat="1" customHeight="1" s="86">
      <c r="B118" s="86" t="inlineStr">
        <is>
          <t>Составил ______________________        М.С. Колотиевская</t>
        </is>
      </c>
    </row>
    <row r="119" ht="15.6" customFormat="1" customHeight="1" s="86">
      <c r="B119" s="8" t="inlineStr">
        <is>
          <t xml:space="preserve">                         (подпись, инициалы, фамилия)</t>
        </is>
      </c>
    </row>
    <row r="120" ht="15.6" customFormat="1" customHeight="1" s="86"/>
    <row r="121" ht="15.6" customFormat="1" customHeight="1" s="86">
      <c r="B121" s="86" t="inlineStr">
        <is>
          <t>Проверил ______________________       М.С. Колотиевская</t>
        </is>
      </c>
    </row>
    <row r="122" ht="15.6" customFormat="1" customHeight="1" s="86">
      <c r="B122" s="8" t="inlineStr">
        <is>
          <t xml:space="preserve">                        (подпись, инициалы, фамилия)</t>
        </is>
      </c>
    </row>
    <row r="123" ht="15.6" customFormat="1" customHeight="1" s="86"/>
  </sheetData>
  <mergeCells count="15">
    <mergeCell ref="A3:H3"/>
    <mergeCell ref="A8:A9"/>
    <mergeCell ref="E8:E9"/>
    <mergeCell ref="A26:E26"/>
    <mergeCell ref="C8:C9"/>
    <mergeCell ref="F8:F9"/>
    <mergeCell ref="A2:H2"/>
    <mergeCell ref="A28:E28"/>
    <mergeCell ref="A11:E11"/>
    <mergeCell ref="A49:E49"/>
    <mergeCell ref="B8:B9"/>
    <mergeCell ref="D8:D9"/>
    <mergeCell ref="C4:H4"/>
    <mergeCell ref="G8:H8"/>
    <mergeCell ref="A6:H6"/>
  </mergeCells>
  <conditionalFormatting sqref="F11:F113">
    <cfRule type="expression" priority="1" dxfId="0" stopIfTrue="1">
      <formula>ROUND(F11*10000,0)/10000=F11</formula>
    </cfRule>
  </conditionalFormatting>
  <printOptions gridLines="0" gridLinesSet="1"/>
  <pageMargins left="0.7" right="0.7" top="0.75" bottom="0.75" header="0.3" footer="0.3"/>
  <pageSetup orientation="portrait" paperSize="9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showGridLines="1" showRowColHeaders="1" tabSelected="0" topLeftCell="A28" workbookViewId="0">
      <selection activeCell="C41" sqref="C41"/>
    </sheetView>
  </sheetViews>
  <sheetFormatPr baseColWidth="8" defaultColWidth="9.140625" defaultRowHeight="14.4" outlineLevelRow="0"/>
  <cols>
    <col width="4.140625" customWidth="1" style="84" min="1" max="1"/>
    <col width="36.42578125" customWidth="1" style="84" min="2" max="2"/>
    <col width="18.85546875" customWidth="1" style="84" min="3" max="3"/>
    <col width="18.42578125" customWidth="1" style="84" min="4" max="4"/>
    <col width="20.85546875" customWidth="1" style="84" min="5" max="5"/>
    <col width="13.42578125" customWidth="1" style="84" min="11" max="11"/>
  </cols>
  <sheetData>
    <row r="1" ht="15.6" customHeight="1" s="84">
      <c r="A1" s="43" t="n"/>
      <c r="B1" s="86" t="n"/>
      <c r="C1" s="86" t="n"/>
      <c r="D1" s="86" t="n"/>
      <c r="E1" s="86" t="n"/>
    </row>
    <row r="2" ht="15.6" customHeight="1" s="84">
      <c r="B2" s="86" t="n"/>
      <c r="C2" s="86" t="n"/>
      <c r="D2" s="86" t="n"/>
      <c r="E2" s="127" t="inlineStr">
        <is>
          <t>Приложение № 4</t>
        </is>
      </c>
    </row>
    <row r="3" ht="15.6" customHeight="1" s="84">
      <c r="B3" s="86" t="n"/>
      <c r="C3" s="86" t="n"/>
      <c r="D3" s="86" t="n"/>
      <c r="E3" s="86" t="n"/>
    </row>
    <row r="4" ht="15.6" customHeight="1" s="84">
      <c r="B4" s="86" t="n"/>
      <c r="C4" s="86" t="n"/>
      <c r="D4" s="86" t="n"/>
      <c r="E4" s="86" t="n"/>
    </row>
    <row r="5" ht="15.6" customHeight="1" s="84">
      <c r="B5" s="144" t="inlineStr">
        <is>
          <t>Ресурсная модель</t>
        </is>
      </c>
    </row>
    <row r="6" ht="15.6" customHeight="1" s="84">
      <c r="B6" s="111" t="n"/>
      <c r="C6" s="86" t="n"/>
      <c r="D6" s="86" t="n"/>
      <c r="E6" s="86" t="n"/>
    </row>
    <row r="7" ht="15.6" customHeight="1" s="84">
      <c r="B7" s="124" t="inlineStr">
        <is>
          <t>Наименование разрабатываемой расценки УНЦ —  Демонтаж резервуара накопителя</t>
        </is>
      </c>
    </row>
    <row r="8" ht="15.6" customHeight="1" s="84">
      <c r="B8" s="124" t="inlineStr">
        <is>
          <t>Единица измерения  — м3</t>
        </is>
      </c>
    </row>
    <row r="9">
      <c r="B9" s="44" t="n"/>
      <c r="C9" s="72" t="n"/>
      <c r="D9" s="72" t="n"/>
      <c r="E9" s="72" t="n"/>
    </row>
    <row r="10" ht="62.45" customFormat="1" customHeight="1" s="86">
      <c r="B10" s="143" t="inlineStr">
        <is>
          <t>Наименование</t>
        </is>
      </c>
      <c r="C10" s="143" t="inlineStr">
        <is>
          <t>Сметная стоимость в ценах на 01.01.2023
 (руб.)</t>
        </is>
      </c>
      <c r="D10" s="143" t="inlineStr">
        <is>
          <t>Удельный вес, 
(в СМР)</t>
        </is>
      </c>
      <c r="E10" s="143" t="inlineStr">
        <is>
          <t>Удельный вес, % 
(от всего по РМ)</t>
        </is>
      </c>
    </row>
    <row r="11" ht="15" customFormat="1" customHeight="1" s="86">
      <c r="B11" s="131" t="inlineStr">
        <is>
          <t>Оплата труда рабочих</t>
        </is>
      </c>
      <c r="C11" s="45">
        <f>'Прил.5 Расчет СМР и ОБ'!J15</f>
        <v/>
      </c>
      <c r="D11" s="46">
        <f>C11/C24</f>
        <v/>
      </c>
      <c r="E11" s="46">
        <f>C11/C40</f>
        <v/>
      </c>
    </row>
    <row r="12" ht="15" customFormat="1" customHeight="1" s="86">
      <c r="B12" s="131" t="inlineStr">
        <is>
          <t>Эксплуатация машин основных</t>
        </is>
      </c>
      <c r="C12" s="45">
        <f>'Прил.5 Расчет СМР и ОБ'!J24</f>
        <v/>
      </c>
      <c r="D12" s="46">
        <f>C12/C24</f>
        <v/>
      </c>
      <c r="E12" s="46">
        <f>C12/C40</f>
        <v/>
      </c>
    </row>
    <row r="13" ht="15" customFormat="1" customHeight="1" s="86">
      <c r="B13" s="131" t="inlineStr">
        <is>
          <t>Эксплуатация машин прочих</t>
        </is>
      </c>
      <c r="C13" s="45">
        <f>'Прил.5 Расчет СМР и ОБ'!J44</f>
        <v/>
      </c>
      <c r="D13" s="46">
        <f>C13/C24</f>
        <v/>
      </c>
      <c r="E13" s="46">
        <f>C13/C40</f>
        <v/>
      </c>
    </row>
    <row r="14" ht="15" customFormat="1" customHeight="1" s="86">
      <c r="B14" s="131" t="inlineStr">
        <is>
          <t>ЭКСПЛУАТАЦИЯ МАШИН, ВСЕГО:</t>
        </is>
      </c>
      <c r="C14" s="45">
        <f>C13+C12</f>
        <v/>
      </c>
      <c r="D14" s="46">
        <f>C14/C24</f>
        <v/>
      </c>
      <c r="E14" s="46">
        <f>C14/C40</f>
        <v/>
      </c>
    </row>
    <row r="15" ht="15" customFormat="1" customHeight="1" s="86">
      <c r="B15" s="131" t="inlineStr">
        <is>
          <t>в том числе зарплата машинистов</t>
        </is>
      </c>
      <c r="C15" s="45">
        <f>'Прил.5 Расчет СМР и ОБ'!J18</f>
        <v/>
      </c>
      <c r="D15" s="46">
        <f>C15/C24</f>
        <v/>
      </c>
      <c r="E15" s="46">
        <f>C15/C40</f>
        <v/>
      </c>
    </row>
    <row r="16" ht="15" customFormat="1" customHeight="1" s="86">
      <c r="B16" s="131" t="inlineStr">
        <is>
          <t>Материалы основные</t>
        </is>
      </c>
      <c r="C16" s="45">
        <f>'Прил.5 Расчет СМР и ОБ'!J56</f>
        <v/>
      </c>
      <c r="D16" s="46">
        <f>C16/C24</f>
        <v/>
      </c>
      <c r="E16" s="46">
        <f>C16/C40</f>
        <v/>
      </c>
    </row>
    <row r="17" ht="15" customFormat="1" customHeight="1" s="86">
      <c r="B17" s="131" t="inlineStr">
        <is>
          <t>Материалы прочие</t>
        </is>
      </c>
      <c r="C17" s="45">
        <f>'Прил.5 Расчет СМР и ОБ'!J57</f>
        <v/>
      </c>
      <c r="D17" s="46">
        <f>C17/C24</f>
        <v/>
      </c>
      <c r="E17" s="46">
        <f>C17/C40</f>
        <v/>
      </c>
    </row>
    <row r="18" ht="15" customFormat="1" customHeight="1" s="86">
      <c r="B18" s="131" t="inlineStr">
        <is>
          <t>МАТЕРИАЛЫ, ВСЕГО:</t>
        </is>
      </c>
      <c r="C18" s="45">
        <f>C17+C16</f>
        <v/>
      </c>
      <c r="D18" s="46">
        <f>C18/C24</f>
        <v/>
      </c>
      <c r="E18" s="46">
        <f>C18/C40</f>
        <v/>
      </c>
    </row>
    <row r="19" ht="15" customFormat="1" customHeight="1" s="86">
      <c r="B19" s="131" t="inlineStr">
        <is>
          <t>ИТОГО</t>
        </is>
      </c>
      <c r="C19" s="45">
        <f>C18+C14+C11</f>
        <v/>
      </c>
      <c r="D19" s="46">
        <f>C19/C24</f>
        <v/>
      </c>
      <c r="E19" s="47">
        <f>C19/C40</f>
        <v/>
      </c>
    </row>
    <row r="20" ht="15" customFormat="1" customHeight="1" s="86">
      <c r="B20" s="131" t="inlineStr">
        <is>
          <t>Сметная прибыль, руб.</t>
        </is>
      </c>
      <c r="C20" s="45">
        <f>'Прил.5 Расчет СМР и ОБ'!J64</f>
        <v/>
      </c>
      <c r="D20" s="46">
        <f>C20/C24</f>
        <v/>
      </c>
      <c r="E20" s="46">
        <f>C20/C40</f>
        <v/>
      </c>
    </row>
    <row r="21" ht="15" customFormat="1" customHeight="1" s="86">
      <c r="B21" s="131" t="inlineStr">
        <is>
          <t>Сметная прибыль, %</t>
        </is>
      </c>
      <c r="C21" s="164">
        <f>C20/(C11+C15)</f>
        <v/>
      </c>
      <c r="D21" s="46" t="n"/>
      <c r="E21" s="47" t="n"/>
    </row>
    <row r="22" ht="15" customFormat="1" customHeight="1" s="86">
      <c r="B22" s="131" t="inlineStr">
        <is>
          <t>Накладные расходы, руб.</t>
        </is>
      </c>
      <c r="C22" s="45">
        <f>'Прил.5 Расчет СМР и ОБ'!J62</f>
        <v/>
      </c>
      <c r="D22" s="46">
        <f>C22/C24</f>
        <v/>
      </c>
      <c r="E22" s="46">
        <f>C22/C40</f>
        <v/>
      </c>
    </row>
    <row r="23" ht="15" customFormat="1" customHeight="1" s="86">
      <c r="B23" s="131" t="inlineStr">
        <is>
          <t>Накладные расходы, %</t>
        </is>
      </c>
      <c r="C23" s="164">
        <f>C22/(C11+C15)</f>
        <v/>
      </c>
      <c r="D23" s="46" t="n"/>
      <c r="E23" s="47" t="n"/>
    </row>
    <row r="24" ht="15" customFormat="1" customHeight="1" s="86">
      <c r="B24" s="131" t="inlineStr">
        <is>
          <t>ВСЕГО СМР с НР и СП</t>
        </is>
      </c>
      <c r="C24" s="45">
        <f>C19+C20+C22</f>
        <v/>
      </c>
      <c r="D24" s="46">
        <f>C24/C24</f>
        <v/>
      </c>
      <c r="E24" s="46">
        <f>C24/C40</f>
        <v/>
      </c>
    </row>
    <row r="25" ht="31.35" customFormat="1" customHeight="1" s="86">
      <c r="B25" s="131" t="inlineStr">
        <is>
          <t>ВСЕГО стоимость оборудования, в том числе</t>
        </is>
      </c>
      <c r="C25" s="45">
        <f>'Прил.5 Расчет СМР и ОБ'!J52</f>
        <v/>
      </c>
      <c r="D25" s="46" t="n"/>
      <c r="E25" s="46">
        <f>C25/C40</f>
        <v/>
      </c>
    </row>
    <row r="26" ht="31.35" customFormat="1" customHeight="1" s="86">
      <c r="B26" s="131" t="inlineStr">
        <is>
          <t>стоимость оборудования технологического</t>
        </is>
      </c>
      <c r="C26" s="45">
        <f>C25</f>
        <v/>
      </c>
      <c r="D26" s="46" t="n"/>
      <c r="E26" s="46">
        <f>C26/C40</f>
        <v/>
      </c>
    </row>
    <row r="27" ht="15" customFormat="1" customHeight="1" s="86">
      <c r="B27" s="131" t="inlineStr">
        <is>
          <t>ИТОГО (СМР + ОБОРУДОВАНИЕ)</t>
        </is>
      </c>
      <c r="C27" s="48">
        <f>C24+C25</f>
        <v/>
      </c>
      <c r="D27" s="46" t="n"/>
      <c r="E27" s="46">
        <f>C27/C40</f>
        <v/>
      </c>
    </row>
    <row r="28" ht="33" customFormat="1" customHeight="1" s="86">
      <c r="B28" s="131" t="inlineStr">
        <is>
          <t>ПРОЧ. ЗАТР., УЧТЕННЫЕ ПОКАЗАТЕЛЕМ,  в том числе</t>
        </is>
      </c>
      <c r="C28" s="131" t="n"/>
      <c r="D28" s="47" t="n"/>
      <c r="E28" s="47" t="n"/>
    </row>
    <row r="29" ht="31.35" customFormat="1" customHeight="1" s="86">
      <c r="B29" s="131" t="inlineStr">
        <is>
          <t>Временные здания и сооружения - 3,9%</t>
        </is>
      </c>
      <c r="C29" s="48">
        <f>ROUND(C24*0.039,2)</f>
        <v/>
      </c>
      <c r="D29" s="47" t="n"/>
      <c r="E29" s="46">
        <f>C29/C40</f>
        <v/>
      </c>
    </row>
    <row r="30" ht="62.45" customFormat="1" customHeight="1" s="86">
      <c r="B30" s="131" t="inlineStr">
        <is>
          <t>Дополнительные затраты при производстве строительно-монтажных работ в зимнее время - 2,1%</t>
        </is>
      </c>
      <c r="C30" s="48">
        <f>ROUND((C24+C29)*0.021,2)</f>
        <v/>
      </c>
      <c r="D30" s="47" t="n"/>
      <c r="E30" s="46">
        <f>C30/C40</f>
        <v/>
      </c>
    </row>
    <row r="31" ht="15.6" customFormat="1" customHeight="1" s="86">
      <c r="B31" s="131" t="inlineStr">
        <is>
          <t>Пусконаладочные работы</t>
        </is>
      </c>
      <c r="C31" s="48">
        <f>ROUND(C25*80%*7%,2)</f>
        <v/>
      </c>
      <c r="D31" s="47" t="n"/>
      <c r="E31" s="46">
        <f>C31/C40</f>
        <v/>
      </c>
    </row>
    <row r="32" ht="31.35" customFormat="1" customHeight="1" s="86">
      <c r="B32" s="131" t="inlineStr">
        <is>
          <t>Затраты по перевозке работников к месту работы и обратно</t>
        </is>
      </c>
      <c r="C32" s="48" t="n">
        <v>0</v>
      </c>
      <c r="D32" s="47" t="n"/>
      <c r="E32" s="46">
        <f>C32/C40</f>
        <v/>
      </c>
    </row>
    <row r="33" ht="46.9" customFormat="1" customHeight="1" s="86">
      <c r="B33" s="131" t="inlineStr">
        <is>
          <t>Затраты, связанные с осуществлением работ вахтовым методом</t>
        </is>
      </c>
      <c r="C33" s="48" t="n">
        <v>0</v>
      </c>
      <c r="D33" s="47" t="n"/>
      <c r="E33" s="46">
        <f>C33/C40</f>
        <v/>
      </c>
    </row>
    <row r="34" ht="62.45" customFormat="1" customHeight="1" s="86">
      <c r="B34" s="1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8" t="n">
        <v>0</v>
      </c>
      <c r="D34" s="47" t="n"/>
      <c r="E34" s="46">
        <f>C34/C40</f>
        <v/>
      </c>
    </row>
    <row r="35" ht="93.59999999999999" customFormat="1" customHeight="1" s="86">
      <c r="B35" s="1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8" t="n">
        <v>0</v>
      </c>
      <c r="D35" s="47" t="n"/>
      <c r="E35" s="46">
        <f>C35/C40</f>
        <v/>
      </c>
    </row>
    <row r="36" ht="46.9" customFormat="1" customHeight="1" s="86">
      <c r="B36" s="49" t="inlineStr">
        <is>
          <t>Строительный контроль и содержание службы заказчика - 2,14%</t>
        </is>
      </c>
      <c r="C36" s="50">
        <f>ROUND((C27+C29+C31+C30)*0.0214,2)</f>
        <v/>
      </c>
      <c r="D36" s="51" t="n"/>
      <c r="E36" s="52">
        <f>C36/C40</f>
        <v/>
      </c>
      <c r="K36" s="39" t="n"/>
    </row>
    <row r="37" ht="15.6" customFormat="1" customHeight="1" s="86">
      <c r="B37" s="134" t="inlineStr">
        <is>
          <t>Авторский надзор - 0,2%</t>
        </is>
      </c>
      <c r="C37" s="134">
        <f>ROUND((C27+C29+C30+C31)*0.002,2)</f>
        <v/>
      </c>
      <c r="D37" s="53" t="n"/>
      <c r="E37" s="53">
        <f>C37/C40</f>
        <v/>
      </c>
    </row>
    <row r="38" ht="62.45" customFormat="1" customHeight="1" s="86">
      <c r="B38" s="54" t="inlineStr">
        <is>
          <t>ИТОГО (СМР+ОБОРУДОВАНИЕ+ПРОЧ. ЗАТР., УЧТЕННЫЕ ПОКАЗАТЕЛЕМ)</t>
        </is>
      </c>
      <c r="C38" s="55">
        <f>C27+C29+C30+C31+C36+C37</f>
        <v/>
      </c>
      <c r="D38" s="56" t="n"/>
      <c r="E38" s="57">
        <f>C38/C40</f>
        <v/>
      </c>
    </row>
    <row r="39" ht="15.6" customFormat="1" customHeight="1" s="86">
      <c r="B39" s="131" t="inlineStr">
        <is>
          <t>Непредвиденные расходы</t>
        </is>
      </c>
      <c r="C39" s="45">
        <f>ROUND(C38*0.03,2)</f>
        <v/>
      </c>
      <c r="D39" s="47" t="n"/>
      <c r="E39" s="46">
        <f>C39/C40</f>
        <v/>
      </c>
    </row>
    <row r="40" ht="15.6" customFormat="1" customHeight="1" s="86">
      <c r="B40" s="131" t="inlineStr">
        <is>
          <t>ВСЕГО:</t>
        </is>
      </c>
      <c r="C40" s="45">
        <f>C39+C38</f>
        <v/>
      </c>
      <c r="D40" s="47" t="n"/>
      <c r="E40" s="46">
        <f>C40/C40</f>
        <v/>
      </c>
    </row>
    <row r="41" ht="31.35" customFormat="1" customHeight="1" s="86">
      <c r="B41" s="131" t="inlineStr">
        <is>
          <t>ИТОГО ПОКАЗАТЕЛЬ НА ЕД. ИЗМ.</t>
        </is>
      </c>
      <c r="C41" s="45">
        <f>C40/'Прил.5 Расчет СМР и ОБ'!E67</f>
        <v/>
      </c>
      <c r="D41" s="47" t="n"/>
      <c r="E41" s="47" t="n"/>
    </row>
    <row r="42" ht="15.6" customFormat="1" customHeight="1" s="86">
      <c r="B42" s="8" t="n"/>
    </row>
    <row r="43" ht="15.6" customFormat="1" customHeight="1" s="86">
      <c r="B43" s="8" t="inlineStr">
        <is>
          <t>Составил ____________________________ М.С. Колотиевская</t>
        </is>
      </c>
    </row>
    <row r="44" ht="15.6" customFormat="1" customHeight="1" s="86">
      <c r="B44" s="8" t="inlineStr">
        <is>
          <t xml:space="preserve">(должность, подпись, инициалы, фамилия) </t>
        </is>
      </c>
    </row>
    <row r="45" ht="15.6" customFormat="1" customHeight="1" s="86">
      <c r="B45" s="8" t="n"/>
    </row>
    <row r="46" ht="15.6" customFormat="1" customHeight="1" s="86">
      <c r="B46" s="8" t="inlineStr">
        <is>
          <t>Проверил ____________________________ М.С. Колотиевская</t>
        </is>
      </c>
    </row>
    <row r="47" ht="15.6" customFormat="1" customHeight="1" s="86">
      <c r="B47" s="124" t="inlineStr">
        <is>
          <t>(должность, подпись, инициалы, фамилия)</t>
        </is>
      </c>
      <c r="C47" s="124" t="n"/>
    </row>
    <row r="48" ht="15.6" customFormat="1" customHeight="1" s="86"/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4"/>
  <sheetViews>
    <sheetView showGridLines="1" showRowColHeaders="1" tabSelected="1" topLeftCell="A4" zoomScale="70" zoomScaleNormal="70" workbookViewId="0">
      <selection activeCell="L44" sqref="L44"/>
    </sheetView>
  </sheetViews>
  <sheetFormatPr baseColWidth="8" defaultColWidth="9.140625" defaultRowHeight="14.4" outlineLevelRow="1"/>
  <cols>
    <col width="5.5703125" customWidth="1" style="81" min="1" max="1"/>
    <col width="22.42578125" customWidth="1" style="81" min="2" max="2"/>
    <col width="39.140625" customWidth="1" style="81" min="3" max="3"/>
    <col width="10.5703125" customWidth="1" style="81" min="4" max="4"/>
    <col width="14.28515625" customWidth="1" style="81" min="5" max="5"/>
    <col width="14.42578125" customWidth="1" style="81" min="6" max="6"/>
    <col width="15" customWidth="1" style="81" min="7" max="7"/>
    <col width="12.5703125" customWidth="1" style="81" min="8" max="8"/>
    <col width="16.28515625" customWidth="1" style="81" min="9" max="9"/>
    <col width="15.140625" customWidth="1" style="81" min="10" max="10"/>
    <col width="22.42578125" customWidth="1" style="81" min="11" max="11"/>
    <col width="16.42578125" customWidth="1" style="81" min="12" max="12"/>
    <col width="10.85546875" customWidth="1" style="81" min="13" max="13"/>
    <col width="9.140625" customWidth="1" style="81" min="14" max="14"/>
  </cols>
  <sheetData>
    <row r="1" ht="13.7" customFormat="1" customHeight="1" s="81">
      <c r="A1" s="72" t="n"/>
    </row>
    <row r="2" ht="15.6" customFormat="1" customHeight="1" s="81">
      <c r="A2" s="86" t="n"/>
      <c r="B2" s="86" t="n"/>
      <c r="C2" s="86" t="n"/>
      <c r="D2" s="86" t="n"/>
      <c r="E2" s="86" t="n"/>
      <c r="F2" s="86" t="n"/>
      <c r="G2" s="86" t="n"/>
      <c r="H2" s="127" t="inlineStr">
        <is>
          <t>Приложение №5</t>
        </is>
      </c>
    </row>
    <row r="3" ht="15.6" customFormat="1" customHeight="1" s="81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6" customFormat="1" customHeight="1" s="72">
      <c r="A4" s="144" t="inlineStr">
        <is>
          <t>Расчет стоимости СМР и оборудования</t>
        </is>
      </c>
      <c r="I4" s="144" t="n"/>
      <c r="J4" s="144" t="n"/>
    </row>
    <row r="5" ht="15.6" customFormat="1" customHeight="1" s="72">
      <c r="A5" s="144" t="n"/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</row>
    <row r="6" customFormat="1" s="72">
      <c r="A6" s="128" t="inlineStr">
        <is>
          <t xml:space="preserve">Наименование разрабатываемого показателя УНЦ — </t>
        </is>
      </c>
      <c r="D6" s="128" t="inlineStr">
        <is>
          <t>Демонтаж резервуара накопителя</t>
        </is>
      </c>
    </row>
    <row r="7" ht="15.6" customFormat="1" customHeight="1" s="72">
      <c r="A7" s="128" t="inlineStr">
        <is>
          <t>Единица измерения  — м3</t>
        </is>
      </c>
      <c r="D7" s="28" t="n"/>
      <c r="E7" s="28" t="n"/>
      <c r="F7" s="28" t="n"/>
      <c r="G7" s="28" t="n"/>
      <c r="H7" s="28" t="n"/>
      <c r="I7" s="28" t="n"/>
      <c r="J7" s="28" t="n"/>
    </row>
    <row r="8" ht="15.6" customFormat="1" customHeight="1" s="72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31" t="inlineStr">
        <is>
          <t>№ пп.</t>
        </is>
      </c>
      <c r="B9" s="143" t="inlineStr">
        <is>
          <t>Код ресурса</t>
        </is>
      </c>
      <c r="C9" s="143" t="inlineStr">
        <is>
          <t>Наименование</t>
        </is>
      </c>
      <c r="D9" s="143" t="inlineStr">
        <is>
          <t>Ед. изм.</t>
        </is>
      </c>
      <c r="E9" s="143" t="inlineStr">
        <is>
          <t>Кол-во единиц по проектным данным</t>
        </is>
      </c>
      <c r="F9" s="143" t="inlineStr">
        <is>
          <t>Сметная стоимость в ценах на 01.01.2000 (руб.)</t>
        </is>
      </c>
      <c r="G9" s="165" t="n"/>
      <c r="H9" s="143" t="inlineStr">
        <is>
          <t>Удельный вес, %</t>
        </is>
      </c>
      <c r="I9" s="143" t="inlineStr">
        <is>
          <t>Сметная стоимость в ценах на 01.01.2023 (руб.)</t>
        </is>
      </c>
      <c r="J9" s="165" t="n"/>
      <c r="K9" s="4" t="n"/>
    </row>
    <row r="10" ht="39" customFormat="1" customHeight="1" s="86">
      <c r="A10" s="168" t="n"/>
      <c r="B10" s="168" t="n"/>
      <c r="C10" s="168" t="n"/>
      <c r="D10" s="168" t="n"/>
      <c r="E10" s="168" t="n"/>
      <c r="F10" s="143" t="inlineStr">
        <is>
          <t>на ед. изм.</t>
        </is>
      </c>
      <c r="G10" s="143" t="inlineStr">
        <is>
          <t>общая</t>
        </is>
      </c>
      <c r="H10" s="168" t="n"/>
      <c r="I10" s="143" t="inlineStr">
        <is>
          <t>на ед. изм.</t>
        </is>
      </c>
      <c r="J10" s="143" t="inlineStr">
        <is>
          <t>общая</t>
        </is>
      </c>
    </row>
    <row r="11" ht="15.6" customFormat="1" customHeight="1" s="86">
      <c r="A11" s="131" t="n">
        <v>1</v>
      </c>
      <c r="B11" s="143" t="n">
        <v>2</v>
      </c>
      <c r="C11" s="143" t="n">
        <v>3</v>
      </c>
      <c r="D11" s="143" t="n">
        <v>4</v>
      </c>
      <c r="E11" s="143" t="n">
        <v>5</v>
      </c>
      <c r="F11" s="143" t="n">
        <v>6</v>
      </c>
      <c r="G11" s="143" t="n">
        <v>7</v>
      </c>
      <c r="H11" s="143" t="n">
        <v>8</v>
      </c>
      <c r="I11" s="143" t="n">
        <v>9</v>
      </c>
      <c r="J11" s="143" t="n">
        <v>10</v>
      </c>
    </row>
    <row r="12" ht="15.6" customFormat="1" customHeight="1" s="86">
      <c r="A12" s="134" t="n"/>
      <c r="B12" s="132" t="inlineStr">
        <is>
          <t>Затраты труда рабочих-строителей</t>
        </is>
      </c>
      <c r="C12" s="166" t="n"/>
      <c r="D12" s="166" t="n"/>
      <c r="E12" s="166" t="n"/>
      <c r="F12" s="166" t="n"/>
      <c r="G12" s="166" t="n"/>
      <c r="H12" s="165" t="n"/>
      <c r="I12" s="134" t="n"/>
      <c r="J12" s="134" t="n"/>
    </row>
    <row r="13" ht="31.35" customFormat="1" customHeight="1" s="86">
      <c r="A13" s="120" t="n">
        <v>1</v>
      </c>
      <c r="B13" s="120" t="inlineStr">
        <is>
          <t>1-100-39</t>
        </is>
      </c>
      <c r="C13" s="121" t="inlineStr">
        <is>
          <t>Затраты труда рабочих (Средний разряд работы 3,9)</t>
        </is>
      </c>
      <c r="D13" s="120" t="inlineStr">
        <is>
          <t>чел.-ч</t>
        </is>
      </c>
      <c r="E13" s="120" t="n">
        <v>4261.9089128306</v>
      </c>
      <c r="F13" s="126" t="n">
        <v>10.21</v>
      </c>
      <c r="G13" s="126">
        <f>ROUND(E13*F13,2)</f>
        <v/>
      </c>
      <c r="H13" s="31">
        <f>G13/G14</f>
        <v/>
      </c>
      <c r="I13" s="126">
        <f>ФОТр.тек.!E13</f>
        <v/>
      </c>
      <c r="J13" s="126">
        <f>ROUND(E13*I13,2)</f>
        <v/>
      </c>
    </row>
    <row r="14" ht="31.35" customFormat="1" customHeight="1" s="86">
      <c r="A14" s="120" t="n"/>
      <c r="B14" s="120" t="n"/>
      <c r="C14" s="121" t="inlineStr">
        <is>
          <t>Итого по разделу "Затраты труда рабочих-строителей"</t>
        </is>
      </c>
      <c r="D14" s="120" t="inlineStr">
        <is>
          <t>чел.-ч</t>
        </is>
      </c>
      <c r="E14" s="120">
        <f>SUM(E13:E13)</f>
        <v/>
      </c>
      <c r="F14" s="126" t="n"/>
      <c r="G14" s="126">
        <f>SUM(G13:G13)</f>
        <v/>
      </c>
      <c r="H14" s="31" t="n">
        <v>1</v>
      </c>
      <c r="I14" s="126" t="n"/>
      <c r="J14" s="126">
        <f>SUM(J13:J13)</f>
        <v/>
      </c>
    </row>
    <row r="15" ht="38.25" customFormat="1" customHeight="1" s="81">
      <c r="A15" s="145" t="n"/>
      <c r="B15" s="145" t="n"/>
      <c r="C15" s="146" t="inlineStr">
        <is>
          <t>Итого по разделу "Затраты труда рабочих-строителей" 
(с коэффициентом на демонтаж 0,7)</t>
        </is>
      </c>
      <c r="D15" s="145" t="inlineStr">
        <is>
          <t>чел.-ч.</t>
        </is>
      </c>
      <c r="E15" s="147" t="n"/>
      <c r="F15" s="148" t="n"/>
      <c r="G15" s="126">
        <f>SUM(G14)*0.7</f>
        <v/>
      </c>
      <c r="H15" s="150" t="n">
        <v>1</v>
      </c>
      <c r="I15" s="151" t="n"/>
      <c r="J15" s="126">
        <f>SUM(J13)*0.7</f>
        <v/>
      </c>
    </row>
    <row r="16" ht="15.6" customFormat="1" customHeight="1" s="86">
      <c r="A16" s="120" t="n"/>
      <c r="B16" s="120" t="inlineStr">
        <is>
          <t>Затраты труда машинистов</t>
        </is>
      </c>
      <c r="C16" s="166" t="n"/>
      <c r="D16" s="166" t="n"/>
      <c r="E16" s="166" t="n"/>
      <c r="F16" s="166" t="n"/>
      <c r="G16" s="166" t="n"/>
      <c r="H16" s="165" t="n"/>
      <c r="I16" s="126" t="n"/>
      <c r="J16" s="126" t="n"/>
    </row>
    <row r="17" ht="23.25" customFormat="1" customHeight="1" s="86">
      <c r="A17" s="120" t="n">
        <v>2</v>
      </c>
      <c r="B17" s="120" t="n">
        <v>2</v>
      </c>
      <c r="C17" s="121" t="inlineStr">
        <is>
          <t>Затраты труда машинистов</t>
        </is>
      </c>
      <c r="D17" s="120" t="inlineStr">
        <is>
          <t>чел.-ч</t>
        </is>
      </c>
      <c r="E17" s="120" t="n">
        <v>328.46</v>
      </c>
      <c r="F17" s="126" t="n">
        <v>13.19</v>
      </c>
      <c r="G17" s="126">
        <f>ROUND(E17*F17,2)</f>
        <v/>
      </c>
      <c r="H17" s="31" t="n">
        <v>1</v>
      </c>
      <c r="I17" s="126">
        <f>ROUND(F17*'Прил. 10'!$D$10,2)</f>
        <v/>
      </c>
      <c r="J17" s="126">
        <f>ROUND(E17*I17,2)</f>
        <v/>
      </c>
    </row>
    <row r="18" ht="38.25" customFormat="1" customHeight="1" s="81">
      <c r="A18" s="145" t="n"/>
      <c r="B18" s="145" t="n"/>
      <c r="C18" s="158" t="inlineStr">
        <is>
          <t>Затраты труда машинистов 
(с коэффициентом на демонтаж 0,7)</t>
        </is>
      </c>
      <c r="D18" s="143" t="n"/>
      <c r="E18" s="159" t="n"/>
      <c r="F18" s="48" t="n"/>
      <c r="G18" s="48">
        <f>G17*0.7</f>
        <v/>
      </c>
      <c r="H18" s="160">
        <f>H17</f>
        <v/>
      </c>
      <c r="I18" s="161" t="n"/>
      <c r="J18" s="161">
        <f>J17*0.7</f>
        <v/>
      </c>
    </row>
    <row r="19" ht="15.6" customFormat="1" customHeight="1" s="86">
      <c r="A19" s="120" t="n"/>
      <c r="B19" s="119" t="inlineStr">
        <is>
          <t>Машины и механизмы</t>
        </is>
      </c>
      <c r="C19" s="166" t="n"/>
      <c r="D19" s="166" t="n"/>
      <c r="E19" s="166" t="n"/>
      <c r="F19" s="166" t="n"/>
      <c r="G19" s="166" t="n"/>
      <c r="H19" s="165" t="n"/>
      <c r="I19" s="126" t="n"/>
      <c r="J19" s="126" t="n"/>
    </row>
    <row r="20" ht="15.6" customFormat="1" customHeight="1" s="86">
      <c r="A20" s="120" t="n"/>
      <c r="B20" s="120" t="inlineStr">
        <is>
          <t>Основные Машины и механизмы</t>
        </is>
      </c>
      <c r="C20" s="166" t="n"/>
      <c r="D20" s="166" t="n"/>
      <c r="E20" s="166" t="n"/>
      <c r="F20" s="166" t="n"/>
      <c r="G20" s="166" t="n"/>
      <c r="H20" s="165" t="n"/>
      <c r="I20" s="126" t="n"/>
      <c r="J20" s="126" t="n"/>
    </row>
    <row r="21" ht="31.35" customFormat="1" customHeight="1" s="86">
      <c r="A21" s="120" t="n">
        <v>3</v>
      </c>
      <c r="B21" s="135" t="inlineStr">
        <is>
          <t>91.05.06-012</t>
        </is>
      </c>
      <c r="C21" s="137" t="inlineStr">
        <is>
          <t>Краны на гусеничном ходу, грузоподъемность до 16 т</t>
        </is>
      </c>
      <c r="D21" s="140" t="inlineStr">
        <is>
          <t>маш.час</t>
        </is>
      </c>
      <c r="E21" s="138" t="n">
        <v>209.29</v>
      </c>
      <c r="F21" s="34" t="n">
        <v>96.89</v>
      </c>
      <c r="G21" s="34">
        <f>ROUND(E21*F21,2)</f>
        <v/>
      </c>
      <c r="H21" s="31">
        <f>G21/G45</f>
        <v/>
      </c>
      <c r="I21" s="126">
        <f>ROUND(F21*'Прил. 10'!$D$11,2)</f>
        <v/>
      </c>
      <c r="J21" s="126">
        <f>ROUND(E21*I21,2)</f>
        <v/>
      </c>
    </row>
    <row r="22" ht="31.35" customFormat="1" customHeight="1" s="86">
      <c r="A22" s="120" t="n">
        <v>4</v>
      </c>
      <c r="B22" s="135" t="inlineStr">
        <is>
          <t>91.14.03-002</t>
        </is>
      </c>
      <c r="C22" s="137" t="inlineStr">
        <is>
          <t>Автомобиль-самосвал, грузоподъемность до 10 т</t>
        </is>
      </c>
      <c r="D22" s="140" t="inlineStr">
        <is>
          <t>маш.час</t>
        </is>
      </c>
      <c r="E22" s="138" t="n">
        <v>122.49</v>
      </c>
      <c r="F22" s="34" t="n">
        <v>87.48999999999999</v>
      </c>
      <c r="G22" s="34">
        <f>ROUND(E22*F22,2)</f>
        <v/>
      </c>
      <c r="H22" s="31">
        <f>G22/G45</f>
        <v/>
      </c>
      <c r="I22" s="126">
        <f>ROUND(F22*'Прил. 10'!$D$11,2)</f>
        <v/>
      </c>
      <c r="J22" s="126">
        <f>ROUND(E22*I22,2)</f>
        <v/>
      </c>
    </row>
    <row r="23" ht="15.6" customFormat="1" customHeight="1" s="86">
      <c r="A23" s="120" t="n"/>
      <c r="B23" s="135" t="inlineStr">
        <is>
          <t>Итого основные Машины и механизмы</t>
        </is>
      </c>
      <c r="C23" s="166" t="n"/>
      <c r="D23" s="166" t="n"/>
      <c r="E23" s="166" t="n"/>
      <c r="F23" s="165" t="n"/>
      <c r="G23" s="34">
        <f>SUM(G21:G22)</f>
        <v/>
      </c>
      <c r="H23" s="31">
        <f>SUM(H21:H22)</f>
        <v/>
      </c>
      <c r="I23" s="126" t="n"/>
      <c r="J23" s="126">
        <f>SUM(J21:J22)</f>
        <v/>
      </c>
    </row>
    <row r="24" ht="31.5" customFormat="1" customHeight="1" s="81">
      <c r="A24" s="145" t="n"/>
      <c r="B24" s="162" t="n"/>
      <c r="C24" s="158" t="inlineStr">
        <is>
          <t>Итого основные машины и механизмы 
(с коэффициентом на демонтаж 0,7)</t>
        </is>
      </c>
      <c r="D24" s="143" t="n"/>
      <c r="E24" s="159" t="n"/>
      <c r="F24" s="48" t="n"/>
      <c r="G24" s="48">
        <f>G23*0.7</f>
        <v/>
      </c>
      <c r="H24" s="160">
        <f>H23</f>
        <v/>
      </c>
      <c r="I24" s="161" t="n"/>
      <c r="J24" s="161">
        <f>J23*0.7</f>
        <v/>
      </c>
    </row>
    <row r="25" outlineLevel="1" ht="31.35" customFormat="1" customHeight="1" s="86">
      <c r="A25" s="120" t="n">
        <v>5</v>
      </c>
      <c r="B25" s="135" t="inlineStr">
        <is>
          <t>91.17.04-233</t>
        </is>
      </c>
      <c r="C25" s="137" t="inlineStr">
        <is>
          <t>Установки для сварки ручной дуговой (постоянного тока)</t>
        </is>
      </c>
      <c r="D25" s="140" t="inlineStr">
        <is>
          <t>маш.час</t>
        </is>
      </c>
      <c r="E25" s="138" t="n">
        <v>229.64</v>
      </c>
      <c r="F25" s="34" t="n">
        <v>8.1</v>
      </c>
      <c r="G25" s="34">
        <f>ROUND(E25*F25,2)</f>
        <v/>
      </c>
      <c r="H25" s="31">
        <f>G25/G45</f>
        <v/>
      </c>
      <c r="I25" s="126">
        <f>ROUND(F25*'Прил. 10'!$D$11,2)</f>
        <v/>
      </c>
      <c r="J25" s="126">
        <f>ROUND(E25*I25,2)</f>
        <v/>
      </c>
    </row>
    <row r="26" outlineLevel="1" ht="31.35" customFormat="1" customHeight="1" s="86">
      <c r="A26" s="120" t="n">
        <v>6</v>
      </c>
      <c r="B26" s="135" t="inlineStr">
        <is>
          <t>91.14.02-001</t>
        </is>
      </c>
      <c r="C26" s="137" t="inlineStr">
        <is>
          <t>Автомобили бортовые, грузоподъемность до 5 т</t>
        </is>
      </c>
      <c r="D26" s="140" t="inlineStr">
        <is>
          <t>маш.час</t>
        </is>
      </c>
      <c r="E26" s="138" t="n">
        <v>21.61</v>
      </c>
      <c r="F26" s="34" t="n">
        <v>65.70999999999999</v>
      </c>
      <c r="G26" s="34">
        <f>ROUND(E26*F26,2)</f>
        <v/>
      </c>
      <c r="H26" s="31">
        <f>G26/G45</f>
        <v/>
      </c>
      <c r="I26" s="126">
        <f>ROUND(F26*'Прил. 10'!$D$11,2)</f>
        <v/>
      </c>
      <c r="J26" s="126">
        <f>ROUND(E26*I26,2)</f>
        <v/>
      </c>
    </row>
    <row r="27" outlineLevel="1" ht="31.35" customFormat="1" customHeight="1" s="86">
      <c r="A27" s="120" t="n">
        <v>7</v>
      </c>
      <c r="B27" s="135" t="inlineStr">
        <is>
          <t>91.05.06-007</t>
        </is>
      </c>
      <c r="C27" s="137" t="inlineStr">
        <is>
          <t>Краны на гусеничном ходу, грузоподъемность 25 т</t>
        </is>
      </c>
      <c r="D27" s="140" t="inlineStr">
        <is>
          <t>маш.час</t>
        </is>
      </c>
      <c r="E27" s="138" t="n">
        <v>3.84</v>
      </c>
      <c r="F27" s="34" t="n">
        <v>120.04</v>
      </c>
      <c r="G27" s="34">
        <f>ROUND(E27*F27,2)</f>
        <v/>
      </c>
      <c r="H27" s="31">
        <f>G27/G45</f>
        <v/>
      </c>
      <c r="I27" s="126">
        <f>ROUND(F27*'Прил. 10'!$D$11,2)</f>
        <v/>
      </c>
      <c r="J27" s="126">
        <f>ROUND(E27*I27,2)</f>
        <v/>
      </c>
    </row>
    <row r="28" outlineLevel="1" ht="31.35" customFormat="1" customHeight="1" s="86">
      <c r="A28" s="120" t="n">
        <v>8</v>
      </c>
      <c r="B28" s="135" t="inlineStr">
        <is>
          <t>91.05.05-014</t>
        </is>
      </c>
      <c r="C28" s="137" t="inlineStr">
        <is>
          <t>Краны на автомобильном ходу, грузоподъемность 10 т</t>
        </is>
      </c>
      <c r="D28" s="140" t="inlineStr">
        <is>
          <t>маш.час</t>
        </is>
      </c>
      <c r="E28" s="138" t="n">
        <v>2.44</v>
      </c>
      <c r="F28" s="34" t="n">
        <v>111.99</v>
      </c>
      <c r="G28" s="34">
        <f>ROUND(E28*F28,2)</f>
        <v/>
      </c>
      <c r="H28" s="31">
        <f>G28/G45</f>
        <v/>
      </c>
      <c r="I28" s="126">
        <f>ROUND(F28*'Прил. 10'!$D$11,2)</f>
        <v/>
      </c>
      <c r="J28" s="126">
        <f>ROUND(E28*I28,2)</f>
        <v/>
      </c>
    </row>
    <row r="29" outlineLevel="1" ht="15.6" customFormat="1" customHeight="1" s="86">
      <c r="A29" s="120" t="n">
        <v>9</v>
      </c>
      <c r="B29" s="135" t="inlineStr">
        <is>
          <t>91.07.04-001</t>
        </is>
      </c>
      <c r="C29" s="137" t="inlineStr">
        <is>
          <t>Вибратор глубинный</t>
        </is>
      </c>
      <c r="D29" s="140" t="inlineStr">
        <is>
          <t>маш.час</t>
        </is>
      </c>
      <c r="E29" s="138" t="n">
        <v>139.52</v>
      </c>
      <c r="F29" s="34" t="n">
        <v>1.9</v>
      </c>
      <c r="G29" s="34">
        <f>ROUND(E29*F29,2)</f>
        <v/>
      </c>
      <c r="H29" s="31">
        <f>G29/G45</f>
        <v/>
      </c>
      <c r="I29" s="126">
        <f>ROUND(F29*'Прил. 10'!$D$11,2)</f>
        <v/>
      </c>
      <c r="J29" s="126">
        <f>ROUND(E29*I29,2)</f>
        <v/>
      </c>
    </row>
    <row r="30" outlineLevel="1" ht="31.35" customFormat="1" customHeight="1" s="86">
      <c r="A30" s="120" t="n">
        <v>10</v>
      </c>
      <c r="B30" s="135" t="inlineStr">
        <is>
          <t>91.06.03-055</t>
        </is>
      </c>
      <c r="C30" s="137" t="inlineStr">
        <is>
          <t>Лебедки электрические тяговым усилием 19,62 кН (2 т)</t>
        </is>
      </c>
      <c r="D30" s="140" t="inlineStr">
        <is>
          <t>маш.час</t>
        </is>
      </c>
      <c r="E30" s="138" t="n">
        <v>16.74</v>
      </c>
      <c r="F30" s="34" t="n">
        <v>6.66</v>
      </c>
      <c r="G30" s="34">
        <f>ROUND(E30*F30,2)</f>
        <v/>
      </c>
      <c r="H30" s="31">
        <f>G30/G45</f>
        <v/>
      </c>
      <c r="I30" s="126">
        <f>ROUND(F30*'Прил. 10'!$D$11,2)</f>
        <v/>
      </c>
      <c r="J30" s="126">
        <f>ROUND(E30*I30,2)</f>
        <v/>
      </c>
    </row>
    <row r="31" outlineLevel="1" ht="31.35" customFormat="1" customHeight="1" s="86">
      <c r="A31" s="120" t="n">
        <v>11</v>
      </c>
      <c r="B31" s="135" t="inlineStr">
        <is>
          <t>91.05.05-015</t>
        </is>
      </c>
      <c r="C31" s="137" t="inlineStr">
        <is>
          <t>Краны на автомобильном ходу, грузоподъемность 16 т</t>
        </is>
      </c>
      <c r="D31" s="140" t="inlineStr">
        <is>
          <t>маш.час</t>
        </is>
      </c>
      <c r="E31" s="138" t="n">
        <v>0.32</v>
      </c>
      <c r="F31" s="34" t="n">
        <v>115.4</v>
      </c>
      <c r="G31" s="34">
        <f>ROUND(E31*F31,2)</f>
        <v/>
      </c>
      <c r="H31" s="31">
        <f>G31/G45</f>
        <v/>
      </c>
      <c r="I31" s="126">
        <f>ROUND(F31*'Прил. 10'!$D$11,2)</f>
        <v/>
      </c>
      <c r="J31" s="126">
        <f>ROUND(E31*I31,2)</f>
        <v/>
      </c>
    </row>
    <row r="32" outlineLevel="1" ht="15.6" customFormat="1" customHeight="1" s="86">
      <c r="A32" s="120" t="n">
        <v>12</v>
      </c>
      <c r="B32" s="135" t="inlineStr">
        <is>
          <t>91.06.05-011</t>
        </is>
      </c>
      <c r="C32" s="137" t="inlineStr">
        <is>
          <t>Погрузчик, грузоподъемность 5 т</t>
        </is>
      </c>
      <c r="D32" s="140" t="inlineStr">
        <is>
          <t>маш.час</t>
        </is>
      </c>
      <c r="E32" s="138" t="n">
        <v>0.28</v>
      </c>
      <c r="F32" s="34" t="n">
        <v>89.98999999999999</v>
      </c>
      <c r="G32" s="34">
        <f>ROUND(E32*F32,2)</f>
        <v/>
      </c>
      <c r="H32" s="31">
        <f>G32/G45</f>
        <v/>
      </c>
      <c r="I32" s="126">
        <f>ROUND(F32*'Прил. 10'!$D$11,2)</f>
        <v/>
      </c>
      <c r="J32" s="126">
        <f>ROUND(E32*I32,2)</f>
        <v/>
      </c>
    </row>
    <row r="33" outlineLevel="1" ht="62.45" customFormat="1" customHeight="1" s="86">
      <c r="A33" s="120" t="n">
        <v>13</v>
      </c>
      <c r="B33" s="135" t="inlineStr">
        <is>
          <t>91.18.01-007</t>
        </is>
      </c>
      <c r="C33" s="13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3" s="140" t="inlineStr">
        <is>
          <t>маш.час</t>
        </is>
      </c>
      <c r="E33" s="138" t="n">
        <v>0.13</v>
      </c>
      <c r="F33" s="34" t="n">
        <v>90</v>
      </c>
      <c r="G33" s="34">
        <f>ROUND(E33*F33,2)</f>
        <v/>
      </c>
      <c r="H33" s="31">
        <f>G33/G45</f>
        <v/>
      </c>
      <c r="I33" s="126">
        <f>ROUND(F33*'Прил. 10'!$D$11,2)</f>
        <v/>
      </c>
      <c r="J33" s="126">
        <f>ROUND(E33*I33,2)</f>
        <v/>
      </c>
    </row>
    <row r="34" outlineLevel="1" ht="46.9" customFormat="1" customHeight="1" s="86">
      <c r="A34" s="120" t="n">
        <v>14</v>
      </c>
      <c r="B34" s="135" t="inlineStr">
        <is>
          <t>91.01.05-086</t>
        </is>
      </c>
      <c r="C34" s="137" t="inlineStr">
        <is>
          <t>Экскаваторы одноковшовые дизельные на гусеничном ходу, емкость ковша 0,65 м3</t>
        </is>
      </c>
      <c r="D34" s="140" t="inlineStr">
        <is>
          <t>маш.час</t>
        </is>
      </c>
      <c r="E34" s="138" t="n">
        <v>0.03</v>
      </c>
      <c r="F34" s="34" t="n">
        <v>115.27</v>
      </c>
      <c r="G34" s="34">
        <f>ROUND(E34*F34,2)</f>
        <v/>
      </c>
      <c r="H34" s="31">
        <f>G34/G45</f>
        <v/>
      </c>
      <c r="I34" s="126">
        <f>ROUND(F34*'Прил. 10'!$D$11,2)</f>
        <v/>
      </c>
      <c r="J34" s="126">
        <f>ROUND(E34*I34,2)</f>
        <v/>
      </c>
    </row>
    <row r="35" outlineLevel="1" ht="31.35" customFormat="1" customHeight="1" s="86">
      <c r="A35" s="120" t="n">
        <v>15</v>
      </c>
      <c r="B35" s="135" t="inlineStr">
        <is>
          <t>91.21.22-443</t>
        </is>
      </c>
      <c r="C35" s="137" t="inlineStr">
        <is>
          <t>Установки для изготовления бандажей, диафрагм, пряжек</t>
        </is>
      </c>
      <c r="D35" s="140" t="inlineStr">
        <is>
          <t>маш.час</t>
        </is>
      </c>
      <c r="E35" s="138" t="n">
        <v>1.1</v>
      </c>
      <c r="F35" s="34" t="n">
        <v>2.16</v>
      </c>
      <c r="G35" s="34">
        <f>ROUND(E35*F35,2)</f>
        <v/>
      </c>
      <c r="H35" s="31">
        <f>G35/G45</f>
        <v/>
      </c>
      <c r="I35" s="126">
        <f>ROUND(F35*'Прил. 10'!$D$11,2)</f>
        <v/>
      </c>
      <c r="J35" s="126">
        <f>ROUND(E35*I35,2)</f>
        <v/>
      </c>
    </row>
    <row r="36" outlineLevel="1" ht="31.35" customFormat="1" customHeight="1" s="86">
      <c r="A36" s="120" t="n">
        <v>16</v>
      </c>
      <c r="B36" s="135" t="inlineStr">
        <is>
          <t>91.05.01-017</t>
        </is>
      </c>
      <c r="C36" s="137" t="inlineStr">
        <is>
          <t>Краны башенные, грузоподъемность 8 т</t>
        </is>
      </c>
      <c r="D36" s="140" t="inlineStr">
        <is>
          <t>маш.час</t>
        </is>
      </c>
      <c r="E36" s="138" t="n">
        <v>0.02</v>
      </c>
      <c r="F36" s="34" t="n">
        <v>86.40000000000001</v>
      </c>
      <c r="G36" s="34">
        <f>ROUND(E36*F36,2)</f>
        <v/>
      </c>
      <c r="H36" s="31">
        <f>G36/G45</f>
        <v/>
      </c>
      <c r="I36" s="126">
        <f>ROUND(F36*'Прил. 10'!$D$11,2)</f>
        <v/>
      </c>
      <c r="J36" s="126">
        <f>ROUND(E36*I36,2)</f>
        <v/>
      </c>
    </row>
    <row r="37" outlineLevel="1" ht="15.6" customFormat="1" customHeight="1" s="86">
      <c r="A37" s="120" t="n">
        <v>17</v>
      </c>
      <c r="B37" s="135" t="inlineStr">
        <is>
          <t>91.08.04-021</t>
        </is>
      </c>
      <c r="C37" s="137" t="inlineStr">
        <is>
          <t>Котлы битумные передвижные 400 л</t>
        </is>
      </c>
      <c r="D37" s="140" t="inlineStr">
        <is>
          <t>маш.час</t>
        </is>
      </c>
      <c r="E37" s="138" t="n">
        <v>0.02</v>
      </c>
      <c r="F37" s="34" t="n">
        <v>30</v>
      </c>
      <c r="G37" s="34">
        <f>ROUND(E37*F37,2)</f>
        <v/>
      </c>
      <c r="H37" s="31">
        <f>G37/G45</f>
        <v/>
      </c>
      <c r="I37" s="126">
        <f>ROUND(F37*'Прил. 10'!$D$11,2)</f>
        <v/>
      </c>
      <c r="J37" s="126">
        <f>ROUND(E37*I37,2)</f>
        <v/>
      </c>
    </row>
    <row r="38" outlineLevel="1" ht="31.35" customFormat="1" customHeight="1" s="86">
      <c r="A38" s="120" t="n">
        <v>18</v>
      </c>
      <c r="B38" s="135" t="inlineStr">
        <is>
          <t>91.06.03-047</t>
        </is>
      </c>
      <c r="C38" s="137" t="inlineStr">
        <is>
          <t>Лебедки ручные и рычажные тяговым усилием 31,39 кН (3,2 т)</t>
        </is>
      </c>
      <c r="D38" s="140" t="inlineStr">
        <is>
          <t>маш.час</t>
        </is>
      </c>
      <c r="E38" s="138" t="n">
        <v>0.18</v>
      </c>
      <c r="F38" s="34" t="n">
        <v>3.12</v>
      </c>
      <c r="G38" s="34">
        <f>ROUND(E38*F38,2)</f>
        <v/>
      </c>
      <c r="H38" s="31">
        <f>G38/G45</f>
        <v/>
      </c>
      <c r="I38" s="126">
        <f>ROUND(F38*'Прил. 10'!$D$11,2)</f>
        <v/>
      </c>
      <c r="J38" s="126">
        <f>ROUND(E38*I38,2)</f>
        <v/>
      </c>
    </row>
    <row r="39" outlineLevel="1" ht="15.6" customFormat="1" customHeight="1" s="86">
      <c r="A39" s="120" t="n">
        <v>19</v>
      </c>
      <c r="B39" s="135" t="inlineStr">
        <is>
          <t>91.07.04-002</t>
        </is>
      </c>
      <c r="C39" s="137" t="inlineStr">
        <is>
          <t>Вибраторы поверхностные</t>
        </is>
      </c>
      <c r="D39" s="140" t="inlineStr">
        <is>
          <t>маш.час</t>
        </is>
      </c>
      <c r="E39" s="138" t="n">
        <v>0.79</v>
      </c>
      <c r="F39" s="34" t="n">
        <v>0.5</v>
      </c>
      <c r="G39" s="34">
        <f>ROUND(E39*F39,2)</f>
        <v/>
      </c>
      <c r="H39" s="31">
        <f>G39/G45</f>
        <v/>
      </c>
      <c r="I39" s="126">
        <f>ROUND(F39*'Прил. 10'!$D$11,2)</f>
        <v/>
      </c>
      <c r="J39" s="126">
        <f>ROUND(E39*I39,2)</f>
        <v/>
      </c>
    </row>
    <row r="40" outlineLevel="1" ht="46.9" customFormat="1" customHeight="1" s="86">
      <c r="A40" s="120" t="n">
        <v>20</v>
      </c>
      <c r="B40" s="135" t="inlineStr">
        <is>
          <t>91.06.06-048</t>
        </is>
      </c>
      <c r="C40" s="137" t="inlineStr">
        <is>
          <t>Подъемники одномачтовые, грузоподъемность до 500 кг, высота подъема 45 м</t>
        </is>
      </c>
      <c r="D40" s="140" t="inlineStr">
        <is>
          <t>маш.час</t>
        </is>
      </c>
      <c r="E40" s="138" t="n">
        <v>0.01</v>
      </c>
      <c r="F40" s="34" t="n">
        <v>31.26</v>
      </c>
      <c r="G40" s="34">
        <f>ROUND(E40*F40,2)</f>
        <v/>
      </c>
      <c r="H40" s="31">
        <f>G40/G45</f>
        <v/>
      </c>
      <c r="I40" s="126">
        <f>ROUND(F40*'Прил. 10'!$D$11,2)</f>
        <v/>
      </c>
      <c r="J40" s="126">
        <f>ROUND(E40*I40,2)</f>
        <v/>
      </c>
    </row>
    <row r="41" outlineLevel="1" ht="46.9" customFormat="1" customHeight="1" s="86">
      <c r="A41" s="120" t="n">
        <v>21</v>
      </c>
      <c r="B41" s="135" t="inlineStr">
        <is>
          <t>91.08.09-023</t>
        </is>
      </c>
      <c r="C41" s="137" t="inlineStr">
        <is>
          <t>Трамбовки пневматические при работе от передвижных компрессорных станций</t>
        </is>
      </c>
      <c r="D41" s="140" t="inlineStr">
        <is>
          <t>маш.час</t>
        </is>
      </c>
      <c r="E41" s="138" t="n">
        <v>0.5</v>
      </c>
      <c r="F41" s="34" t="n">
        <v>0.55</v>
      </c>
      <c r="G41" s="34">
        <f>ROUND(E41*F41,2)</f>
        <v/>
      </c>
      <c r="H41" s="31">
        <f>G41/G45</f>
        <v/>
      </c>
      <c r="I41" s="126">
        <f>ROUND(F41*'Прил. 10'!$D$11,2)</f>
        <v/>
      </c>
      <c r="J41" s="126">
        <f>ROUND(E41*I41,2)</f>
        <v/>
      </c>
    </row>
    <row r="42" outlineLevel="1" ht="15.6" customFormat="1" customHeight="1" s="86">
      <c r="A42" s="120" t="n">
        <v>22</v>
      </c>
      <c r="B42" s="135" t="inlineStr">
        <is>
          <t>91.08.09-025</t>
        </is>
      </c>
      <c r="C42" s="137" t="inlineStr">
        <is>
          <t>Трамбовки электрические</t>
        </is>
      </c>
      <c r="D42" s="140" t="inlineStr">
        <is>
          <t>маш.час</t>
        </is>
      </c>
      <c r="E42" s="138" t="n">
        <v>0.01</v>
      </c>
      <c r="F42" s="34" t="n">
        <v>6.7</v>
      </c>
      <c r="G42" s="34">
        <f>ROUND(E42*F42,2)</f>
        <v/>
      </c>
      <c r="H42" s="31">
        <f>G42/G45</f>
        <v/>
      </c>
      <c r="I42" s="126">
        <f>ROUND(F42*'Прил. 10'!$D$11,2)</f>
        <v/>
      </c>
      <c r="J42" s="126">
        <f>ROUND(E42*I42,2)</f>
        <v/>
      </c>
    </row>
    <row r="43" ht="15.6" customFormat="1" customHeight="1" s="86">
      <c r="A43" s="120" t="n"/>
      <c r="B43" s="120" t="inlineStr">
        <is>
          <t>Итого прочие Машины и механизмы</t>
        </is>
      </c>
      <c r="C43" s="166" t="n"/>
      <c r="D43" s="166" t="n"/>
      <c r="E43" s="166" t="n"/>
      <c r="F43" s="165" t="n"/>
      <c r="G43" s="126">
        <f>SUM(G25:G42)</f>
        <v/>
      </c>
      <c r="H43" s="31">
        <f>SUM(H25:H42)</f>
        <v/>
      </c>
      <c r="I43" s="126" t="n"/>
      <c r="J43" s="126">
        <f>SUM(J25:J42)</f>
        <v/>
      </c>
    </row>
    <row r="44" ht="30.75" customFormat="1" customHeight="1" s="81">
      <c r="A44" s="145" t="n"/>
      <c r="B44" s="135" t="n"/>
      <c r="C44" s="137" t="inlineStr">
        <is>
          <t>Итого прочие машины и механизмы 
(с коэффициентом на демонтаж 0,7)</t>
        </is>
      </c>
      <c r="D44" s="140" t="n"/>
      <c r="E44" s="138" t="n"/>
      <c r="F44" s="34" t="n"/>
      <c r="G44" s="34">
        <f>G43*0.7</f>
        <v/>
      </c>
      <c r="H44" s="31">
        <f>H43</f>
        <v/>
      </c>
      <c r="I44" s="126" t="n"/>
      <c r="J44" s="126">
        <f>J43*0.7</f>
        <v/>
      </c>
    </row>
    <row r="45" ht="15.6" customFormat="1" customHeight="1" s="86">
      <c r="A45" s="120" t="n"/>
      <c r="B45" s="120" t="inlineStr">
        <is>
          <t>Итого по разделу "Машины и механизмы"</t>
        </is>
      </c>
      <c r="C45" s="166" t="n"/>
      <c r="D45" s="166" t="n"/>
      <c r="E45" s="166" t="n"/>
      <c r="F45" s="165" t="n"/>
      <c r="G45" s="126">
        <f>G23+G43</f>
        <v/>
      </c>
      <c r="H45" s="31">
        <f>H23+H43</f>
        <v/>
      </c>
      <c r="I45" s="126" t="n"/>
      <c r="J45" s="126">
        <f>J23+J43</f>
        <v/>
      </c>
    </row>
    <row r="46" ht="38.25" customFormat="1" customHeight="1" s="81">
      <c r="A46" s="145" t="n"/>
      <c r="B46" s="145" t="n"/>
      <c r="C46" s="152" t="inlineStr">
        <is>
          <t>Итого по разделу «Машины и механизмы»  
(с коэффициентом на демонтаж 0,7)</t>
        </is>
      </c>
      <c r="D46" s="153" t="n"/>
      <c r="E46" s="154" t="n"/>
      <c r="F46" s="155" t="n"/>
      <c r="G46" s="34">
        <f>G44+G24</f>
        <v/>
      </c>
      <c r="H46" s="156">
        <f>H45</f>
        <v/>
      </c>
      <c r="I46" s="157" t="n"/>
      <c r="J46" s="126">
        <f>J44+J24</f>
        <v/>
      </c>
    </row>
    <row r="47" ht="15.6" customFormat="1" customHeight="1" s="86">
      <c r="A47" s="134" t="n"/>
      <c r="B47" s="132" t="inlineStr">
        <is>
          <t>Оборудование</t>
        </is>
      </c>
      <c r="C47" s="166" t="n"/>
      <c r="D47" s="166" t="n"/>
      <c r="E47" s="166" t="n"/>
      <c r="F47" s="166" t="n"/>
      <c r="G47" s="166" t="n"/>
      <c r="H47" s="166" t="n"/>
      <c r="I47" s="166" t="n"/>
      <c r="J47" s="165" t="n"/>
    </row>
    <row r="48" ht="15.6" customFormat="1" customHeight="1" s="86">
      <c r="A48" s="134" t="n"/>
      <c r="B48" s="134" t="inlineStr">
        <is>
          <t>Основное оборудование</t>
        </is>
      </c>
      <c r="C48" s="166" t="n"/>
      <c r="D48" s="166" t="n"/>
      <c r="E48" s="166" t="n"/>
      <c r="F48" s="166" t="n"/>
      <c r="G48" s="166" t="n"/>
      <c r="H48" s="166" t="n"/>
      <c r="I48" s="166" t="n"/>
      <c r="J48" s="165" t="n"/>
    </row>
    <row r="49" outlineLevel="1" ht="15.6" customFormat="1" customHeight="1" s="86">
      <c r="A49" s="134" t="n"/>
      <c r="B49" s="134" t="n"/>
      <c r="C49" s="134" t="inlineStr">
        <is>
          <t>Итого основное оборудование</t>
        </is>
      </c>
      <c r="D49" s="134" t="n"/>
      <c r="E49" s="134" t="n"/>
      <c r="F49" s="136" t="n"/>
      <c r="G49" s="136" t="n">
        <v>0</v>
      </c>
      <c r="H49" s="134" t="n">
        <v>0</v>
      </c>
      <c r="I49" s="136" t="n"/>
      <c r="J49" s="136" t="n">
        <v>0</v>
      </c>
    </row>
    <row r="50" ht="15.6" customFormat="1" customHeight="1" s="86">
      <c r="A50" s="134" t="n"/>
      <c r="B50" s="134" t="inlineStr">
        <is>
          <t>Прочее оборудование</t>
        </is>
      </c>
      <c r="C50" s="166" t="n"/>
      <c r="D50" s="166" t="n"/>
      <c r="E50" s="166" t="n"/>
      <c r="F50" s="166" t="n"/>
      <c r="G50" s="166" t="n"/>
      <c r="H50" s="166" t="n"/>
      <c r="I50" s="166" t="n"/>
      <c r="J50" s="165" t="n"/>
    </row>
    <row r="51" outlineLevel="1" ht="15.6" customFormat="1" customHeight="1" s="86">
      <c r="A51" s="134" t="n"/>
      <c r="B51" s="134" t="n"/>
      <c r="C51" s="134" t="inlineStr">
        <is>
          <t>Итого прочее оборудование</t>
        </is>
      </c>
      <c r="D51" s="134" t="n"/>
      <c r="E51" s="134" t="n"/>
      <c r="F51" s="136" t="n"/>
      <c r="G51" s="136" t="n">
        <v>0</v>
      </c>
      <c r="H51" s="134" t="n">
        <v>0</v>
      </c>
      <c r="I51" s="136" t="n"/>
      <c r="J51" s="136" t="n">
        <v>0</v>
      </c>
    </row>
    <row r="52" outlineLevel="1" ht="15.6" customFormat="1" customHeight="1" s="86">
      <c r="A52" s="134" t="n"/>
      <c r="B52" s="134" t="n"/>
      <c r="C52" s="132" t="inlineStr">
        <is>
          <t>Итого по разделу «Оборудование»</t>
        </is>
      </c>
      <c r="D52" s="134" t="n"/>
      <c r="E52" s="134" t="n"/>
      <c r="F52" s="136" t="n"/>
      <c r="G52" s="136" t="n">
        <v>0</v>
      </c>
      <c r="H52" s="134" t="n">
        <v>0</v>
      </c>
      <c r="I52" s="136" t="n"/>
      <c r="J52" s="136" t="n">
        <v>0</v>
      </c>
    </row>
    <row r="53" outlineLevel="1" ht="15.6" customFormat="1" customHeight="1" s="86">
      <c r="A53" s="134" t="n"/>
      <c r="B53" s="134" t="n"/>
      <c r="C53" s="134" t="inlineStr">
        <is>
          <t>в том числе технологическое оборудование</t>
        </is>
      </c>
      <c r="D53" s="134" t="n"/>
      <c r="E53" s="134" t="n"/>
      <c r="F53" s="136" t="n"/>
      <c r="G53" s="136" t="n">
        <v>0</v>
      </c>
      <c r="H53" s="134" t="n"/>
      <c r="I53" s="136" t="n"/>
      <c r="J53" s="136" t="n">
        <v>0</v>
      </c>
    </row>
    <row r="54" ht="15.6" customFormat="1" customHeight="1" s="86">
      <c r="A54" s="120" t="n"/>
      <c r="B54" s="119" t="inlineStr">
        <is>
          <t>Материалы</t>
        </is>
      </c>
      <c r="C54" s="166" t="n"/>
      <c r="D54" s="166" t="n"/>
      <c r="E54" s="166" t="n"/>
      <c r="F54" s="166" t="n"/>
      <c r="G54" s="166" t="n"/>
      <c r="H54" s="165" t="n"/>
      <c r="I54" s="126" t="n"/>
      <c r="J54" s="126" t="n"/>
    </row>
    <row r="55" ht="15.6" customFormat="1" customHeight="1" s="86">
      <c r="A55" s="120" t="n"/>
      <c r="B55" s="120" t="inlineStr">
        <is>
          <t>Основные Материалы</t>
        </is>
      </c>
      <c r="C55" s="166" t="n"/>
      <c r="D55" s="166" t="n"/>
      <c r="E55" s="166" t="n"/>
      <c r="F55" s="166" t="n"/>
      <c r="G55" s="166" t="n"/>
      <c r="H55" s="165" t="n"/>
      <c r="I55" s="126" t="n"/>
      <c r="J55" s="126" t="n"/>
    </row>
    <row r="56" ht="15.6" customFormat="1" customHeight="1" s="86">
      <c r="A56" s="120" t="n"/>
      <c r="B56" s="135" t="inlineStr">
        <is>
          <t>Итого основные Материалы</t>
        </is>
      </c>
      <c r="C56" s="166" t="n"/>
      <c r="D56" s="166" t="n"/>
      <c r="E56" s="166" t="n"/>
      <c r="F56" s="165" t="n"/>
      <c r="G56" s="34" t="n">
        <v>0</v>
      </c>
      <c r="H56" s="31" t="n">
        <v>0</v>
      </c>
      <c r="I56" s="126" t="n"/>
      <c r="J56" s="126" t="n">
        <v>0</v>
      </c>
    </row>
    <row r="57" ht="15.6" customFormat="1" customHeight="1" s="86">
      <c r="A57" s="120" t="n"/>
      <c r="B57" s="120" t="inlineStr">
        <is>
          <t>Итого прочие Материалы</t>
        </is>
      </c>
      <c r="C57" s="166" t="n"/>
      <c r="D57" s="166" t="n"/>
      <c r="E57" s="166" t="n"/>
      <c r="F57" s="165" t="n"/>
      <c r="G57" s="126" t="n">
        <v>0</v>
      </c>
      <c r="H57" s="31" t="n">
        <v>0</v>
      </c>
      <c r="I57" s="126" t="n"/>
      <c r="J57" s="126" t="n">
        <v>0</v>
      </c>
    </row>
    <row r="58" ht="15.6" customFormat="1" customHeight="1" s="86">
      <c r="A58" s="120" t="n"/>
      <c r="B58" s="120" t="inlineStr">
        <is>
          <t>Итого по разделу "Материалы"</t>
        </is>
      </c>
      <c r="C58" s="166" t="n"/>
      <c r="D58" s="166" t="n"/>
      <c r="E58" s="166" t="n"/>
      <c r="F58" s="165" t="n"/>
      <c r="G58" s="126">
        <f>G56+G57</f>
        <v/>
      </c>
      <c r="H58" s="31" t="n">
        <v>0</v>
      </c>
      <c r="I58" s="126" t="n"/>
      <c r="J58" s="126">
        <f>J56+J57</f>
        <v/>
      </c>
    </row>
    <row r="59" ht="15.6" customFormat="1" customHeight="1" s="86">
      <c r="A59" s="121" t="n"/>
      <c r="B59" s="140" t="n"/>
      <c r="C59" s="137" t="inlineStr">
        <is>
          <t>ИТОГО ПО РМ</t>
        </is>
      </c>
      <c r="D59" s="140" t="n"/>
      <c r="E59" s="140" t="n"/>
      <c r="F59" s="139" t="n"/>
      <c r="G59" s="139">
        <f>+G14+G45+G58</f>
        <v/>
      </c>
      <c r="H59" s="37" t="n"/>
      <c r="I59" s="126" t="n"/>
      <c r="J59" s="139">
        <f>+J14+J45+J58</f>
        <v/>
      </c>
    </row>
    <row r="60" ht="25.5" customFormat="1" customHeight="1" s="81">
      <c r="A60" s="145" t="n"/>
      <c r="B60" s="145" t="n"/>
      <c r="C60" s="163" t="inlineStr">
        <is>
          <t>ИТОГО ПО РМ
(с коэффициентом на демонтаж 0,7)</t>
        </is>
      </c>
      <c r="D60" s="145" t="n"/>
      <c r="E60" s="147" t="n"/>
      <c r="F60" s="148" t="n"/>
      <c r="G60" s="139">
        <f>G46+G15</f>
        <v/>
      </c>
      <c r="H60" s="139" t="n"/>
      <c r="I60" s="139" t="n"/>
      <c r="J60" s="139">
        <f>J46+J15</f>
        <v/>
      </c>
    </row>
    <row r="61" ht="15.6" customFormat="1" customHeight="1" s="86">
      <c r="A61" s="121" t="n"/>
      <c r="B61" s="140" t="n"/>
      <c r="C61" s="137" t="inlineStr">
        <is>
          <t>Накладные расходы</t>
        </is>
      </c>
      <c r="D61" s="38" t="n">
        <v>1.0165109324657</v>
      </c>
      <c r="E61" s="140" t="n"/>
      <c r="F61" s="139" t="n"/>
      <c r="G61" s="139">
        <f>(G14+G17)*D61</f>
        <v/>
      </c>
      <c r="H61" s="37" t="n"/>
      <c r="I61" s="126" t="n"/>
      <c r="J61" s="139">
        <f>(J14+J17)*D61</f>
        <v/>
      </c>
    </row>
    <row r="62" ht="30.75" customFormat="1" customHeight="1" s="81">
      <c r="A62" s="145" t="n"/>
      <c r="B62" s="145" t="n"/>
      <c r="C62" s="163" t="inlineStr">
        <is>
          <t>Накладные расходы 
(с коэффициентом на демонтаж 0,7)</t>
        </is>
      </c>
      <c r="D62" s="38">
        <f>D61</f>
        <v/>
      </c>
      <c r="E62" s="147" t="n"/>
      <c r="F62" s="148" t="n"/>
      <c r="G62" s="139">
        <f>G61*0.7</f>
        <v/>
      </c>
      <c r="H62" s="150" t="n"/>
      <c r="I62" s="149" t="n"/>
      <c r="J62" s="139">
        <f>J61*0.7</f>
        <v/>
      </c>
    </row>
    <row r="63" ht="15.6" customFormat="1" customHeight="1" s="86">
      <c r="A63" s="121" t="n"/>
      <c r="B63" s="140" t="n"/>
      <c r="C63" s="137" t="inlineStr">
        <is>
          <t>Сметная прибыль</t>
        </is>
      </c>
      <c r="D63" s="38" t="n">
        <v>0.57927417022109</v>
      </c>
      <c r="E63" s="140" t="n"/>
      <c r="F63" s="139" t="n"/>
      <c r="G63" s="139">
        <f>(G14+G17)*D63</f>
        <v/>
      </c>
      <c r="H63" s="37" t="n"/>
      <c r="I63" s="126" t="n"/>
      <c r="J63" s="139">
        <f>(J14+J17)*D63</f>
        <v/>
      </c>
    </row>
    <row r="64" ht="25.5" customFormat="1" customHeight="1" s="81">
      <c r="A64" s="145" t="n"/>
      <c r="B64" s="145" t="n"/>
      <c r="C64" s="163" t="inlineStr">
        <is>
          <t>Сметная прибыль 
(с коэффициентом на демонтаж 0,7)</t>
        </is>
      </c>
      <c r="D64" s="38">
        <f>D63</f>
        <v/>
      </c>
      <c r="E64" s="147" t="n"/>
      <c r="F64" s="148" t="n"/>
      <c r="G64" s="139">
        <f>G63*0.7</f>
        <v/>
      </c>
      <c r="H64" s="150" t="n"/>
      <c r="I64" s="149" t="n"/>
      <c r="J64" s="139">
        <f>J63*0.7</f>
        <v/>
      </c>
    </row>
    <row r="65" ht="32.25" customFormat="1" customHeight="1" s="86">
      <c r="A65" s="121" t="n"/>
      <c r="B65" s="140" t="n"/>
      <c r="C65" s="163" t="inlineStr">
        <is>
          <t>Итого СМР (с НР и СП) 
(с коэффициентом на демонтаж 0,7)</t>
        </is>
      </c>
      <c r="D65" s="140" t="n"/>
      <c r="E65" s="140" t="n"/>
      <c r="F65" s="139" t="n"/>
      <c r="G65" s="139">
        <f>G60+G62+G64</f>
        <v/>
      </c>
      <c r="H65" s="37" t="n"/>
      <c r="I65" s="126" t="n"/>
      <c r="J65" s="139">
        <f>J60+J62+J64</f>
        <v/>
      </c>
    </row>
    <row r="66" ht="33" customFormat="1" customHeight="1" s="86">
      <c r="A66" s="121" t="n"/>
      <c r="B66" s="140" t="n"/>
      <c r="C66" s="163" t="inlineStr">
        <is>
          <t>ВСЕГО СМР + ОБОРУДОВАНИЕ 
(с коэффициентом на демонтаж 0,7)</t>
        </is>
      </c>
      <c r="D66" s="140" t="n"/>
      <c r="E66" s="140" t="n"/>
      <c r="F66" s="139" t="n"/>
      <c r="G66" s="139">
        <f>G52+G65</f>
        <v/>
      </c>
      <c r="H66" s="37" t="n"/>
      <c r="I66" s="126" t="n"/>
      <c r="J66" s="126">
        <f>J52+J65</f>
        <v/>
      </c>
    </row>
    <row r="67" ht="24.75" customFormat="1" customHeight="1" s="86">
      <c r="A67" s="121" t="n"/>
      <c r="B67" s="140" t="n"/>
      <c r="C67" s="137" t="inlineStr">
        <is>
          <t>ИТОГО ПОКАЗАТЕЛЬ НА ЕД. ИЗМ.</t>
        </is>
      </c>
      <c r="D67" s="140" t="inlineStr">
        <is>
          <t>м3</t>
        </is>
      </c>
      <c r="E67" s="140" t="n">
        <v>300</v>
      </c>
      <c r="F67" s="139" t="n"/>
      <c r="G67" s="139">
        <f>G66/E67</f>
        <v/>
      </c>
      <c r="H67" s="37" t="n"/>
      <c r="I67" s="126" t="n"/>
      <c r="J67" s="139">
        <f>J66/E67</f>
        <v/>
      </c>
    </row>
    <row r="68" ht="15.6" customFormat="1" customHeight="1" s="86">
      <c r="A68" s="86" t="n"/>
      <c r="B68" s="86" t="n"/>
      <c r="C68" s="86" t="n"/>
      <c r="E68" s="86" t="n"/>
      <c r="F68" s="39" t="n"/>
      <c r="G68" s="39" t="n"/>
      <c r="I68" s="39" t="n"/>
      <c r="J68" s="39" t="n"/>
    </row>
    <row r="69" ht="15.6" customFormat="1" customHeight="1" s="86">
      <c r="A69" s="86" t="n"/>
      <c r="B69" s="86" t="n"/>
      <c r="C69" s="86" t="n"/>
      <c r="E69" s="86" t="n"/>
      <c r="F69" s="39" t="n"/>
      <c r="G69" s="39" t="n"/>
      <c r="I69" s="39" t="n"/>
      <c r="J69" s="39" t="n"/>
    </row>
    <row r="70" ht="15.6" customFormat="1" customHeight="1" s="86">
      <c r="A70" s="8" t="n"/>
      <c r="B70" s="86" t="n"/>
      <c r="C70" s="86" t="n"/>
      <c r="E70" s="86" t="n"/>
      <c r="F70" s="39" t="n"/>
      <c r="G70" s="39" t="n"/>
      <c r="I70" s="39" t="n"/>
      <c r="J70" s="39" t="n"/>
    </row>
    <row r="71" ht="15.6" customFormat="1" customHeight="1" s="86">
      <c r="A71" s="86" t="n"/>
      <c r="B71" s="86" t="n"/>
      <c r="C71" s="86" t="n"/>
      <c r="E71" s="86" t="n"/>
      <c r="F71" s="39" t="n"/>
      <c r="G71" s="39" t="n"/>
      <c r="I71" s="39" t="n"/>
      <c r="J71" s="39" t="n"/>
    </row>
    <row r="72" ht="15.6" customFormat="1" customHeight="1" s="86">
      <c r="A72" s="86" t="n"/>
      <c r="B72" s="86" t="n"/>
      <c r="C72" s="86" t="n"/>
      <c r="E72" s="86" t="n"/>
      <c r="F72" s="39" t="n"/>
      <c r="G72" s="39" t="n"/>
      <c r="I72" s="39" t="n"/>
      <c r="J72" s="39" t="n"/>
    </row>
    <row r="73" ht="15.6" customFormat="1" customHeight="1" s="86">
      <c r="A73" s="8" t="n"/>
      <c r="B73" s="86" t="n"/>
      <c r="C73" s="86" t="n"/>
      <c r="E73" s="86" t="n"/>
      <c r="F73" s="39" t="n"/>
      <c r="G73" s="39" t="n"/>
      <c r="I73" s="39" t="n"/>
      <c r="J73" s="39" t="n"/>
    </row>
    <row r="74" ht="15.6" customFormat="1" customHeight="1" s="86">
      <c r="A74" s="86" t="n"/>
      <c r="B74" s="86" t="n"/>
      <c r="C74" s="86" t="n"/>
      <c r="E74" s="86" t="n"/>
      <c r="F74" s="39" t="n"/>
      <c r="G74" s="39" t="n"/>
      <c r="I74" s="39" t="n"/>
      <c r="J74" s="39" t="n"/>
    </row>
  </sheetData>
  <mergeCells count="28">
    <mergeCell ref="H9:H10"/>
    <mergeCell ref="B55:H55"/>
    <mergeCell ref="H2:J2"/>
    <mergeCell ref="B20:H20"/>
    <mergeCell ref="B58:F58"/>
    <mergeCell ref="B56:F56"/>
    <mergeCell ref="C9:C10"/>
    <mergeCell ref="B43:F43"/>
    <mergeCell ref="E9:E10"/>
    <mergeCell ref="B54:H54"/>
    <mergeCell ref="B23:F23"/>
    <mergeCell ref="B16:H16"/>
    <mergeCell ref="B57:F57"/>
    <mergeCell ref="B9:B10"/>
    <mergeCell ref="D9:D10"/>
    <mergeCell ref="B12:H12"/>
    <mergeCell ref="B50:J50"/>
    <mergeCell ref="D6:J6"/>
    <mergeCell ref="B47:J47"/>
    <mergeCell ref="F9:G9"/>
    <mergeCell ref="A4:H4"/>
    <mergeCell ref="A9:A10"/>
    <mergeCell ref="A6:C6"/>
    <mergeCell ref="B45:F45"/>
    <mergeCell ref="A7:C7"/>
    <mergeCell ref="B19:H19"/>
    <mergeCell ref="I9:J9"/>
    <mergeCell ref="B48:J48"/>
  </mergeCells>
  <conditionalFormatting sqref="E13:E74">
    <cfRule type="expression" priority="1" dxfId="0" stopIfTrue="1">
      <formula>E13&gt;=1/10000</formula>
    </cfRule>
  </conditionalFormatting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workbookViewId="0">
      <selection activeCell="B11" sqref="B11:G11"/>
    </sheetView>
  </sheetViews>
  <sheetFormatPr baseColWidth="8" defaultColWidth="9.140625" defaultRowHeight="14.4" outlineLevelRow="0"/>
  <cols>
    <col width="5.5703125" customWidth="1" style="84" min="1" max="1"/>
    <col width="14.85546875" customWidth="1" style="84" min="2" max="2"/>
    <col width="39.140625" customWidth="1" style="84" min="3" max="3"/>
    <col width="8.42578125" customWidth="1" style="84" min="4" max="4"/>
    <col width="13.42578125" customWidth="1" style="84" min="5" max="5"/>
    <col width="12.42578125" customWidth="1" style="84" min="6" max="6"/>
    <col width="14.140625" customWidth="1" style="84" min="7" max="7"/>
  </cols>
  <sheetData>
    <row r="1" ht="15.6" customHeight="1" s="84">
      <c r="A1" s="127" t="inlineStr">
        <is>
          <t>Приложение №6</t>
        </is>
      </c>
    </row>
    <row r="2" ht="21.75" customHeight="1" s="84">
      <c r="A2" s="127" t="n"/>
      <c r="B2" s="127" t="n"/>
      <c r="C2" s="127" t="n"/>
      <c r="D2" s="127" t="n"/>
      <c r="E2" s="127" t="n"/>
      <c r="F2" s="127" t="n"/>
      <c r="G2" s="127" t="n"/>
    </row>
    <row r="3" ht="15.6" customHeight="1" s="84">
      <c r="A3" s="144" t="inlineStr">
        <is>
          <t>Расчет стоимости оборудования</t>
        </is>
      </c>
    </row>
    <row r="4" ht="25.5" customHeight="1" s="84">
      <c r="A4" s="128" t="inlineStr">
        <is>
          <t>Наименование разрабатываемого показателя УНЦ —  Демонтаж резервуара накопителя</t>
        </is>
      </c>
    </row>
    <row r="5" ht="15.6" customHeight="1" s="84">
      <c r="A5" s="86" t="n"/>
      <c r="B5" s="86" t="n"/>
      <c r="C5" s="86" t="n"/>
      <c r="D5" s="86" t="n"/>
      <c r="E5" s="86" t="n"/>
      <c r="F5" s="86" t="n"/>
      <c r="G5" s="86" t="n"/>
    </row>
    <row r="6" ht="30.2" customFormat="1" customHeight="1" s="86">
      <c r="A6" s="140" t="inlineStr">
        <is>
          <t>№ пп.</t>
        </is>
      </c>
      <c r="B6" s="140" t="inlineStr">
        <is>
          <t>Код ресурса</t>
        </is>
      </c>
      <c r="C6" s="140" t="inlineStr">
        <is>
          <t>Наименование</t>
        </is>
      </c>
      <c r="D6" s="140" t="inlineStr">
        <is>
          <t>Ед. изм.</t>
        </is>
      </c>
      <c r="E6" s="143" t="inlineStr">
        <is>
          <t>Кол-во единиц по проектным данным</t>
        </is>
      </c>
      <c r="F6" s="140" t="inlineStr">
        <is>
          <t>Сметная стоимость в ценах на 01.01.2000 (руб.)</t>
        </is>
      </c>
      <c r="G6" s="165" t="n"/>
    </row>
    <row r="7" ht="15.6" customFormat="1" customHeight="1" s="86">
      <c r="A7" s="168" t="n"/>
      <c r="B7" s="168" t="n"/>
      <c r="C7" s="168" t="n"/>
      <c r="D7" s="168" t="n"/>
      <c r="E7" s="168" t="n"/>
      <c r="F7" s="143" t="inlineStr">
        <is>
          <t>на ед. изм.</t>
        </is>
      </c>
      <c r="G7" s="143" t="inlineStr">
        <is>
          <t>общая</t>
        </is>
      </c>
    </row>
    <row r="8" ht="15.6" customFormat="1" customHeight="1" s="86">
      <c r="A8" s="143" t="n">
        <v>1</v>
      </c>
      <c r="B8" s="143" t="n">
        <v>2</v>
      </c>
      <c r="C8" s="143" t="n">
        <v>3</v>
      </c>
      <c r="D8" s="143" t="n">
        <v>4</v>
      </c>
      <c r="E8" s="143" t="n">
        <v>5</v>
      </c>
      <c r="F8" s="143" t="n">
        <v>6</v>
      </c>
      <c r="G8" s="143" t="n">
        <v>7</v>
      </c>
    </row>
    <row r="9" ht="15.6" customFormat="1" customHeight="1" s="86">
      <c r="A9" s="121" t="n"/>
      <c r="B9" s="137" t="inlineStr">
        <is>
          <t>ИНЖЕНЕРНОЕ ОБОРУДОВАНИЕ</t>
        </is>
      </c>
      <c r="C9" s="166" t="n"/>
      <c r="D9" s="166" t="n"/>
      <c r="E9" s="166" t="n"/>
      <c r="F9" s="166" t="n"/>
      <c r="G9" s="165" t="n"/>
    </row>
    <row r="10" ht="31.35" customFormat="1" customHeight="1" s="86">
      <c r="A10" s="140" t="n"/>
      <c r="B10" s="41" t="n"/>
      <c r="C10" s="137" t="inlineStr">
        <is>
          <t>ИТОГО ИНЖЕНЕРНОЕ ОБОРУДОВАНИЕ</t>
        </is>
      </c>
      <c r="D10" s="41" t="n"/>
      <c r="E10" s="42" t="n"/>
      <c r="F10" s="139" t="n"/>
      <c r="G10" s="139" t="n">
        <v>0</v>
      </c>
    </row>
    <row r="11" ht="15.6" customFormat="1" customHeight="1" s="86">
      <c r="A11" s="140" t="n"/>
      <c r="B11" s="137" t="inlineStr">
        <is>
          <t>ТЕХНОЛОГИЧЕСКОЕ ОБОРУДОВАНИЕ</t>
        </is>
      </c>
      <c r="C11" s="166" t="n"/>
      <c r="D11" s="166" t="n"/>
      <c r="E11" s="166" t="n"/>
      <c r="F11" s="166" t="n"/>
      <c r="G11" s="165" t="n"/>
    </row>
    <row r="12" ht="31.35" customFormat="1" customHeight="1" s="86">
      <c r="A12" s="140" t="n"/>
      <c r="B12" s="137" t="n"/>
      <c r="C12" s="137" t="inlineStr">
        <is>
          <t>ИТОГО ТЕХНОЛОГИЧЕСКОЕ ОБОРУДОВАНИЕ</t>
        </is>
      </c>
      <c r="D12" s="137" t="n"/>
      <c r="E12" s="138" t="n"/>
      <c r="F12" s="139" t="n"/>
      <c r="G12" s="139" t="n">
        <v>0</v>
      </c>
    </row>
    <row r="13" ht="15.6" customFormat="1" customHeight="1" s="86">
      <c r="A13" s="140" t="n"/>
      <c r="B13" s="137" t="n"/>
      <c r="C13" s="137" t="inlineStr">
        <is>
          <t>Итого по разделу "Оборудование"</t>
        </is>
      </c>
      <c r="D13" s="137" t="n"/>
      <c r="E13" s="138" t="n"/>
      <c r="F13" s="139" t="n"/>
      <c r="G13" s="139" t="n">
        <v>0</v>
      </c>
    </row>
    <row r="14" ht="15.6" customFormat="1" customHeight="1" s="86">
      <c r="B14" s="127" t="n"/>
    </row>
    <row r="15" ht="15.6" customFormat="1" customHeight="1" s="86">
      <c r="A15" s="86" t="inlineStr">
        <is>
          <t>Составил ______________________        М.С. Колотиевская</t>
        </is>
      </c>
    </row>
    <row r="16" ht="15.6" customFormat="1" customHeight="1" s="86">
      <c r="A16" s="8" t="inlineStr">
        <is>
          <t xml:space="preserve">                         (подпись, инициалы, фамилия)</t>
        </is>
      </c>
    </row>
    <row r="17" ht="15.6" customFormat="1" customHeight="1" s="86"/>
    <row r="18" ht="15.6" customFormat="1" customHeight="1" s="86">
      <c r="A18" s="86" t="inlineStr">
        <is>
          <t>Проверил ______________________       М.С. Колотиевская</t>
        </is>
      </c>
    </row>
    <row r="19" ht="15.6" customFormat="1" customHeight="1" s="86">
      <c r="A19" s="8" t="inlineStr">
        <is>
          <t xml:space="preserve">                        (подпись, инициалы, фамилия)</t>
        </is>
      </c>
    </row>
    <row r="20" ht="15.6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B11" sqref="B11"/>
    </sheetView>
  </sheetViews>
  <sheetFormatPr baseColWidth="8" defaultColWidth="8.85546875" defaultRowHeight="14.4" outlineLevelRow="0"/>
  <cols>
    <col width="14.42578125" customWidth="1" style="84" min="1" max="1"/>
    <col width="29.5703125" customWidth="1" style="84" min="2" max="2"/>
    <col width="39.140625" customWidth="1" style="84" min="3" max="3"/>
    <col width="24.42578125" customWidth="1" style="84" min="4" max="4"/>
  </cols>
  <sheetData>
    <row r="1">
      <c r="B1" s="72" t="n"/>
      <c r="C1" s="72" t="n"/>
      <c r="D1" s="73" t="inlineStr">
        <is>
          <t>Приложение №7</t>
        </is>
      </c>
    </row>
    <row r="2">
      <c r="A2" s="73" t="n"/>
      <c r="B2" s="73" t="n"/>
      <c r="C2" s="73" t="n"/>
      <c r="D2" s="73" t="n"/>
    </row>
    <row r="3" ht="24.75" customHeight="1" s="84">
      <c r="A3" s="141" t="inlineStr">
        <is>
          <t>Расчет показателя УНЦ</t>
        </is>
      </c>
    </row>
    <row r="4" ht="24.75" customHeight="1" s="84">
      <c r="A4" s="141" t="n"/>
      <c r="B4" s="141" t="n"/>
      <c r="C4" s="141" t="n"/>
      <c r="D4" s="141" t="n"/>
    </row>
    <row r="5" ht="24.6" customHeight="1" s="84">
      <c r="A5" s="142" t="inlineStr">
        <is>
          <t xml:space="preserve">Наименование разрабатываемого показателя УНЦ - </t>
        </is>
      </c>
      <c r="D5" s="142">
        <f>'Прил.5 Расчет СМР и ОБ'!D6:J6</f>
        <v/>
      </c>
    </row>
    <row r="6" ht="19.9" customHeight="1" s="84">
      <c r="A6" s="142" t="inlineStr">
        <is>
          <t>Единица измерения  — 1 м3</t>
        </is>
      </c>
      <c r="D6" s="142" t="n"/>
    </row>
    <row r="7">
      <c r="A7" s="72" t="n"/>
      <c r="B7" s="72" t="n"/>
      <c r="C7" s="72" t="n"/>
      <c r="D7" s="72" t="n"/>
    </row>
    <row r="8" ht="14.45" customHeight="1" s="84">
      <c r="A8" s="143" t="inlineStr">
        <is>
          <t>Код показателя</t>
        </is>
      </c>
      <c r="B8" s="143" t="inlineStr">
        <is>
          <t>Наименование показателя</t>
        </is>
      </c>
      <c r="C8" s="143" t="inlineStr">
        <is>
          <t>Наименование РМ, входящих в состав показателя</t>
        </is>
      </c>
      <c r="D8" s="143" t="inlineStr">
        <is>
          <t>Норматив цены на 01.01.2023, тыс.руб.</t>
        </is>
      </c>
    </row>
    <row r="9" ht="15" customHeight="1" s="84">
      <c r="A9" s="168" t="n"/>
      <c r="B9" s="168" t="n"/>
      <c r="C9" s="168" t="n"/>
      <c r="D9" s="168" t="n"/>
    </row>
    <row r="10">
      <c r="A10" s="145" t="n">
        <v>1</v>
      </c>
      <c r="B10" s="145" t="n">
        <v>2</v>
      </c>
      <c r="C10" s="145" t="n">
        <v>3</v>
      </c>
      <c r="D10" s="145" t="n">
        <v>4</v>
      </c>
    </row>
    <row r="11" ht="41.45" customHeight="1" s="84">
      <c r="A11" s="145" t="inlineStr">
        <is>
          <t>М7-10</t>
        </is>
      </c>
      <c r="B11" s="145" t="inlineStr">
        <is>
          <t>УНЦ на демонтаж зданий и  сооружений</t>
        </is>
      </c>
      <c r="C11" s="77">
        <f>D5</f>
        <v/>
      </c>
      <c r="D11" s="78">
        <f>'Прил.4 РМ'!C41/1000</f>
        <v/>
      </c>
      <c r="E11" s="71" t="n"/>
    </row>
    <row r="12">
      <c r="A12" s="79" t="n"/>
      <c r="B12" s="80" t="n"/>
      <c r="C12" s="79" t="n"/>
      <c r="D12" s="79" t="n"/>
    </row>
    <row r="13">
      <c r="A13" s="72" t="inlineStr">
        <is>
          <t>Составил ______________________     М.С. Колотиевская</t>
        </is>
      </c>
      <c r="B13" s="81" t="n"/>
      <c r="C13" s="81" t="n"/>
      <c r="D13" s="79" t="n"/>
    </row>
    <row r="14">
      <c r="A14" s="82" t="inlineStr">
        <is>
          <t xml:space="preserve">                         (подпись, инициалы, фамилия)</t>
        </is>
      </c>
      <c r="B14" s="81" t="n"/>
      <c r="C14" s="81" t="n"/>
      <c r="D14" s="79" t="n"/>
    </row>
    <row r="15">
      <c r="A15" s="72" t="n"/>
      <c r="B15" s="81" t="n"/>
      <c r="C15" s="81" t="n"/>
      <c r="D15" s="79" t="n"/>
    </row>
    <row r="16">
      <c r="A16" s="72" t="inlineStr">
        <is>
          <t>Проверил ______________________        А.В. Костянецкая</t>
        </is>
      </c>
      <c r="B16" s="81" t="n"/>
      <c r="C16" s="81" t="n"/>
      <c r="D16" s="79" t="n"/>
    </row>
    <row r="17">
      <c r="A17" s="82" t="inlineStr">
        <is>
          <t xml:space="preserve">                        (подпись, инициалы, фамилия)</t>
        </is>
      </c>
      <c r="B17" s="81" t="n"/>
      <c r="C17" s="81" t="n"/>
      <c r="D17" s="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workbookViewId="0">
      <selection activeCell="D16" sqref="D16"/>
    </sheetView>
  </sheetViews>
  <sheetFormatPr baseColWidth="8" defaultColWidth="9.140625" defaultRowHeight="14.4" outlineLevelRow="0"/>
  <cols>
    <col width="40.5703125" customWidth="1" style="84" min="2" max="2"/>
    <col width="37" customWidth="1" style="84" min="3" max="3"/>
    <col width="32" customWidth="1" style="84" min="4" max="4"/>
  </cols>
  <sheetData>
    <row r="4" ht="15.6" customHeight="1" s="84">
      <c r="B4" s="109" t="inlineStr">
        <is>
          <t>Приложение № 10</t>
        </is>
      </c>
    </row>
    <row r="5" ht="18" customHeight="1" s="84">
      <c r="B5" s="9" t="n"/>
    </row>
    <row r="6" ht="15.6" customHeight="1" s="84">
      <c r="B6" s="144" t="inlineStr">
        <is>
          <t>Используемые индексы изменений сметной стоимости и нормы сопутствующих затрат</t>
        </is>
      </c>
    </row>
    <row r="7" ht="18" customHeight="1" s="84">
      <c r="B7" s="10" t="n"/>
    </row>
    <row r="8" ht="46.9" customFormat="1" customHeight="1" s="86">
      <c r="B8" s="143" t="inlineStr">
        <is>
          <t>Наименование индекса / норм сопутствующих затрат</t>
        </is>
      </c>
      <c r="C8" s="143" t="inlineStr">
        <is>
          <t>Дата применения и обоснование индекса / норм сопутствующих затрат</t>
        </is>
      </c>
      <c r="D8" s="143" t="inlineStr">
        <is>
          <t>Размер индекса / норма сопутствующих затрат</t>
        </is>
      </c>
    </row>
    <row r="9" ht="15.6" customFormat="1" customHeight="1" s="86">
      <c r="B9" s="143" t="n">
        <v>1</v>
      </c>
      <c r="C9" s="143" t="n">
        <v>2</v>
      </c>
      <c r="D9" s="143" t="n">
        <v>3</v>
      </c>
    </row>
    <row r="10" ht="31.35" customFormat="1" customHeight="1" s="86">
      <c r="B10" s="143" t="inlineStr">
        <is>
          <t xml:space="preserve">Индекс изменения сметной стоимости на 1 квартал 2023 года. ОЗП </t>
        </is>
      </c>
      <c r="C10" s="143" t="inlineStr">
        <is>
          <t>Письмо Минстроя России от 30.03.2023г. №17106-ИФ/09  прил.1</t>
        </is>
      </c>
      <c r="D10" s="143" t="n">
        <v>44.29</v>
      </c>
    </row>
    <row r="11" ht="31.35" customFormat="1" customHeight="1" s="86">
      <c r="B11" s="143" t="inlineStr">
        <is>
          <t>Индекс изменения сметной стоимости на 1 квартал 2023 года. ЭМ</t>
        </is>
      </c>
      <c r="C11" s="143" t="inlineStr">
        <is>
          <t>Письмо Минстроя России от 30.03.2023г. №17106-ИФ/09  прил.1</t>
        </is>
      </c>
      <c r="D11" s="143" t="n">
        <v>13.47</v>
      </c>
    </row>
    <row r="12" ht="31.35" customFormat="1" customHeight="1" s="86">
      <c r="B12" s="143" t="inlineStr">
        <is>
          <t>Индекс изменения сметной стоимости на 1 квартал 2023 года. МАТ</t>
        </is>
      </c>
      <c r="C12" s="143" t="inlineStr">
        <is>
          <t>Письмо Минстроя России от 30.03.2023г. №17106-ИФ/09  прил.1</t>
        </is>
      </c>
      <c r="D12" s="143" t="n">
        <v>8.039999999999999</v>
      </c>
    </row>
    <row r="13" ht="31.35" customFormat="1" customHeight="1" s="86">
      <c r="B13" s="143" t="inlineStr">
        <is>
          <t>Индекс изменения сметной стоимости на 1 квартал 2023 года. ОБ</t>
        </is>
      </c>
      <c r="C13" s="11" t="inlineStr">
        <is>
          <t>Письмо Минстроя России от 23.02.2023г. №9791-ИФ/09 прил.6</t>
        </is>
      </c>
      <c r="D13" s="143" t="n">
        <v>6.26</v>
      </c>
    </row>
    <row r="14" ht="78" customFormat="1" customHeight="1" s="86">
      <c r="B14" s="143" t="inlineStr">
        <is>
          <t>Временные здания и сооружения</t>
        </is>
      </c>
      <c r="C14" s="1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" customFormat="1" customHeight="1" s="86">
      <c r="B15" s="143" t="inlineStr">
        <is>
          <t>Дополнительные затраты при производстве строительно-монтажных работ в зимнее время</t>
        </is>
      </c>
      <c r="C15" s="1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4" t="n"/>
    </row>
    <row r="16" ht="31.35" customFormat="1" customHeight="1" s="86">
      <c r="B16" s="143" t="inlineStr">
        <is>
          <t>Пусконаладочные работы</t>
        </is>
      </c>
      <c r="C16" s="143" t="n"/>
      <c r="D16" s="143" t="inlineStr">
        <is>
          <t>Расчёт</t>
        </is>
      </c>
    </row>
    <row r="17" ht="31.35" customFormat="1" customHeight="1" s="86">
      <c r="B17" s="143" t="inlineStr">
        <is>
          <t>Строительный контроль</t>
        </is>
      </c>
      <c r="C17" s="143" t="inlineStr">
        <is>
          <t>Постановление Правительства РФ от 21.06.10 г. № 468</t>
        </is>
      </c>
      <c r="D17" s="12" t="n">
        <v>0.0214</v>
      </c>
    </row>
    <row r="18" ht="15.6" customFormat="1" customHeight="1" s="86">
      <c r="B18" s="143" t="inlineStr">
        <is>
          <t>Авторский надзор</t>
        </is>
      </c>
      <c r="C18" s="143" t="inlineStr">
        <is>
          <t>Приказ от 4.08.2020 № 421/пр п.173</t>
        </is>
      </c>
      <c r="D18" s="12" t="n">
        <v>0.002</v>
      </c>
    </row>
    <row r="19" ht="15.6" customFormat="1" customHeight="1" s="86">
      <c r="B19" s="143" t="inlineStr">
        <is>
          <t>Непредвиденные расходы</t>
        </is>
      </c>
      <c r="C19" s="143" t="inlineStr">
        <is>
          <t>Приказ от 4.08.2020 № 421/пр п.179</t>
        </is>
      </c>
      <c r="D19" s="12" t="n">
        <v>0.03</v>
      </c>
    </row>
    <row r="20" ht="15.6" customFormat="1" customHeight="1" s="86">
      <c r="B20" s="111" t="n"/>
    </row>
    <row r="21" ht="15.6" customFormat="1" customHeight="1" s="86">
      <c r="B21" s="111" t="n"/>
    </row>
    <row r="22" ht="15.6" customFormat="1" customHeight="1" s="86">
      <c r="B22" s="111" t="n"/>
    </row>
    <row r="23" ht="15.6" customFormat="1" customHeight="1" s="86">
      <c r="B23" s="111" t="n"/>
    </row>
    <row r="24" ht="15.6" customFormat="1" customHeight="1" s="86"/>
    <row r="25" ht="15.6" customFormat="1" customHeight="1" s="86"/>
    <row r="26" ht="15.6" customFormat="1" customHeight="1" s="86">
      <c r="B26" s="86" t="inlineStr">
        <is>
          <t>Составил ______________________        М.С. Колотиевская</t>
        </is>
      </c>
    </row>
    <row r="27" ht="15.6" customFormat="1" customHeight="1" s="86">
      <c r="B27" s="8" t="inlineStr">
        <is>
          <t xml:space="preserve">                         (подпись, инициалы, фамилия)</t>
        </is>
      </c>
    </row>
    <row r="28" ht="15.6" customFormat="1" customHeight="1" s="86"/>
    <row r="29" ht="15.6" customFormat="1" customHeight="1" s="86">
      <c r="B29" s="86" t="inlineStr">
        <is>
          <t>Проверил ______________________        М.С. Колотиевская</t>
        </is>
      </c>
    </row>
    <row r="30" ht="15.6" customFormat="1" customHeight="1" s="86">
      <c r="B30" s="8" t="inlineStr">
        <is>
          <t xml:space="preserve">                        (подпись, инициалы, фамилия)</t>
        </is>
      </c>
    </row>
    <row r="31" ht="15.6" customFormat="1" customHeight="1" s="86"/>
    <row r="32" ht="15.6" customFormat="1" customHeight="1" s="86"/>
  </sheetData>
  <mergeCells count="2"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44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87" t="inlineStr">
        <is>
          <t>№ пп.</t>
        </is>
      </c>
      <c r="B5" s="87" t="inlineStr">
        <is>
          <t>Наименование элемента</t>
        </is>
      </c>
      <c r="C5" s="87" t="inlineStr">
        <is>
          <t>Обозначение</t>
        </is>
      </c>
      <c r="D5" s="87" t="inlineStr">
        <is>
          <t>Формула</t>
        </is>
      </c>
      <c r="E5" s="87" t="inlineStr">
        <is>
          <t>Величина элемента</t>
        </is>
      </c>
      <c r="F5" s="87" t="inlineStr">
        <is>
          <t>Наименования обосновывающих документов</t>
        </is>
      </c>
      <c r="G5" s="86" t="n"/>
    </row>
    <row r="6" ht="15.75" customHeight="1" s="84">
      <c r="A6" s="87" t="n">
        <v>1</v>
      </c>
      <c r="B6" s="87" t="n">
        <v>2</v>
      </c>
      <c r="C6" s="87" t="n">
        <v>3</v>
      </c>
      <c r="D6" s="87" t="n">
        <v>4</v>
      </c>
      <c r="E6" s="87" t="n">
        <v>5</v>
      </c>
      <c r="F6" s="87" t="n">
        <v>6</v>
      </c>
      <c r="G6" s="86" t="n"/>
    </row>
    <row r="7" ht="110.25" customHeight="1" s="84">
      <c r="A7" s="88" t="inlineStr">
        <is>
          <t>1.1</t>
        </is>
      </c>
      <c r="B7" s="15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3" t="inlineStr">
        <is>
          <t>С1ср</t>
        </is>
      </c>
      <c r="D7" s="143" t="inlineStr">
        <is>
          <t>-</t>
        </is>
      </c>
      <c r="E7" s="91" t="n">
        <v>47872.94</v>
      </c>
      <c r="F7" s="15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88" t="inlineStr">
        <is>
          <t>1.2</t>
        </is>
      </c>
      <c r="B8" s="158" t="inlineStr">
        <is>
          <t>Среднегодовое нормативное число часов работы одного рабочего в месяц, часы (ч.)</t>
        </is>
      </c>
      <c r="C8" s="143" t="inlineStr">
        <is>
          <t>tср</t>
        </is>
      </c>
      <c r="D8" s="143" t="inlineStr">
        <is>
          <t>1973ч/12мес.</t>
        </is>
      </c>
      <c r="E8" s="92">
        <f>1973/12</f>
        <v/>
      </c>
      <c r="F8" s="158" t="inlineStr">
        <is>
          <t>Производственный календарь 2023 год
(40-часов.неделя)</t>
        </is>
      </c>
      <c r="G8" s="95" t="n"/>
    </row>
    <row r="9" ht="15.75" customHeight="1" s="84">
      <c r="A9" s="88" t="inlineStr">
        <is>
          <t>1.3</t>
        </is>
      </c>
      <c r="B9" s="158" t="inlineStr">
        <is>
          <t>Коэффициент увеличения</t>
        </is>
      </c>
      <c r="C9" s="143" t="inlineStr">
        <is>
          <t>Кув</t>
        </is>
      </c>
      <c r="D9" s="143" t="inlineStr">
        <is>
          <t>-</t>
        </is>
      </c>
      <c r="E9" s="92" t="n">
        <v>1</v>
      </c>
      <c r="F9" s="158" t="n"/>
      <c r="G9" s="95" t="n"/>
    </row>
    <row r="10" ht="15.75" customHeight="1" s="84">
      <c r="A10" s="88" t="inlineStr">
        <is>
          <t>1.4</t>
        </is>
      </c>
      <c r="B10" s="158" t="inlineStr">
        <is>
          <t>Средний разряд работ</t>
        </is>
      </c>
      <c r="C10" s="143" t="n"/>
      <c r="D10" s="143" t="n"/>
      <c r="E10" s="174" t="n">
        <v>3.9</v>
      </c>
      <c r="F10" s="158" t="inlineStr">
        <is>
          <t>РТМ</t>
        </is>
      </c>
      <c r="G10" s="95" t="n"/>
    </row>
    <row r="11" ht="78.75" customHeight="1" s="84">
      <c r="A11" s="88" t="inlineStr">
        <is>
          <t>1.5</t>
        </is>
      </c>
      <c r="B11" s="158" t="inlineStr">
        <is>
          <t>Тарифный коэффициент среднего разряда работ</t>
        </is>
      </c>
      <c r="C11" s="143" t="inlineStr">
        <is>
          <t>КТ</t>
        </is>
      </c>
      <c r="D11" s="143" t="inlineStr">
        <is>
          <t>-</t>
        </is>
      </c>
      <c r="E11" s="175" t="n">
        <v>1.324</v>
      </c>
      <c r="F11" s="15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88" t="inlineStr">
        <is>
          <t>1.6</t>
        </is>
      </c>
      <c r="B12" s="131" t="inlineStr">
        <is>
          <t>Коэффициент инфляции, определяемый поквартально</t>
        </is>
      </c>
      <c r="C12" s="143" t="inlineStr">
        <is>
          <t>Кинф</t>
        </is>
      </c>
      <c r="D12" s="143" t="inlineStr">
        <is>
          <t>-</t>
        </is>
      </c>
      <c r="E12" s="176" t="n">
        <v>1.139</v>
      </c>
      <c r="F12" s="1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84">
      <c r="A13" s="101" t="inlineStr">
        <is>
          <t>1.7</t>
        </is>
      </c>
      <c r="B13" s="102" t="inlineStr">
        <is>
          <t>Размер средств на оплату труда рабочих-строителей в текущем уровне цен (ФОТр.тек.), руб/чел.-ч</t>
        </is>
      </c>
      <c r="C13" s="115" t="inlineStr">
        <is>
          <t>ФОТр.тек.</t>
        </is>
      </c>
      <c r="D13" s="115" t="inlineStr">
        <is>
          <t>(С1ср/tср*КТ*Т*Кув)*Кинф</t>
        </is>
      </c>
      <c r="E13" s="104">
        <f>((E7*E9/E8)*E11)*E12</f>
        <v/>
      </c>
      <c r="F13" s="1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2023-08-25T11:34:43Z</dcterms:created>
  <dcterms:modified xsi:type="dcterms:W3CDTF">2025-01-24T12:12:21Z</dcterms:modified>
  <cp:lastModifiedBy>Елена Добровольская</cp:lastModifiedBy>
</cp:coreProperties>
</file>