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0">'Прил.1 Сравнит табл'!$A$1:$G$25</definedName>
    <definedName name="_xlnm.Print_Area" localSheetId="1">'Прил.2 Расч стоим'!$A$1:$J$41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5">
    <numFmt numFmtId="164" formatCode="0.0%"/>
    <numFmt numFmtId="165" formatCode="_-* #,##0.00\ _₽_-;\-* #,##0.00\ _₽_-;_-* &quot;-&quot;??\ _₽_-;_-@_-"/>
    <numFmt numFmtId="166" formatCode="#,##0.0"/>
    <numFmt numFmtId="167" formatCode="#,##0.000"/>
    <numFmt numFmtId="168" formatCode="0.0000"/>
  </numFmts>
  <fonts count="12">
    <font>
      <name val="Calibri"/>
      <strike val="0"/>
      <color rgb="FF000000"/>
      <sz val="11"/>
    </font>
    <font>
      <name val="Times New Roman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2"/>
    </font>
    <font>
      <name val="Arial"/>
      <strike val="0"/>
      <color rgb="FF000000"/>
      <sz val="10"/>
    </font>
    <font>
      <name val="Arial"/>
      <strike val="0"/>
      <color rgb="FF000000"/>
      <sz val="11"/>
    </font>
    <font>
      <name val="Arial"/>
      <b val="1"/>
      <strike val="0"/>
      <color rgb="FF000000"/>
      <sz val="10"/>
    </font>
    <font>
      <name val="Arial"/>
      <strike val="0"/>
      <color rgb="FF000000"/>
      <sz val="9"/>
    </font>
    <font>
      <name val="Arial"/>
      <strike val="0"/>
      <color rgb="FF000000"/>
      <sz val="8"/>
    </font>
    <font>
      <name val="Times New Roman"/>
      <strike val="0"/>
      <color rgb="FF0000FF"/>
      <sz val="12"/>
      <u val="single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5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justify" vertical="center" wrapText="1"/>
    </xf>
    <xf numFmtId="0" fontId="1" fillId="0" borderId="4" applyAlignment="1" pivotButton="0" quotePrefix="0" xfId="0">
      <alignment horizontal="justify" vertical="center" wrapText="1"/>
    </xf>
    <xf numFmtId="4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165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3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 wrapText="1"/>
    </xf>
    <xf numFmtId="0" fontId="1" fillId="2" borderId="0" pivotButton="0" quotePrefix="0" xfId="0"/>
    <xf numFmtId="49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vertical="top" wrapText="1"/>
    </xf>
    <xf numFmtId="43" fontId="1" fillId="0" borderId="5" applyAlignment="1" pivotButton="0" quotePrefix="0" xfId="0">
      <alignment horizontal="left" vertical="top"/>
    </xf>
    <xf numFmtId="43" fontId="1" fillId="0" borderId="1" applyAlignment="1" pivotButton="0" quotePrefix="0" xfId="0">
      <alignment horizontal="right" vertical="top" wrapText="1"/>
    </xf>
    <xf numFmtId="43" fontId="1" fillId="0" borderId="1" pivotButton="0" quotePrefix="0" xfId="0"/>
    <xf numFmtId="2" fontId="1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6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0" fontId="1" fillId="0" borderId="1" applyAlignment="1" pivotButton="0" quotePrefix="0" xfId="0">
      <alignment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5" fillId="0" borderId="4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3" fontId="1" fillId="0" borderId="0" pivotButton="0" quotePrefix="0" xfId="0"/>
    <xf numFmtId="165" fontId="1" fillId="0" borderId="0" pivotButton="0" quotePrefix="0" xfId="0"/>
    <xf numFmtId="43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" pivotButton="0" quotePrefix="0" xfId="0"/>
    <xf numFmtId="43" fontId="1" fillId="0" borderId="1" applyAlignment="1" pivotButton="0" quotePrefix="0" xfId="0">
      <alignment horizontal="right" vertical="top" wrapText="1"/>
    </xf>
    <xf numFmtId="0" fontId="5" fillId="0" borderId="1" applyAlignment="1" pivotButton="0" quotePrefix="0" xfId="0">
      <alignment horizontal="right" vertical="center" wrapText="1"/>
    </xf>
    <xf numFmtId="43" fontId="1" fillId="0" borderId="1" pivotButton="0" quotePrefix="0" xfId="0"/>
    <xf numFmtId="43" fontId="5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vertical="top" wrapText="1"/>
    </xf>
    <xf numFmtId="43" fontId="1" fillId="0" borderId="5" applyAlignment="1" pivotButton="0" quotePrefix="0" xfId="0">
      <alignment horizontal="left" vertical="top"/>
    </xf>
    <xf numFmtId="43" fontId="1" fillId="0" borderId="1" applyAlignment="1" pivotButton="0" quotePrefix="0" xfId="0">
      <alignment horizontal="center" vertical="center"/>
    </xf>
    <xf numFmtId="43" fontId="5" fillId="0" borderId="0" applyAlignment="1" pivotButton="0" quotePrefix="0" xfId="0">
      <alignment vertical="center" wrapText="1"/>
    </xf>
    <xf numFmtId="0" fontId="0" fillId="0" borderId="13" pivotButton="0" quotePrefix="0" xfId="0"/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Normal" xfId="0" builtinId="0"/>
  </cellStyles>
  <dxfs count="10"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  <dxf>
      <numFmt numFmtId="164" formatCode="#,##0.0000"/>
      <border/>
    </dxf>
  </dxf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showGridLines="1" showRowColHeaders="1" tabSelected="1" view="pageBreakPreview" zoomScale="85" zoomScaleNormal="85" workbookViewId="0">
      <selection activeCell="B6" sqref="B6:G6"/>
    </sheetView>
  </sheetViews>
  <sheetFormatPr baseColWidth="8" defaultColWidth="9.140625" defaultRowHeight="14.4" outlineLevelRow="0"/>
  <cols>
    <col width="5.5703125" customWidth="1" style="95" min="1" max="1"/>
    <col width="30.42578125" customWidth="1" style="95" min="2" max="2"/>
    <col width="30.85546875" customWidth="1" style="95" min="3" max="3"/>
    <col width="33.42578125" customWidth="1" style="95" min="4" max="4"/>
    <col width="31.85546875" customWidth="1" style="95" min="5" max="5"/>
    <col width="9.140625" customWidth="1" style="95" min="6" max="6"/>
    <col width="12.42578125" customWidth="1" style="95" min="7" max="7"/>
    <col width="15.42578125" customWidth="1" style="95" min="8" max="8"/>
    <col width="11.42578125" customWidth="1" style="95" min="9" max="9"/>
    <col width="9.140625" customWidth="1" style="95" min="10" max="10"/>
  </cols>
  <sheetData>
    <row r="1" customFormat="1" s="95">
      <c r="B1" s="117" t="inlineStr">
        <is>
          <t>Приложение № 1</t>
        </is>
      </c>
    </row>
    <row r="2" customFormat="1" s="95">
      <c r="B2" s="154" t="inlineStr">
        <is>
          <t>Сравнительная таблица отбора объекта-представителя</t>
        </is>
      </c>
    </row>
    <row r="3" customFormat="1" s="95">
      <c r="B3" s="57" t="n"/>
      <c r="C3" s="57" t="n"/>
      <c r="D3" s="57" t="n"/>
      <c r="E3" s="57" t="n"/>
      <c r="F3" s="57" t="n"/>
      <c r="G3" s="57" t="n"/>
    </row>
    <row r="4" customFormat="1" s="95">
      <c r="B4" s="57" t="n"/>
      <c r="C4" s="57" t="n"/>
      <c r="D4" s="57" t="n"/>
      <c r="E4" s="57" t="n"/>
      <c r="F4" s="57" t="n"/>
      <c r="G4" s="57" t="n"/>
    </row>
    <row r="5" customFormat="1" s="95">
      <c r="B5" s="119" t="inlineStr">
        <is>
          <t>Наименование разрабатываемого показателя УНЦ — Демонтаж наружных сетей водопровода/канализации</t>
        </is>
      </c>
      <c r="I5" s="3" t="n"/>
    </row>
    <row r="6" ht="31.7" customFormat="1" customHeight="1" s="95">
      <c r="B6" s="119" t="inlineStr">
        <is>
          <t>Сопоставимый уровень цен: 4 кв. 2022 г.</t>
        </is>
      </c>
    </row>
    <row r="7" ht="15.75" customFormat="1" customHeight="1" s="95">
      <c r="B7" s="119" t="inlineStr">
        <is>
          <t>Единица измерения  — пог. м</t>
        </is>
      </c>
      <c r="I7" s="3" t="n"/>
    </row>
    <row r="11" ht="31.35" customHeight="1" s="93">
      <c r="A11" s="153" t="inlineStr">
        <is>
          <t>№ п/п</t>
        </is>
      </c>
      <c r="B11" s="153" t="inlineStr">
        <is>
          <t>Параметр</t>
        </is>
      </c>
      <c r="C11" s="153" t="inlineStr">
        <is>
          <t>Объект-представитель 1</t>
        </is>
      </c>
      <c r="D11" s="153" t="inlineStr">
        <is>
          <t>Объект-представитель 2</t>
        </is>
      </c>
      <c r="E11" s="153" t="inlineStr">
        <is>
          <t>Объект-представитель 3</t>
        </is>
      </c>
    </row>
    <row r="12" ht="78" customHeight="1" s="93">
      <c r="A12" s="153" t="n">
        <v>1</v>
      </c>
      <c r="B12" s="8" t="inlineStr">
        <is>
          <t>Наименование объекта-представителя</t>
        </is>
      </c>
      <c r="C12" s="153" t="inlineStr">
        <is>
          <t>Строительство ВЛ 220 кВ Зилово – Холбон (II этапы строительства)</t>
        </is>
      </c>
      <c r="D12" s="153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12" s="153" t="inlineStr">
        <is>
          <t xml:space="preserve">Строительство ПС 500 кВ Нижнеангарская </t>
        </is>
      </c>
    </row>
    <row r="13" ht="31.35" customHeight="1" s="93">
      <c r="A13" s="153" t="n">
        <v>2</v>
      </c>
      <c r="B13" s="8" t="inlineStr">
        <is>
          <t>Наименование субъекта Российской Федерации</t>
        </is>
      </c>
      <c r="C13" s="153" t="inlineStr">
        <is>
          <t>Забайкальский край</t>
        </is>
      </c>
      <c r="D13" s="153" t="inlineStr">
        <is>
          <t>Республика Хакассия</t>
        </is>
      </c>
      <c r="E13" s="153" t="inlineStr">
        <is>
          <t>Республика Бурятия</t>
        </is>
      </c>
    </row>
    <row r="14" ht="31.35" customHeight="1" s="93">
      <c r="A14" s="153" t="n">
        <v>3</v>
      </c>
      <c r="B14" s="8" t="inlineStr">
        <is>
          <t>Климатический район и подрайон</t>
        </is>
      </c>
      <c r="C14" s="153" t="inlineStr">
        <is>
          <t>IД</t>
        </is>
      </c>
      <c r="D14" s="153" t="inlineStr">
        <is>
          <t>IД</t>
        </is>
      </c>
      <c r="E14" s="153" t="inlineStr">
        <is>
          <t>IД</t>
        </is>
      </c>
    </row>
    <row r="15">
      <c r="A15" s="153" t="n">
        <v>4</v>
      </c>
      <c r="B15" s="8" t="inlineStr">
        <is>
          <t>Мощность объекта</t>
        </is>
      </c>
      <c r="C15" s="153">
        <f>220+38+12</f>
        <v/>
      </c>
      <c r="D15" s="153">
        <f>91.5</f>
        <v/>
      </c>
      <c r="E15" s="153" t="n">
        <v>45</v>
      </c>
    </row>
    <row r="16" ht="189" customHeight="1" s="93">
      <c r="A16" s="153" t="n">
        <v>5</v>
      </c>
      <c r="B16" s="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58" t="inlineStr">
        <is>
          <t>Подземная прокладка инженерных сетей водоснабжения и канализации. Проектируемые сети бытовой Ø110 мм, Ø225 мм канализации и дождевой Ø200 мм, Ø300 мм канализации прокладываются из труб полимерных со структурированной стенкой по ГОСТ Р 54475-2011 для систем наружной канализации. Предусмотрено устройство колодцев полимерных по ГОСТ 32972-2014 на плиту основания по ГОСТ 8020-2016.</t>
        </is>
      </c>
      <c r="D16" s="58" t="inlineStr">
        <is>
          <t>Внутриплощадочные наружные сети водопровода и канализации</t>
        </is>
      </c>
      <c r="E16" s="58" t="inlineStr">
        <is>
          <t>Сети хозяйственного питьевого водопровода</t>
        </is>
      </c>
      <c r="I16" s="155" t="n"/>
      <c r="J16" s="155" t="n"/>
      <c r="K16" s="155" t="n"/>
    </row>
    <row r="17" ht="109.15" customHeight="1" s="93">
      <c r="A17" s="153" t="n">
        <v>6</v>
      </c>
      <c r="B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53" t="inlineStr">
        <is>
          <t>293,350/2970,238 – водоснабжение 3 616,76/33 194 – водоотведение (с резервуаром) 1 квартал 2022 г.</t>
        </is>
      </c>
      <c r="D17" s="153" t="inlineStr">
        <is>
          <t>1898,22/12 319,95 ТЕР 3 квартал 2019 г.</t>
        </is>
      </c>
      <c r="E17" s="153" t="inlineStr">
        <is>
          <t>521,5/6 142,02 4 квартал 2022 г.</t>
        </is>
      </c>
      <c r="I17" s="155" t="n"/>
      <c r="J17" s="155" t="n"/>
      <c r="K17" s="155" t="n"/>
    </row>
    <row r="18" ht="31.35" customHeight="1" s="93">
      <c r="A18" s="97" t="inlineStr">
        <is>
          <t>6.1</t>
        </is>
      </c>
      <c r="B18" s="59" t="inlineStr">
        <is>
          <t>строительно-монтажные работы</t>
        </is>
      </c>
      <c r="C18" s="153" t="n"/>
      <c r="D18" s="153" t="inlineStr">
        <is>
          <t>1695,86/11 379,22</t>
        </is>
      </c>
      <c r="E18" s="153" t="inlineStr">
        <is>
          <t>478,45/5 875,56</t>
        </is>
      </c>
      <c r="I18" s="155" t="n"/>
      <c r="J18" s="155" t="n"/>
      <c r="K18" s="155" t="n"/>
    </row>
    <row r="19" ht="63.75" customHeight="1" s="93">
      <c r="A19" s="97" t="inlineStr">
        <is>
          <t>6.2</t>
        </is>
      </c>
      <c r="B19" s="59" t="inlineStr">
        <is>
          <t>оборудование и инвентарь</t>
        </is>
      </c>
      <c r="C19" s="153" t="n"/>
      <c r="D19" s="153" t="inlineStr">
        <is>
          <t>202,306/940,73</t>
        </is>
      </c>
      <c r="E19" s="153" t="inlineStr">
        <is>
          <t>43,05/266,46</t>
        </is>
      </c>
      <c r="I19" s="156" t="n"/>
      <c r="J19" s="156" t="n"/>
      <c r="K19" s="156" t="n"/>
    </row>
    <row r="20">
      <c r="A20" s="97" t="inlineStr">
        <is>
          <t>6.3</t>
        </is>
      </c>
      <c r="B20" s="8" t="inlineStr">
        <is>
          <t>пусконаладочные работы</t>
        </is>
      </c>
      <c r="C20" s="125" t="n"/>
      <c r="D20" s="125" t="n"/>
      <c r="E20" s="125" t="n"/>
      <c r="K20" s="95" t="n"/>
    </row>
    <row r="21" ht="31.35" customHeight="1" s="93">
      <c r="A21" s="97" t="inlineStr">
        <is>
          <t>6.4</t>
        </is>
      </c>
      <c r="B21" s="8" t="inlineStr">
        <is>
          <t>прочие и лимитированные затраты</t>
        </is>
      </c>
      <c r="C21" s="153" t="n"/>
      <c r="D21" s="153" t="n"/>
      <c r="E21" s="153" t="n"/>
    </row>
    <row r="22">
      <c r="A22" s="96" t="n">
        <v>7</v>
      </c>
      <c r="B22" s="8" t="inlineStr">
        <is>
          <t>Сопоставимый уровень цен</t>
        </is>
      </c>
      <c r="C22" s="153" t="inlineStr">
        <is>
          <t xml:space="preserve">4 квартал 2022  </t>
        </is>
      </c>
      <c r="D22" s="153" t="inlineStr">
        <is>
          <t xml:space="preserve">4 квартал 2022  </t>
        </is>
      </c>
      <c r="E22" s="153" t="inlineStr">
        <is>
          <t xml:space="preserve">4 квартал 2022  </t>
        </is>
      </c>
    </row>
    <row r="23" ht="140.45" customHeight="1" s="93">
      <c r="A23" s="96" t="n">
        <v>8</v>
      </c>
      <c r="B23" s="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57" t="n">
        <v>36164.238</v>
      </c>
      <c r="D23" s="157" t="n">
        <v>12319.95</v>
      </c>
      <c r="E23" s="157" t="n">
        <v>6142.02</v>
      </c>
    </row>
    <row r="24" ht="62.45" customHeight="1" s="93">
      <c r="A24" s="96" t="n">
        <v>9</v>
      </c>
      <c r="B24" s="8" t="inlineStr">
        <is>
          <t>Приведенная сметная стоимость на единицу мощности, тыс. руб. (строка 8/строку 4)</t>
        </is>
      </c>
      <c r="C24" s="158" t="n">
        <v>133.94162222222</v>
      </c>
      <c r="D24" s="158" t="n">
        <v>134.64426229508</v>
      </c>
      <c r="E24" s="158" t="n">
        <v>136.48933333333</v>
      </c>
    </row>
    <row r="25">
      <c r="A25" s="96" t="n">
        <v>10</v>
      </c>
      <c r="B25" s="8" t="inlineStr">
        <is>
          <t>Примечание</t>
        </is>
      </c>
      <c r="C25" s="153" t="inlineStr">
        <is>
          <t>Объект-аналог</t>
        </is>
      </c>
      <c r="D25" s="153" t="n"/>
      <c r="E25" s="153" t="n"/>
    </row>
  </sheetData>
  <mergeCells count="5">
    <mergeCell ref="B2:G2"/>
    <mergeCell ref="B5:G5"/>
    <mergeCell ref="B1:G1"/>
    <mergeCell ref="B7:G7"/>
    <mergeCell ref="B6:G6"/>
  </mergeCells>
  <printOptions gridLines="0" gridLinesSet="1"/>
  <pageMargins left="0.7" right="0.7" top="0.75" bottom="0.75" header="0.3" footer="0.3"/>
  <pageSetup orientation="portrait" paperSize="9" scale="5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1"/>
  <sheetViews>
    <sheetView showGridLines="1" showRowColHeaders="1" tabSelected="0" view="pageBreakPreview" zoomScaleNormal="85" workbookViewId="0">
      <selection activeCell="B3" sqref="B3:J3"/>
    </sheetView>
  </sheetViews>
  <sheetFormatPr baseColWidth="8" defaultColWidth="9.140625" defaultRowHeight="14.4" outlineLevelRow="0"/>
  <cols>
    <col width="5.42578125" customWidth="1" style="95" min="1" max="1"/>
    <col width="9.140625" customWidth="1" style="95" min="2" max="2"/>
    <col width="28.140625" customWidth="1" style="95" min="3" max="3"/>
    <col width="15.42578125" customWidth="1" style="95" min="4" max="4"/>
    <col width="39" customWidth="1" style="95" min="5" max="5"/>
    <col width="15.42578125" customWidth="1" style="95" min="6" max="6"/>
    <col width="21.42578125" customWidth="1" style="95" min="7" max="7"/>
    <col width="19.42578125" customWidth="1" style="95" min="8" max="8"/>
    <col width="13" customWidth="1" style="95" min="9" max="9"/>
    <col width="20.85546875" customWidth="1" style="95" min="10" max="10"/>
    <col width="18" customWidth="1" style="95" min="11" max="11"/>
    <col width="9.140625" customWidth="1" style="95" min="12" max="12"/>
  </cols>
  <sheetData>
    <row r="3">
      <c r="B3" s="117" t="inlineStr">
        <is>
          <t>Приложение № 2</t>
        </is>
      </c>
      <c r="K3" s="5" t="n"/>
    </row>
    <row r="4">
      <c r="B4" s="154" t="inlineStr">
        <is>
          <t>Расчет стоимости основных видов работ для выбора объекта-представителя</t>
        </is>
      </c>
    </row>
    <row r="5"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</row>
    <row r="6">
      <c r="B6" s="119">
        <f>'Прил.1 Сравнит табл'!B5:G5</f>
        <v/>
      </c>
      <c r="L6" s="3" t="n"/>
    </row>
    <row r="7">
      <c r="B7" s="129">
        <f>'Прил.1 Сравнит табл'!B7:G7</f>
        <v/>
      </c>
      <c r="L7" s="3" t="n"/>
    </row>
    <row r="8">
      <c r="B8" s="119" t="n"/>
      <c r="K8" s="67" t="n"/>
    </row>
    <row r="9" ht="15.75" customHeight="1" s="93">
      <c r="B9" s="153" t="inlineStr">
        <is>
          <t>№ п/п</t>
        </is>
      </c>
      <c r="C9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3" t="inlineStr">
        <is>
          <t>Строительство ВЛ 220 кВ Зилово – Холбон (II этапы строительства)</t>
        </is>
      </c>
      <c r="E9" s="159" t="n"/>
      <c r="F9" s="159" t="n"/>
      <c r="G9" s="159" t="n"/>
      <c r="H9" s="159" t="n"/>
      <c r="I9" s="159" t="n"/>
      <c r="J9" s="160" t="n"/>
    </row>
    <row r="10" ht="15.75" customHeight="1" s="93">
      <c r="B10" s="161" t="n"/>
      <c r="C10" s="161" t="n"/>
      <c r="D10" s="153" t="inlineStr">
        <is>
          <t>Номер сметы</t>
        </is>
      </c>
      <c r="E10" s="153" t="inlineStr">
        <is>
          <t>Наименование сметы</t>
        </is>
      </c>
      <c r="F10" s="153" t="inlineStr">
        <is>
          <t>Сметная стоимость в уровне цен 1 квартал 2022 г., тыс. руб.</t>
        </is>
      </c>
      <c r="G10" s="159" t="n"/>
      <c r="H10" s="159" t="n"/>
      <c r="I10" s="159" t="n"/>
      <c r="J10" s="160" t="n"/>
    </row>
    <row r="11" ht="31.35" customHeight="1" s="93">
      <c r="B11" s="162" t="n"/>
      <c r="C11" s="162" t="n"/>
      <c r="D11" s="162" t="n"/>
      <c r="E11" s="162" t="n"/>
      <c r="F11" s="153" t="inlineStr">
        <is>
          <t>Строительные работы</t>
        </is>
      </c>
      <c r="G11" s="153" t="inlineStr">
        <is>
          <t>Монтажные работы</t>
        </is>
      </c>
      <c r="H11" s="153" t="inlineStr">
        <is>
          <t>Оборудование</t>
        </is>
      </c>
      <c r="I11" s="153" t="inlineStr">
        <is>
          <t>Прочее</t>
        </is>
      </c>
      <c r="J11" s="153" t="inlineStr">
        <is>
          <t>Всего</t>
        </is>
      </c>
    </row>
    <row r="12" ht="31.35" customHeight="1" s="93">
      <c r="B12" s="153" t="n">
        <v>1</v>
      </c>
      <c r="C12" s="147" t="n"/>
      <c r="D12" s="68" t="inlineStr">
        <is>
          <t>02.06-01-01</t>
        </is>
      </c>
      <c r="E12" s="146" t="inlineStr">
        <is>
          <t>02.06-01-01 ПС 220 кВ Жирекен. Наружные сети водоотведения.</t>
        </is>
      </c>
      <c r="F12" s="163" t="n">
        <v>11102146</v>
      </c>
      <c r="G12" s="163" t="n">
        <v>22092236</v>
      </c>
      <c r="H12" s="163" t="n"/>
      <c r="I12" s="163" t="n"/>
      <c r="J12" s="163" t="n">
        <v>33194382</v>
      </c>
    </row>
    <row r="13" ht="31.35" customHeight="1" s="93">
      <c r="B13" s="153" t="n"/>
      <c r="C13" s="147" t="n"/>
      <c r="D13" s="68" t="inlineStr">
        <is>
          <t>02.06-01-02</t>
        </is>
      </c>
      <c r="E13" s="146" t="inlineStr">
        <is>
          <t>02.06-01-01 ПС 220 кВ Жирекен. Наружные сети водоснабжения.</t>
        </is>
      </c>
      <c r="F13" s="163" t="n">
        <v>2970238</v>
      </c>
      <c r="G13" s="163" t="n"/>
      <c r="H13" s="163" t="n"/>
      <c r="I13" s="163" t="n"/>
      <c r="J13" s="163" t="n">
        <v>2970238</v>
      </c>
    </row>
    <row r="14" ht="15.75" customHeight="1" s="93">
      <c r="B14" s="164" t="inlineStr">
        <is>
          <t>Всего по объекту:</t>
        </is>
      </c>
      <c r="C14" s="159" t="n"/>
      <c r="D14" s="159" t="n"/>
      <c r="E14" s="160" t="n"/>
      <c r="F14" s="165" t="n">
        <v>14072384</v>
      </c>
      <c r="G14" s="165" t="n">
        <v>22092236</v>
      </c>
      <c r="H14" s="165" t="n">
        <v>0</v>
      </c>
      <c r="I14" s="165" t="n">
        <v>0</v>
      </c>
      <c r="J14" s="165" t="n">
        <v>33194382</v>
      </c>
    </row>
    <row r="15" ht="15.75" customHeight="1" s="93">
      <c r="B15" s="164" t="inlineStr">
        <is>
          <t>Всего по объекту в сопоставимом уровне цен 4 кв. 2022г:</t>
        </is>
      </c>
      <c r="C15" s="159" t="n"/>
      <c r="D15" s="159" t="n"/>
      <c r="E15" s="160" t="n"/>
      <c r="F15" s="166" t="n">
        <v>14916727.04</v>
      </c>
      <c r="G15" s="166" t="n">
        <v>23417770.16</v>
      </c>
      <c r="H15" s="166" t="n">
        <v>0</v>
      </c>
      <c r="I15" s="166" t="n">
        <v>0</v>
      </c>
      <c r="J15" s="166" t="n">
        <v>35186044.92</v>
      </c>
    </row>
    <row r="16">
      <c r="B16" s="119" t="n"/>
    </row>
    <row r="17">
      <c r="B17" s="119" t="n"/>
      <c r="K17" s="67" t="n"/>
    </row>
    <row r="18" ht="25.5" customHeight="1" s="93">
      <c r="B18" s="153" t="inlineStr">
        <is>
          <t>№ п/п</t>
        </is>
      </c>
      <c r="C18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53" t="inlineStr">
        <is>
          <t>ВЛ 220 кВ Означенное-Степная (участок от опоры 64 до ПС 220 кВ Степная и ПС 220 кВ Степная с заходами ВЛ 220 кВ. Корректировка</t>
        </is>
      </c>
      <c r="E18" s="159" t="n"/>
      <c r="F18" s="159" t="n"/>
      <c r="G18" s="159" t="n"/>
      <c r="H18" s="159" t="n"/>
      <c r="I18" s="159" t="n"/>
      <c r="J18" s="160" t="n"/>
    </row>
    <row r="19" ht="15.75" customHeight="1" s="93">
      <c r="B19" s="161" t="n"/>
      <c r="C19" s="161" t="n"/>
      <c r="D19" s="153" t="inlineStr">
        <is>
          <t>Номер сметы</t>
        </is>
      </c>
      <c r="E19" s="153" t="inlineStr">
        <is>
          <t>Наименование сметы</t>
        </is>
      </c>
      <c r="F19" s="153" t="inlineStr">
        <is>
          <t>Сметная стоимость в уровне цен 3 кв. 2019г., тыс. руб.</t>
        </is>
      </c>
      <c r="G19" s="159" t="n"/>
      <c r="H19" s="159" t="n"/>
      <c r="I19" s="159" t="n"/>
      <c r="J19" s="160" t="n"/>
    </row>
    <row r="20" ht="45" customHeight="1" s="93">
      <c r="B20" s="162" t="n"/>
      <c r="C20" s="162" t="n"/>
      <c r="D20" s="162" t="n"/>
      <c r="E20" s="162" t="n"/>
      <c r="F20" s="153" t="inlineStr">
        <is>
          <t>Строительные работы</t>
        </is>
      </c>
      <c r="G20" s="153" t="inlineStr">
        <is>
          <t>Монтажные работы</t>
        </is>
      </c>
      <c r="H20" s="153" t="inlineStr">
        <is>
          <t>Оборудование</t>
        </is>
      </c>
      <c r="I20" s="153" t="inlineStr">
        <is>
          <t>Прочее</t>
        </is>
      </c>
      <c r="J20" s="153" t="inlineStr">
        <is>
          <t>Всего</t>
        </is>
      </c>
    </row>
    <row r="21" ht="31.35" customHeight="1" s="93">
      <c r="B21" s="153" t="n">
        <v>1</v>
      </c>
      <c r="C21" s="147" t="n"/>
      <c r="D21" s="68" t="inlineStr">
        <is>
          <t xml:space="preserve">06-04 </t>
        </is>
      </c>
      <c r="E21" s="18" t="inlineStr">
        <is>
          <t>- Внутриплощадочные сети водопровода,  канализации</t>
        </is>
      </c>
      <c r="F21" s="167" t="n">
        <v>11379.22</v>
      </c>
      <c r="G21" s="167" t="n"/>
      <c r="H21" s="168" t="n">
        <v>940.73</v>
      </c>
      <c r="I21" s="168" t="n">
        <v>0</v>
      </c>
      <c r="J21" s="163" t="n">
        <v>12319.95</v>
      </c>
    </row>
    <row r="22" ht="15.75" customHeight="1" s="93">
      <c r="B22" s="164" t="inlineStr">
        <is>
          <t>Всего по объекту:</t>
        </is>
      </c>
      <c r="C22" s="159" t="n"/>
      <c r="D22" s="159" t="n"/>
      <c r="E22" s="160" t="n"/>
      <c r="F22" s="165" t="n">
        <v>11379.22</v>
      </c>
      <c r="G22" s="165" t="n">
        <v>0</v>
      </c>
      <c r="H22" s="165" t="n">
        <v>940.73</v>
      </c>
      <c r="I22" s="165" t="n">
        <v>0</v>
      </c>
      <c r="J22" s="165" t="n">
        <v>12319.95</v>
      </c>
    </row>
    <row r="23" ht="15.75" customHeight="1" s="93">
      <c r="B23" s="164" t="inlineStr">
        <is>
          <t>Всего по объекту в сопоставимом уровне цен 4 кв. 2022г:</t>
        </is>
      </c>
      <c r="C23" s="159" t="n"/>
      <c r="D23" s="159" t="n"/>
      <c r="E23" s="160" t="n"/>
      <c r="F23" s="166" t="n">
        <v>11379.22</v>
      </c>
      <c r="G23" s="166" t="n">
        <v>0</v>
      </c>
      <c r="H23" s="166" t="n">
        <v>940.73</v>
      </c>
      <c r="I23" s="166" t="n">
        <v>0</v>
      </c>
      <c r="J23" s="166" t="n">
        <v>12319.95</v>
      </c>
    </row>
    <row r="24">
      <c r="B24" s="119" t="n"/>
    </row>
    <row r="25">
      <c r="B25" s="119" t="n"/>
      <c r="K25" s="67" t="n"/>
    </row>
    <row r="26" ht="15.75" customHeight="1" s="93">
      <c r="B26" s="153" t="inlineStr">
        <is>
          <t>№ п/п</t>
        </is>
      </c>
      <c r="C26" s="1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6" s="153" t="inlineStr">
        <is>
          <t xml:space="preserve">Строительство ПС 500 кВ Нижнеангарская </t>
        </is>
      </c>
      <c r="E26" s="159" t="n"/>
      <c r="F26" s="159" t="n"/>
      <c r="G26" s="159" t="n"/>
      <c r="H26" s="159" t="n"/>
      <c r="I26" s="159" t="n"/>
      <c r="J26" s="160" t="n"/>
    </row>
    <row r="27" ht="15.75" customHeight="1" s="93">
      <c r="B27" s="161" t="n"/>
      <c r="C27" s="161" t="n"/>
      <c r="D27" s="153" t="inlineStr">
        <is>
          <t>Номер сметы</t>
        </is>
      </c>
      <c r="E27" s="153" t="inlineStr">
        <is>
          <t>Наименование сметы</t>
        </is>
      </c>
      <c r="F27" s="153" t="inlineStr">
        <is>
          <t>Сметная стоимость в уровне цен 4 кв. 2022г., тыс. руб.</t>
        </is>
      </c>
      <c r="G27" s="159" t="n"/>
      <c r="H27" s="159" t="n"/>
      <c r="I27" s="159" t="n"/>
      <c r="J27" s="160" t="n"/>
    </row>
    <row r="28" ht="31.35" customHeight="1" s="93">
      <c r="B28" s="162" t="n"/>
      <c r="C28" s="162" t="n"/>
      <c r="D28" s="162" t="n"/>
      <c r="E28" s="162" t="n"/>
      <c r="F28" s="153" t="inlineStr">
        <is>
          <t>Строительные работы</t>
        </is>
      </c>
      <c r="G28" s="153" t="inlineStr">
        <is>
          <t>Монтажные работы</t>
        </is>
      </c>
      <c r="H28" s="153" t="inlineStr">
        <is>
          <t>Оборудование</t>
        </is>
      </c>
      <c r="I28" s="153" t="inlineStr">
        <is>
          <t>Прочее</t>
        </is>
      </c>
      <c r="J28" s="153" t="inlineStr">
        <is>
          <t>Всего</t>
        </is>
      </c>
    </row>
    <row r="29" ht="33.75" customHeight="1" s="93">
      <c r="B29" s="153" t="n"/>
      <c r="D29" s="74" t="inlineStr">
        <is>
          <t>8.06-01-01</t>
        </is>
      </c>
      <c r="E29" s="75" t="inlineStr">
        <is>
          <t>Наружные сети водоснабжения</t>
        </is>
      </c>
      <c r="F29" s="169" t="n">
        <v>5873.59</v>
      </c>
      <c r="G29" s="169" t="n">
        <v>1.97</v>
      </c>
      <c r="H29" s="169" t="n">
        <v>266.46</v>
      </c>
      <c r="I29" s="163" t="n"/>
      <c r="J29" s="163" t="n">
        <v>6142.02</v>
      </c>
    </row>
    <row r="30" ht="15.75" customHeight="1" s="93">
      <c r="B30" s="164" t="inlineStr">
        <is>
          <t>Всего по объекту:</t>
        </is>
      </c>
      <c r="C30" s="159" t="n"/>
      <c r="D30" s="159" t="n"/>
      <c r="E30" s="160" t="n"/>
      <c r="F30" s="165" t="n">
        <v>5873.59</v>
      </c>
      <c r="G30" s="165" t="n">
        <v>1.97</v>
      </c>
      <c r="H30" s="165" t="n">
        <v>266.46</v>
      </c>
      <c r="I30" s="165" t="n">
        <v>0</v>
      </c>
      <c r="J30" s="165" t="n">
        <v>6142.02</v>
      </c>
    </row>
    <row r="31" ht="15.75" customHeight="1" s="93">
      <c r="B31" s="164" t="inlineStr">
        <is>
          <t>Всего по объекту в сопоставимом уровне цен 4 кв. 2022г:</t>
        </is>
      </c>
      <c r="C31" s="159" t="n"/>
      <c r="D31" s="159" t="n"/>
      <c r="E31" s="160" t="n"/>
      <c r="F31" s="166" t="n">
        <v>7271.50442</v>
      </c>
      <c r="G31" s="166" t="n">
        <v>2.43886</v>
      </c>
      <c r="H31" s="166" t="n">
        <v>329.87748</v>
      </c>
      <c r="I31" s="166" t="n">
        <v>0</v>
      </c>
      <c r="J31" s="166" t="n">
        <v>7603.82076</v>
      </c>
    </row>
    <row r="32">
      <c r="B32" s="77" t="n"/>
      <c r="C32" s="77" t="n"/>
      <c r="D32" s="77" t="n"/>
      <c r="E32" s="77" t="n"/>
      <c r="F32" s="170" t="n"/>
      <c r="G32" s="170" t="n"/>
      <c r="H32" s="170" t="n"/>
      <c r="I32" s="170" t="n"/>
      <c r="J32" s="170" t="n"/>
    </row>
    <row r="33">
      <c r="B33" s="119" t="n"/>
      <c r="K33" s="36" t="n"/>
    </row>
    <row r="34">
      <c r="B34" s="119" t="n"/>
    </row>
    <row r="35">
      <c r="B35" s="119" t="n"/>
    </row>
    <row r="37">
      <c r="C37" s="95" t="inlineStr">
        <is>
          <t>Составил ______________________         М.С. Колотиевская</t>
        </is>
      </c>
    </row>
    <row r="38">
      <c r="C38" s="5" t="inlineStr">
        <is>
          <t xml:space="preserve">                         (подпись, инициалы, фамилия)</t>
        </is>
      </c>
    </row>
    <row r="40">
      <c r="C40" s="95" t="inlineStr">
        <is>
          <t>Проверил ______________________         М.С. Колотиевская</t>
        </is>
      </c>
    </row>
    <row r="41">
      <c r="C41" s="5" t="inlineStr">
        <is>
          <t xml:space="preserve">                        (подпись, инициалы, фамилия)</t>
        </is>
      </c>
    </row>
  </sheetData>
  <mergeCells count="28">
    <mergeCell ref="D27:D28"/>
    <mergeCell ref="D18:J18"/>
    <mergeCell ref="D9:J9"/>
    <mergeCell ref="F10:J10"/>
    <mergeCell ref="B30:E30"/>
    <mergeCell ref="B15:E15"/>
    <mergeCell ref="F19:J19"/>
    <mergeCell ref="B6:K6"/>
    <mergeCell ref="E19:E20"/>
    <mergeCell ref="E10:E11"/>
    <mergeCell ref="B4:K4"/>
    <mergeCell ref="D26:J26"/>
    <mergeCell ref="B26:B28"/>
    <mergeCell ref="B7:K7"/>
    <mergeCell ref="C18:C20"/>
    <mergeCell ref="B22:E22"/>
    <mergeCell ref="B31:E31"/>
    <mergeCell ref="E27:E28"/>
    <mergeCell ref="B18:B20"/>
    <mergeCell ref="B14:E14"/>
    <mergeCell ref="C26:C28"/>
    <mergeCell ref="F27:J27"/>
    <mergeCell ref="D19:D20"/>
    <mergeCell ref="B23:E23"/>
    <mergeCell ref="B3:J3"/>
    <mergeCell ref="D10:D11"/>
    <mergeCell ref="B9:B11"/>
    <mergeCell ref="C9:C11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02"/>
  <sheetViews>
    <sheetView showGridLines="1" showRowColHeaders="1" tabSelected="0" workbookViewId="0">
      <selection activeCell="A7" sqref="A7"/>
    </sheetView>
  </sheetViews>
  <sheetFormatPr baseColWidth="8" defaultColWidth="9.140625" defaultRowHeight="14.4" outlineLevelRow="0"/>
  <cols>
    <col width="12.42578125" customWidth="1" style="93" min="2" max="2"/>
    <col width="17" customWidth="1" style="93" min="3" max="3"/>
    <col width="49.5703125" customWidth="1" style="93" min="4" max="4"/>
    <col width="16.42578125" customWidth="1" style="93" min="5" max="5"/>
    <col width="20.5703125" customWidth="1" style="93" min="6" max="6"/>
    <col width="16.140625" customWidth="1" style="93" min="7" max="7"/>
    <col width="16.5703125" customWidth="1" style="93" min="8" max="8"/>
  </cols>
  <sheetData>
    <row r="2" ht="15.6" customHeight="1" s="93">
      <c r="A2" s="117" t="inlineStr">
        <is>
          <t xml:space="preserve">Приложение № 3 </t>
        </is>
      </c>
    </row>
    <row r="3" ht="17.45" customHeight="1" s="93">
      <c r="A3" s="133" t="inlineStr">
        <is>
          <t>Объектная ресурсная ведомость</t>
        </is>
      </c>
    </row>
    <row r="4" ht="18.75" customHeight="1" s="93">
      <c r="A4" s="133" t="n"/>
      <c r="B4" s="133" t="n"/>
      <c r="C4" s="1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95" t="n"/>
      <c r="J4" s="95" t="n"/>
      <c r="K4" s="95" t="n"/>
      <c r="L4" s="95" t="n"/>
    </row>
    <row r="5" ht="18" customHeight="1" s="93">
      <c r="A5" s="7" t="n"/>
    </row>
    <row r="6" ht="15.6" customHeight="1" s="93">
      <c r="A6" s="129" t="inlineStr">
        <is>
          <t>Наименование разрабатываемого показателя УНЦ -  Демонтаж наружных сетей водопровода/канализации</t>
        </is>
      </c>
    </row>
    <row r="7" ht="15.6" customFormat="1" customHeight="1" s="95">
      <c r="A7" s="79" t="n"/>
      <c r="B7" s="79" t="n"/>
      <c r="C7" s="79" t="n"/>
      <c r="D7" s="79" t="n"/>
      <c r="E7" s="79" t="n"/>
      <c r="F7" s="79" t="n"/>
      <c r="G7" s="79" t="n"/>
      <c r="H7" s="79" t="n"/>
    </row>
    <row r="8" ht="38.25" customFormat="1" customHeight="1" s="95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71" t="n"/>
    </row>
    <row r="9" ht="40.7" customFormat="1" customHeight="1" s="95">
      <c r="A9" s="162" t="n"/>
      <c r="B9" s="162" t="n"/>
      <c r="C9" s="162" t="n"/>
      <c r="D9" s="162" t="n"/>
      <c r="E9" s="162" t="n"/>
      <c r="F9" s="162" t="n"/>
      <c r="G9" s="153" t="inlineStr">
        <is>
          <t>на ед.изм.</t>
        </is>
      </c>
      <c r="H9" s="153" t="inlineStr">
        <is>
          <t>общая</t>
        </is>
      </c>
    </row>
    <row r="10" ht="15.6" customFormat="1" customHeight="1" s="95">
      <c r="A10" s="153" t="n">
        <v>1</v>
      </c>
      <c r="B10" s="153" t="n"/>
      <c r="C10" s="153" t="n">
        <v>2</v>
      </c>
      <c r="D10" s="153" t="inlineStr">
        <is>
          <t>З</t>
        </is>
      </c>
      <c r="E10" s="153" t="n">
        <v>4</v>
      </c>
      <c r="F10" s="153" t="n">
        <v>5</v>
      </c>
      <c r="G10" s="12" t="n">
        <v>6</v>
      </c>
      <c r="H10" s="12" t="n">
        <v>7</v>
      </c>
    </row>
    <row r="11" ht="15.6" customFormat="1" customHeight="1" s="11">
      <c r="A11" s="130" t="inlineStr">
        <is>
          <t>Затраты труда рабочих</t>
        </is>
      </c>
      <c r="B11" s="159" t="n"/>
      <c r="C11" s="159" t="n"/>
      <c r="D11" s="159" t="n"/>
      <c r="E11" s="160" t="n"/>
      <c r="F11" s="130" t="n">
        <v>233.6834303</v>
      </c>
      <c r="G11" s="14" t="n"/>
      <c r="H11" s="14">
        <f>SUM(H12:H25)</f>
        <v/>
      </c>
    </row>
    <row r="12" ht="15.6" customFormat="1" customHeight="1" s="95">
      <c r="A12" s="131" t="n">
        <v>1</v>
      </c>
      <c r="B12" s="131" t="n"/>
      <c r="C12" s="132" t="inlineStr">
        <is>
          <t>1-100-15</t>
        </is>
      </c>
      <c r="D12" s="132" t="inlineStr">
        <is>
          <t>Затраты труда рабочих (ср 1,5)</t>
        </is>
      </c>
      <c r="E12" s="131" t="inlineStr">
        <is>
          <t>чел.-ч</t>
        </is>
      </c>
      <c r="F12" s="131" t="n">
        <v>84.4887075</v>
      </c>
      <c r="G12" s="141" t="n">
        <v>7.5</v>
      </c>
      <c r="H12" s="141">
        <f>ROUND(F12*G12,2)</f>
        <v/>
      </c>
    </row>
    <row r="13" ht="15.6" customFormat="1" customHeight="1" s="95">
      <c r="A13" s="131" t="n">
        <v>2</v>
      </c>
      <c r="B13" s="131" t="n"/>
      <c r="C13" s="132" t="inlineStr">
        <is>
          <t>1-100-34</t>
        </is>
      </c>
      <c r="D13" s="132" t="inlineStr">
        <is>
          <t>Затраты труда рабочих (ср 3,4)</t>
        </is>
      </c>
      <c r="E13" s="131" t="inlineStr">
        <is>
          <t>чел.-ч</t>
        </is>
      </c>
      <c r="F13" s="131" t="n">
        <v>32.568</v>
      </c>
      <c r="G13" s="141" t="n">
        <v>8.970000000000001</v>
      </c>
      <c r="H13" s="141">
        <f>ROUND(F13*G13,2)</f>
        <v/>
      </c>
    </row>
    <row r="14" ht="15.6" customFormat="1" customHeight="1" s="95">
      <c r="A14" s="131" t="n">
        <v>3</v>
      </c>
      <c r="B14" s="131" t="n"/>
      <c r="C14" s="132" t="inlineStr">
        <is>
          <t>1-100-37</t>
        </is>
      </c>
      <c r="D14" s="132" t="inlineStr">
        <is>
          <t>Затраты труда рабочих (ср 3,7)</t>
        </is>
      </c>
      <c r="E14" s="131" t="inlineStr">
        <is>
          <t>чел.-ч</t>
        </is>
      </c>
      <c r="F14" s="131" t="n">
        <v>31.3163063</v>
      </c>
      <c r="G14" s="141" t="n">
        <v>9.289999999999999</v>
      </c>
      <c r="H14" s="141">
        <f>ROUND(F14*G14,2)</f>
        <v/>
      </c>
    </row>
    <row r="15" ht="15.6" customFormat="1" customHeight="1" s="95">
      <c r="A15" s="131" t="n">
        <v>4</v>
      </c>
      <c r="B15" s="131" t="n"/>
      <c r="C15" s="132" t="inlineStr">
        <is>
          <t>1-100-36</t>
        </is>
      </c>
      <c r="D15" s="132" t="inlineStr">
        <is>
          <t>Затраты труда рабочих (ср 3,6)</t>
        </is>
      </c>
      <c r="E15" s="131" t="inlineStr">
        <is>
          <t>чел.-ч</t>
        </is>
      </c>
      <c r="F15" s="131" t="n">
        <v>30.870476</v>
      </c>
      <c r="G15" s="141" t="n">
        <v>9.18</v>
      </c>
      <c r="H15" s="141">
        <f>ROUND(F15*G15,2)</f>
        <v/>
      </c>
    </row>
    <row r="16" ht="15.6" customFormat="1" customHeight="1" s="95">
      <c r="A16" s="131" t="n">
        <v>5</v>
      </c>
      <c r="B16" s="131" t="n"/>
      <c r="C16" s="132" t="inlineStr">
        <is>
          <t>1-100-30</t>
        </is>
      </c>
      <c r="D16" s="132" t="inlineStr">
        <is>
          <t>Затраты труда рабочих (ср 3)</t>
        </is>
      </c>
      <c r="E16" s="131" t="inlineStr">
        <is>
          <t>чел.-ч</t>
        </is>
      </c>
      <c r="F16" s="131" t="n">
        <v>16.4867828</v>
      </c>
      <c r="G16" s="141" t="n">
        <v>8.529999999999999</v>
      </c>
      <c r="H16" s="141">
        <f>ROUND(F16*G16,2)</f>
        <v/>
      </c>
    </row>
    <row r="17" ht="15.6" customFormat="1" customHeight="1" s="95">
      <c r="A17" s="131" t="n">
        <v>6</v>
      </c>
      <c r="B17" s="131" t="n"/>
      <c r="C17" s="132" t="inlineStr">
        <is>
          <t>1-100-25</t>
        </is>
      </c>
      <c r="D17" s="132" t="inlineStr">
        <is>
          <t>Затраты труда рабочих (ср 2,5)</t>
        </is>
      </c>
      <c r="E17" s="131" t="inlineStr">
        <is>
          <t>чел.-ч</t>
        </is>
      </c>
      <c r="F17" s="131" t="n">
        <v>16.9596094</v>
      </c>
      <c r="G17" s="141" t="n">
        <v>8.17</v>
      </c>
      <c r="H17" s="141">
        <f>ROUND(F17*G17,2)</f>
        <v/>
      </c>
    </row>
    <row r="18" ht="15.6" customFormat="1" customHeight="1" s="95">
      <c r="A18" s="131" t="n">
        <v>7</v>
      </c>
      <c r="B18" s="131" t="n"/>
      <c r="C18" s="132" t="inlineStr">
        <is>
          <t>1-100-33</t>
        </is>
      </c>
      <c r="D18" s="132" t="inlineStr">
        <is>
          <t>Затраты труда рабочих (ср 3,3)</t>
        </is>
      </c>
      <c r="E18" s="131" t="inlineStr">
        <is>
          <t>чел.-ч</t>
        </is>
      </c>
      <c r="F18" s="131" t="n">
        <v>8.7791184</v>
      </c>
      <c r="G18" s="141" t="n">
        <v>8.859999999999999</v>
      </c>
      <c r="H18" s="141">
        <f>ROUND(F18*G18,2)</f>
        <v/>
      </c>
    </row>
    <row r="19" ht="15.6" customFormat="1" customHeight="1" s="95">
      <c r="A19" s="131" t="n">
        <v>8</v>
      </c>
      <c r="B19" s="131" t="n"/>
      <c r="C19" s="132" t="inlineStr">
        <is>
          <t>1-100-28</t>
        </is>
      </c>
      <c r="D19" s="132" t="inlineStr">
        <is>
          <t>Затраты труда рабочих (ср 2,8)</t>
        </is>
      </c>
      <c r="E19" s="131" t="inlineStr">
        <is>
          <t>чел.-ч</t>
        </is>
      </c>
      <c r="F19" s="131" t="n">
        <v>7.3374788</v>
      </c>
      <c r="G19" s="141" t="n">
        <v>8.380000000000001</v>
      </c>
      <c r="H19" s="141">
        <f>ROUND(F19*G19,2)</f>
        <v/>
      </c>
    </row>
    <row r="20" ht="15.6" customFormat="1" customHeight="1" s="95">
      <c r="A20" s="131" t="n">
        <v>9</v>
      </c>
      <c r="B20" s="131" t="n"/>
      <c r="C20" s="132" t="inlineStr">
        <is>
          <t>1-100-35</t>
        </is>
      </c>
      <c r="D20" s="132" t="inlineStr">
        <is>
          <t>Затраты труда рабочих (ср 3,5)</t>
        </is>
      </c>
      <c r="E20" s="131" t="inlineStr">
        <is>
          <t>чел.-ч</t>
        </is>
      </c>
      <c r="F20" s="131" t="n">
        <v>2.63166</v>
      </c>
      <c r="G20" s="141" t="n">
        <v>9.07</v>
      </c>
      <c r="H20" s="141">
        <f>ROUND(F20*G20,2)</f>
        <v/>
      </c>
    </row>
    <row r="21" ht="15.6" customFormat="1" customHeight="1" s="95">
      <c r="A21" s="131" t="n">
        <v>10</v>
      </c>
      <c r="B21" s="131" t="n"/>
      <c r="C21" s="132" t="inlineStr">
        <is>
          <t>1-100-38</t>
        </is>
      </c>
      <c r="D21" s="132" t="inlineStr">
        <is>
          <t>Затраты труда рабочих (ср 3,8)</t>
        </is>
      </c>
      <c r="E21" s="131" t="inlineStr">
        <is>
          <t>чел.-ч</t>
        </is>
      </c>
      <c r="F21" s="131" t="n">
        <v>0.6374872</v>
      </c>
      <c r="G21" s="141" t="n">
        <v>9.4</v>
      </c>
      <c r="H21" s="141">
        <f>ROUND(F21*G21,2)</f>
        <v/>
      </c>
    </row>
    <row r="22" ht="15.6" customFormat="1" customHeight="1" s="95">
      <c r="A22" s="131" t="n">
        <v>11</v>
      </c>
      <c r="B22" s="131" t="n"/>
      <c r="C22" s="132" t="inlineStr">
        <is>
          <t>1-100-27</t>
        </is>
      </c>
      <c r="D22" s="132" t="inlineStr">
        <is>
          <t>Затраты труда рабочих (ср 2,7)</t>
        </is>
      </c>
      <c r="E22" s="131" t="inlineStr">
        <is>
          <t>чел.-ч</t>
        </is>
      </c>
      <c r="F22" s="131" t="n">
        <v>0.621</v>
      </c>
      <c r="G22" s="141" t="n">
        <v>8.31</v>
      </c>
      <c r="H22" s="141">
        <f>ROUND(F22*G22,2)</f>
        <v/>
      </c>
    </row>
    <row r="23" ht="15.6" customFormat="1" customHeight="1" s="95">
      <c r="A23" s="131" t="n">
        <v>12</v>
      </c>
      <c r="B23" s="131" t="n"/>
      <c r="C23" s="132" t="inlineStr">
        <is>
          <t>1-100-40</t>
        </is>
      </c>
      <c r="D23" s="132" t="inlineStr">
        <is>
          <t>Затраты труда рабочих (ср 4)</t>
        </is>
      </c>
      <c r="E23" s="131" t="inlineStr">
        <is>
          <t>чел.-ч</t>
        </is>
      </c>
      <c r="F23" s="131" t="n">
        <v>0.5146909</v>
      </c>
      <c r="G23" s="141" t="n">
        <v>9.619999999999999</v>
      </c>
      <c r="H23" s="141">
        <f>ROUND(F23*G23,2)</f>
        <v/>
      </c>
    </row>
    <row r="24" ht="15.6" customFormat="1" customHeight="1" s="95">
      <c r="A24" s="131" t="n">
        <v>13</v>
      </c>
      <c r="B24" s="131" t="n"/>
      <c r="C24" s="132" t="inlineStr">
        <is>
          <t>1-100-39</t>
        </is>
      </c>
      <c r="D24" s="132" t="inlineStr">
        <is>
          <t>Затраты труда рабочих (ср 3,9)</t>
        </is>
      </c>
      <c r="E24" s="131" t="inlineStr">
        <is>
          <t>чел.-ч</t>
        </is>
      </c>
      <c r="F24" s="131" t="n">
        <v>0.4675109</v>
      </c>
      <c r="G24" s="141" t="n">
        <v>9.51</v>
      </c>
      <c r="H24" s="141">
        <f>ROUND(F24*G24,2)</f>
        <v/>
      </c>
    </row>
    <row r="25" ht="15.6" customFormat="1" customHeight="1" s="95">
      <c r="A25" s="131" t="n">
        <v>14</v>
      </c>
      <c r="B25" s="131" t="n"/>
      <c r="C25" s="132" t="inlineStr">
        <is>
          <t>1-100-31</t>
        </is>
      </c>
      <c r="D25" s="132" t="inlineStr">
        <is>
          <t>Затраты труда рабочих (ср 3,1)</t>
        </is>
      </c>
      <c r="E25" s="131" t="inlineStr">
        <is>
          <t>чел.-ч</t>
        </is>
      </c>
      <c r="F25" s="131" t="n">
        <v>0.0046021</v>
      </c>
      <c r="G25" s="141" t="n">
        <v>8.640000000000001</v>
      </c>
      <c r="H25" s="141">
        <f>ROUND(F25*G25,2)</f>
        <v/>
      </c>
    </row>
    <row r="26" ht="15.6" customFormat="1" customHeight="1" s="11">
      <c r="A26" s="130" t="inlineStr">
        <is>
          <t>Затраты труда машинистов</t>
        </is>
      </c>
      <c r="B26" s="159" t="n"/>
      <c r="C26" s="159" t="n"/>
      <c r="D26" s="159" t="n"/>
      <c r="E26" s="160" t="n"/>
      <c r="F26" s="130" t="n">
        <v>28.7450528</v>
      </c>
      <c r="G26" s="14" t="n"/>
      <c r="H26" s="14">
        <f>SUM(H27:H27)</f>
        <v/>
      </c>
    </row>
    <row r="27" ht="15.6" customFormat="1" customHeight="1" s="95">
      <c r="A27" s="131" t="n">
        <v>15</v>
      </c>
      <c r="B27" s="131" t="n"/>
      <c r="C27" s="132" t="n">
        <v>2</v>
      </c>
      <c r="D27" s="132" t="inlineStr">
        <is>
          <t>Затраты труда машинистов</t>
        </is>
      </c>
      <c r="E27" s="131" t="inlineStr">
        <is>
          <t>чел.-ч</t>
        </is>
      </c>
      <c r="F27" s="131" t="n">
        <v>28.7450528</v>
      </c>
      <c r="G27" s="141" t="n">
        <v>13.19</v>
      </c>
      <c r="H27" s="141">
        <f>ROUND(F27*G27,2)</f>
        <v/>
      </c>
    </row>
    <row r="28" ht="15.6" customFormat="1" customHeight="1" s="11">
      <c r="A28" s="130" t="inlineStr">
        <is>
          <t>Машины и механизмы</t>
        </is>
      </c>
      <c r="B28" s="159" t="n"/>
      <c r="C28" s="159" t="n"/>
      <c r="D28" s="159" t="n"/>
      <c r="E28" s="160" t="n"/>
      <c r="F28" s="130" t="n"/>
      <c r="G28" s="14" t="n"/>
      <c r="H28" s="14">
        <f>SUM(H29:H46)</f>
        <v/>
      </c>
    </row>
    <row r="29" ht="15.6" customFormat="1" customHeight="1" s="95">
      <c r="A29" s="131" t="n">
        <v>16</v>
      </c>
      <c r="B29" s="131" t="n"/>
      <c r="C29" s="18" t="inlineStr">
        <is>
          <t>91.17.04-031</t>
        </is>
      </c>
      <c r="D29" s="132" t="inlineStr">
        <is>
          <t>Агрегаты для сварки полиэтиленовых труб</t>
        </is>
      </c>
      <c r="E29" s="131" t="inlineStr">
        <is>
          <t>маш.час</t>
        </is>
      </c>
      <c r="F29" s="131" t="n">
        <v>8.7712895</v>
      </c>
      <c r="G29" s="141" t="n">
        <v>100.1</v>
      </c>
      <c r="H29" s="141">
        <f>ROUND(F29*G29,2)</f>
        <v/>
      </c>
    </row>
    <row r="30" ht="15.6" customFormat="1" customHeight="1" s="95">
      <c r="A30" s="131" t="n">
        <v>17</v>
      </c>
      <c r="B30" s="131" t="n"/>
      <c r="C30" s="18" t="inlineStr">
        <is>
          <t>91.14.01-011</t>
        </is>
      </c>
      <c r="D30" s="132" t="inlineStr">
        <is>
          <t>Автобетоносмесители, емкость до 6,3 м3</t>
        </is>
      </c>
      <c r="E30" s="131" t="inlineStr">
        <is>
          <t>маш.час</t>
        </is>
      </c>
      <c r="F30" s="131" t="n">
        <v>7.176</v>
      </c>
      <c r="G30" s="141" t="n">
        <v>105.81</v>
      </c>
      <c r="H30" s="141">
        <f>ROUND(F30*G30,2)</f>
        <v/>
      </c>
    </row>
    <row r="31" ht="46.9" customFormat="1" customHeight="1" s="95">
      <c r="A31" s="131" t="n">
        <v>18</v>
      </c>
      <c r="B31" s="131" t="n"/>
      <c r="C31" s="18" t="inlineStr">
        <is>
          <t>91.07.11-570</t>
        </is>
      </c>
      <c r="D31" s="132" t="inlineStr">
        <is>
          <t>Бетононасосы-миксеры прицепные с двигателем внутреннего сгорания, производительность до 12 м3/ч</t>
        </is>
      </c>
      <c r="E31" s="131" t="inlineStr">
        <is>
          <t>маш.час</t>
        </is>
      </c>
      <c r="F31" s="131" t="n">
        <v>7.176</v>
      </c>
      <c r="G31" s="141" t="n">
        <v>71</v>
      </c>
      <c r="H31" s="141">
        <f>ROUND(F31*G31,2)</f>
        <v/>
      </c>
    </row>
    <row r="32" ht="31.35" customFormat="1" customHeight="1" s="95">
      <c r="A32" s="131" t="n">
        <v>19</v>
      </c>
      <c r="B32" s="131" t="n"/>
      <c r="C32" s="18" t="inlineStr">
        <is>
          <t>91.05.13-025</t>
        </is>
      </c>
      <c r="D32" s="132" t="inlineStr">
        <is>
          <t>Краны-манипуляторы на автомобильном ходу, грузоподъемность до 3,2 т</t>
        </is>
      </c>
      <c r="E32" s="131" t="inlineStr">
        <is>
          <t>маш.час</t>
        </is>
      </c>
      <c r="F32" s="131" t="n">
        <v>2.2632</v>
      </c>
      <c r="G32" s="141" t="n">
        <v>112.36</v>
      </c>
      <c r="H32" s="141">
        <f>ROUND(F32*G32,2)</f>
        <v/>
      </c>
    </row>
    <row r="33" ht="31.35" customFormat="1" customHeight="1" s="95">
      <c r="A33" s="131" t="n">
        <v>20</v>
      </c>
      <c r="B33" s="131" t="n"/>
      <c r="C33" s="18" t="inlineStr">
        <is>
          <t>91.05.05-015</t>
        </is>
      </c>
      <c r="D33" s="132" t="inlineStr">
        <is>
          <t>Краны на автомобильном ходу, грузоподъемность 16 т</t>
        </is>
      </c>
      <c r="E33" s="131" t="inlineStr">
        <is>
          <t>маш.час</t>
        </is>
      </c>
      <c r="F33" s="131" t="n">
        <v>1.2474639</v>
      </c>
      <c r="G33" s="141" t="n">
        <v>115.4</v>
      </c>
      <c r="H33" s="141">
        <f>ROUND(F33*G33,2)</f>
        <v/>
      </c>
    </row>
    <row r="34" ht="62.45" customFormat="1" customHeight="1" s="95">
      <c r="A34" s="131" t="n">
        <v>21</v>
      </c>
      <c r="B34" s="131" t="n"/>
      <c r="C34" s="18" t="inlineStr">
        <is>
          <t>91.10.09-012</t>
        </is>
      </c>
      <c r="D34" s="13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34" s="131" t="inlineStr">
        <is>
          <t>маш.час</t>
        </is>
      </c>
      <c r="F34" s="131" t="n">
        <v>3.9165642</v>
      </c>
      <c r="G34" s="141" t="n">
        <v>26.32</v>
      </c>
      <c r="H34" s="141">
        <f>ROUND(F34*G34,2)</f>
        <v/>
      </c>
    </row>
    <row r="35" ht="15.6" customFormat="1" customHeight="1" s="95">
      <c r="A35" s="131" t="n">
        <v>22</v>
      </c>
      <c r="B35" s="131" t="n"/>
      <c r="C35" s="18" t="inlineStr">
        <is>
          <t>91.06.05-011</t>
        </is>
      </c>
      <c r="D35" s="132" t="inlineStr">
        <is>
          <t>Погрузчики, грузоподъемность 5 т</t>
        </is>
      </c>
      <c r="E35" s="131" t="inlineStr">
        <is>
          <t>маш.час</t>
        </is>
      </c>
      <c r="F35" s="131" t="n">
        <v>0.5342742</v>
      </c>
      <c r="G35" s="141" t="n">
        <v>89.98999999999999</v>
      </c>
      <c r="H35" s="141">
        <f>ROUND(F35*G35,2)</f>
        <v/>
      </c>
    </row>
    <row r="36" ht="15.6" customFormat="1" customHeight="1" s="95">
      <c r="A36" s="131" t="n">
        <v>23</v>
      </c>
      <c r="B36" s="131" t="n"/>
      <c r="C36" s="18" t="inlineStr">
        <is>
          <t>91.14.02-001</t>
        </is>
      </c>
      <c r="D36" s="132" t="inlineStr">
        <is>
          <t>Автомобили бортовые, грузоподъемность до 5 т</t>
        </is>
      </c>
      <c r="E36" s="131" t="inlineStr">
        <is>
          <t>маш.час</t>
        </is>
      </c>
      <c r="F36" s="131" t="n">
        <v>0.5914336</v>
      </c>
      <c r="G36" s="141" t="n">
        <v>65.70999999999999</v>
      </c>
      <c r="H36" s="141">
        <f>ROUND(F36*G36,2)</f>
        <v/>
      </c>
    </row>
    <row r="37" ht="31.35" customFormat="1" customHeight="1" s="95">
      <c r="A37" s="131" t="n">
        <v>24</v>
      </c>
      <c r="B37" s="131" t="n"/>
      <c r="C37" s="18" t="inlineStr">
        <is>
          <t>91.01.05-085</t>
        </is>
      </c>
      <c r="D37" s="132" t="inlineStr">
        <is>
          <t>Экскаваторы одноковшовые дизельные на гусеничном ходу, емкость ковша 0,5 м3</t>
        </is>
      </c>
      <c r="E37" s="131" t="inlineStr">
        <is>
          <t>маш.час</t>
        </is>
      </c>
      <c r="F37" s="131" t="n">
        <v>0.265394</v>
      </c>
      <c r="G37" s="141" t="n">
        <v>100</v>
      </c>
      <c r="H37" s="141">
        <f>ROUND(F37*G37,2)</f>
        <v/>
      </c>
    </row>
    <row r="38" ht="15.6" customFormat="1" customHeight="1" s="95">
      <c r="A38" s="131" t="n">
        <v>25</v>
      </c>
      <c r="B38" s="131" t="n"/>
      <c r="C38" s="18" t="inlineStr">
        <is>
          <t>91.05.01-017</t>
        </is>
      </c>
      <c r="D38" s="132" t="inlineStr">
        <is>
          <t>Краны башенные, грузоподъемность 8 т</t>
        </is>
      </c>
      <c r="E38" s="131" t="inlineStr">
        <is>
          <t>маш.час</t>
        </is>
      </c>
      <c r="F38" s="131" t="n">
        <v>0.2301619</v>
      </c>
      <c r="G38" s="141" t="n">
        <v>86.40000000000001</v>
      </c>
      <c r="H38" s="141">
        <f>ROUND(F38*G38,2)</f>
        <v/>
      </c>
    </row>
    <row r="39" ht="15.6" customFormat="1" customHeight="1" s="95">
      <c r="A39" s="131" t="n">
        <v>26</v>
      </c>
      <c r="B39" s="131" t="n"/>
      <c r="C39" s="18" t="inlineStr">
        <is>
          <t>91.16.01-002</t>
        </is>
      </c>
      <c r="D39" s="132" t="inlineStr">
        <is>
          <t>Электростанции передвижные, мощность 4 кВт</t>
        </is>
      </c>
      <c r="E39" s="131" t="inlineStr">
        <is>
          <t>маш.час</t>
        </is>
      </c>
      <c r="F39" s="131" t="n">
        <v>0.454478</v>
      </c>
      <c r="G39" s="141" t="n">
        <v>27.11</v>
      </c>
      <c r="H39" s="141">
        <f>ROUND(F39*G39,2)</f>
        <v/>
      </c>
    </row>
    <row r="40" ht="31.35" customFormat="1" customHeight="1" s="95">
      <c r="A40" s="131" t="n">
        <v>27</v>
      </c>
      <c r="B40" s="131" t="n"/>
      <c r="C40" s="18" t="inlineStr">
        <is>
          <t>91.10.05-007</t>
        </is>
      </c>
      <c r="D40" s="132" t="inlineStr">
        <is>
          <t>Трубоукладчики, номинальная грузоподъемность 12,5 т</t>
        </is>
      </c>
      <c r="E40" s="131" t="inlineStr">
        <is>
          <t>маш.час</t>
        </is>
      </c>
      <c r="F40" s="131" t="n">
        <v>0.0258877</v>
      </c>
      <c r="G40" s="141" t="n">
        <v>239.44</v>
      </c>
      <c r="H40" s="141">
        <f>ROUND(F40*G40,2)</f>
        <v/>
      </c>
    </row>
    <row r="41" ht="15.6" customFormat="1" customHeight="1" s="95">
      <c r="A41" s="131" t="n">
        <v>28</v>
      </c>
      <c r="B41" s="131" t="n"/>
      <c r="C41" s="18" t="inlineStr">
        <is>
          <t>91.08.04-021</t>
        </is>
      </c>
      <c r="D41" s="132" t="inlineStr">
        <is>
          <t>Котлы битумные передвижные 400 л</t>
        </is>
      </c>
      <c r="E41" s="131" t="inlineStr">
        <is>
          <t>маш.час</t>
        </is>
      </c>
      <c r="F41" s="131" t="n">
        <v>0.0430022</v>
      </c>
      <c r="G41" s="141" t="n">
        <v>30</v>
      </c>
      <c r="H41" s="141">
        <f>ROUND(F41*G41,2)</f>
        <v/>
      </c>
    </row>
    <row r="42" ht="15.6" customFormat="1" customHeight="1" s="95">
      <c r="A42" s="131" t="n">
        <v>29</v>
      </c>
      <c r="B42" s="131" t="n"/>
      <c r="C42" s="18" t="inlineStr">
        <is>
          <t>91.14.04-002</t>
        </is>
      </c>
      <c r="D42" s="132" t="inlineStr">
        <is>
          <t>Тягачи седельные, грузоподъемность 15 т</t>
        </is>
      </c>
      <c r="E42" s="131" t="inlineStr">
        <is>
          <t>маш.час</t>
        </is>
      </c>
      <c r="F42" s="131" t="n">
        <v>0.0094704</v>
      </c>
      <c r="G42" s="141" t="n">
        <v>94.38</v>
      </c>
      <c r="H42" s="141">
        <f>ROUND(F42*G42,2)</f>
        <v/>
      </c>
    </row>
    <row r="43" ht="31.35" customFormat="1" customHeight="1" s="95">
      <c r="A43" s="131" t="n">
        <v>30</v>
      </c>
      <c r="B43" s="131" t="n"/>
      <c r="C43" s="18" t="inlineStr">
        <is>
          <t>91.06.03-061</t>
        </is>
      </c>
      <c r="D43" s="132" t="inlineStr">
        <is>
          <t>Лебедки электрические тяговым усилием до 12,26 кН (1,25 т)</t>
        </is>
      </c>
      <c r="E43" s="131" t="inlineStr">
        <is>
          <t>маш.час</t>
        </is>
      </c>
      <c r="F43" s="131" t="n">
        <v>0.1518534</v>
      </c>
      <c r="G43" s="141" t="n">
        <v>3.28</v>
      </c>
      <c r="H43" s="141">
        <f>ROUND(F43*G43,2)</f>
        <v/>
      </c>
    </row>
    <row r="44" ht="31.35" customFormat="1" customHeight="1" s="95">
      <c r="A44" s="131" t="n">
        <v>31</v>
      </c>
      <c r="B44" s="131" t="n"/>
      <c r="C44" s="18" t="inlineStr">
        <is>
          <t>91.17.04-233</t>
        </is>
      </c>
      <c r="D44" s="132" t="inlineStr">
        <is>
          <t>Установки для сварки ручной дуговой (постоянного тока)</t>
        </is>
      </c>
      <c r="E44" s="131" t="inlineStr">
        <is>
          <t>маш.час</t>
        </is>
      </c>
      <c r="F44" s="131" t="n">
        <v>0.0379776</v>
      </c>
      <c r="G44" s="141" t="n">
        <v>8.1</v>
      </c>
      <c r="H44" s="141">
        <f>ROUND(F44*G44,2)</f>
        <v/>
      </c>
    </row>
    <row r="45" ht="31.35" customFormat="1" customHeight="1" s="95">
      <c r="A45" s="131" t="n">
        <v>32</v>
      </c>
      <c r="B45" s="131" t="n"/>
      <c r="C45" s="18" t="inlineStr">
        <is>
          <t>91.14.05-012</t>
        </is>
      </c>
      <c r="D45" s="132" t="inlineStr">
        <is>
          <t>Полуприцепы общего назначения, грузоподъемность 15 т</t>
        </is>
      </c>
      <c r="E45" s="131" t="inlineStr">
        <is>
          <t>маш.час</t>
        </is>
      </c>
      <c r="F45" s="131" t="n">
        <v>0.0094704</v>
      </c>
      <c r="G45" s="141" t="n">
        <v>19.76</v>
      </c>
      <c r="H45" s="141">
        <f>ROUND(F45*G45,2)</f>
        <v/>
      </c>
    </row>
    <row r="46" ht="15.6" customFormat="1" customHeight="1" s="95">
      <c r="A46" s="131" t="n">
        <v>33</v>
      </c>
      <c r="B46" s="131" t="n"/>
      <c r="C46" s="18" t="inlineStr">
        <is>
          <t>91.07.04-001</t>
        </is>
      </c>
      <c r="D46" s="132" t="inlineStr">
        <is>
          <t>Вибраторы глубинные</t>
        </is>
      </c>
      <c r="E46" s="131" t="inlineStr">
        <is>
          <t>маш.час</t>
        </is>
      </c>
      <c r="F46" s="131" t="n">
        <v>0.079488</v>
      </c>
      <c r="G46" s="141" t="n">
        <v>1.9</v>
      </c>
      <c r="H46" s="141">
        <f>ROUND(F46*G46,2)</f>
        <v/>
      </c>
    </row>
    <row r="47" ht="15.6" customFormat="1" customHeight="1" s="11">
      <c r="A47" s="130" t="inlineStr">
        <is>
          <t>Материалы</t>
        </is>
      </c>
      <c r="B47" s="159" t="n"/>
      <c r="C47" s="159" t="n"/>
      <c r="D47" s="159" t="n"/>
      <c r="E47" s="160" t="n"/>
      <c r="F47" s="130" t="n"/>
      <c r="G47" s="14" t="n"/>
      <c r="H47" s="14">
        <f>SUM(H48:H93)</f>
        <v/>
      </c>
    </row>
    <row r="48" ht="46.9" customFormat="1" customHeight="1" s="95">
      <c r="A48" s="131" t="n">
        <v>34</v>
      </c>
      <c r="B48" s="131" t="n"/>
      <c r="C48" s="18" t="inlineStr">
        <is>
          <t>ТЦ_18.2.04.05_77_7711090903_25.10.2022_02</t>
        </is>
      </c>
      <c r="D48" s="132" t="inlineStr">
        <is>
          <t>Колодец стеклопластиковый (O1000х4500мм), с крышкой (O800мм), лестницей</t>
        </is>
      </c>
      <c r="E48" s="131" t="inlineStr">
        <is>
          <t>шт</t>
        </is>
      </c>
      <c r="F48" s="131" t="n">
        <v>20</v>
      </c>
      <c r="G48" s="141" t="n">
        <v>31632.65</v>
      </c>
      <c r="H48" s="141">
        <f>ROUND(F48*G48,2)</f>
        <v/>
      </c>
    </row>
    <row r="49" ht="15.6" customFormat="1" customHeight="1" s="95">
      <c r="A49" s="131" t="n">
        <v>35</v>
      </c>
      <c r="B49" s="131" t="n"/>
      <c r="C49" s="18" t="inlineStr">
        <is>
          <t>02.3.01.02-1011</t>
        </is>
      </c>
      <c r="D49" s="132" t="inlineStr">
        <is>
          <t>Песок природный I класс, средний, круглые сита</t>
        </is>
      </c>
      <c r="E49" s="131" t="inlineStr">
        <is>
          <t>м3</t>
        </is>
      </c>
      <c r="F49" s="131" t="n">
        <v>6718.155</v>
      </c>
      <c r="G49" s="141" t="n">
        <v>54.95</v>
      </c>
      <c r="H49" s="141">
        <f>ROUND(F49*G49,2)</f>
        <v/>
      </c>
    </row>
    <row r="50" ht="62.45" customFormat="1" customHeight="1" s="95">
      <c r="A50" s="131" t="n">
        <v>36</v>
      </c>
      <c r="B50" s="131" t="n"/>
      <c r="C50" s="18" t="inlineStr">
        <is>
          <t>18.2.04.01-0012</t>
        </is>
      </c>
      <c r="D50" s="132" t="inlineStr">
        <is>
          <t>Колодец водопроводный полиэтиленовый, диаметр 1600 мм, с запорной арматурой (1,2), для трубопровода номинальным диаметром 150, 200 мм</t>
        </is>
      </c>
      <c r="E50" s="131" t="inlineStr">
        <is>
          <t>м</t>
        </is>
      </c>
      <c r="F50" s="131" t="n">
        <v>5</v>
      </c>
      <c r="G50" s="141" t="n">
        <v>20759.1</v>
      </c>
      <c r="H50" s="141">
        <f>ROUND(F50*G50,2)</f>
        <v/>
      </c>
    </row>
    <row r="51" ht="15.6" customFormat="1" customHeight="1" s="95">
      <c r="A51" s="131" t="n">
        <v>37</v>
      </c>
      <c r="B51" s="131" t="n"/>
      <c r="C51" s="18" t="inlineStr">
        <is>
          <t>11.2.13.04-0011</t>
        </is>
      </c>
      <c r="D51" s="132" t="inlineStr">
        <is>
          <t>Щиты из досок, толщина 25 мм</t>
        </is>
      </c>
      <c r="E51" s="131" t="inlineStr">
        <is>
          <t>м2</t>
        </is>
      </c>
      <c r="F51" s="131" t="n">
        <v>1683.264</v>
      </c>
      <c r="G51" s="141" t="n">
        <v>35.53</v>
      </c>
      <c r="H51" s="141">
        <f>ROUND(F51*G51,2)</f>
        <v/>
      </c>
    </row>
    <row r="52" ht="46.9" customFormat="1" customHeight="1" s="95">
      <c r="A52" s="131" t="n">
        <v>38</v>
      </c>
      <c r="B52" s="131" t="n"/>
      <c r="C52" s="18" t="inlineStr">
        <is>
          <t>04.1.02.05-0059</t>
        </is>
      </c>
      <c r="D52" s="132" t="inlineStr">
        <is>
          <t>Смеси бетонные тяжелого бетона (БСТ), крупность заполнителя 40 мм, класс В12,5 (М150)</t>
        </is>
      </c>
      <c r="E52" s="131" t="inlineStr">
        <is>
          <t>м3</t>
        </is>
      </c>
      <c r="F52" s="131" t="n">
        <v>64.95999999999999</v>
      </c>
      <c r="G52" s="141" t="n">
        <v>622.63</v>
      </c>
      <c r="H52" s="141">
        <f>ROUND(F52*G52,2)</f>
        <v/>
      </c>
    </row>
    <row r="53" ht="62.45" customFormat="1" customHeight="1" s="95">
      <c r="A53" s="131" t="n">
        <v>39</v>
      </c>
      <c r="B53" s="131" t="n"/>
      <c r="C53" s="18" t="inlineStr">
        <is>
          <t>24.3.03.13-0055</t>
        </is>
      </c>
      <c r="D53" s="132" t="inlineStr">
        <is>
          <t>Трубы напорные полиэтиленовые ПЭ100, стандартное размерное отношение SDR17, номинальный наружный диаметр 315 мм, толщина стенки 18,7 мм</t>
        </is>
      </c>
      <c r="E53" s="131" t="inlineStr">
        <is>
          <t>м</t>
        </is>
      </c>
      <c r="F53" s="131" t="n">
        <v>38.1275</v>
      </c>
      <c r="G53" s="141" t="n">
        <v>1019.54</v>
      </c>
      <c r="H53" s="141">
        <f>ROUND(F53*G53,2)</f>
        <v/>
      </c>
    </row>
    <row r="54" ht="62.45" customFormat="1" customHeight="1" s="95">
      <c r="A54" s="131" t="n">
        <v>40</v>
      </c>
      <c r="B54" s="131" t="n"/>
      <c r="C54" s="18" t="inlineStr">
        <is>
          <t>24.3.03.06-0025</t>
        </is>
      </c>
      <c r="D54" s="132" t="inlineStr">
        <is>
          <t>Трубы дренажные полиэтиленовые гофрированные двухслойные, класс кольцевой жесткости SN8, номинальный внутренний диаметр 200 мм</t>
        </is>
      </c>
      <c r="E54" s="131" t="inlineStr">
        <is>
          <t>м</t>
        </is>
      </c>
      <c r="F54" s="131" t="n">
        <v>257.497729</v>
      </c>
      <c r="G54" s="141" t="n">
        <v>148.57</v>
      </c>
      <c r="H54" s="141">
        <f>ROUND(F54*G54,2)</f>
        <v/>
      </c>
    </row>
    <row r="55" ht="62.45" customFormat="1" customHeight="1" s="95">
      <c r="A55" s="131" t="n">
        <v>41</v>
      </c>
      <c r="B55" s="131" t="n"/>
      <c r="C55" s="18" t="inlineStr">
        <is>
          <t>24.3.03.13-0058</t>
        </is>
      </c>
      <c r="D55" s="132" t="inlineStr">
        <is>
          <t>Трубы напорные полиэтиленовые ПЭ100, стандартное размерное отношение SDR17, номинальный наружный диаметр 450 мм, толщина стенки 26,7 мм</t>
        </is>
      </c>
      <c r="E55" s="131" t="inlineStr">
        <is>
          <t>м</t>
        </is>
      </c>
      <c r="F55" s="131" t="n">
        <v>12.625</v>
      </c>
      <c r="G55" s="141" t="n">
        <v>2072.58</v>
      </c>
      <c r="H55" s="141">
        <f>ROUND(F55*G55,2)</f>
        <v/>
      </c>
    </row>
    <row r="56" ht="62.45" customFormat="1" customHeight="1" s="95">
      <c r="A56" s="131" t="n">
        <v>42</v>
      </c>
      <c r="B56" s="131" t="n"/>
      <c r="C56" s="18" t="inlineStr">
        <is>
          <t>24.3.03.13-0043</t>
        </is>
      </c>
      <c r="D56" s="132" t="inlineStr">
        <is>
          <t>Трубы напорные полиэтиленовые ПЭ100, стандартное размерное отношение SDR17, номинальный наружный диаметр 63 мм, толщина стенки 3,8 мм</t>
        </is>
      </c>
      <c r="E56" s="131" t="inlineStr">
        <is>
          <t>м</t>
        </is>
      </c>
      <c r="F56" s="131" t="n">
        <v>220.12</v>
      </c>
      <c r="G56" s="141" t="n">
        <v>41.6</v>
      </c>
      <c r="H56" s="141">
        <f>ROUND(F56*G56,2)</f>
        <v/>
      </c>
    </row>
    <row r="57" ht="46.9" customFormat="1" customHeight="1" s="95">
      <c r="A57" s="131" t="n">
        <v>43</v>
      </c>
      <c r="B57" s="131" t="n"/>
      <c r="C57" s="18" t="inlineStr">
        <is>
          <t>02.3.01.02-0016</t>
        </is>
      </c>
      <c r="D57" s="132" t="inlineStr">
        <is>
          <t>Песок природный для строительных: работ средний с крупностью зерен размером свыше 5 мм - до 5% по массе</t>
        </is>
      </c>
      <c r="E57" s="131" t="inlineStr">
        <is>
          <t>м3</t>
        </is>
      </c>
      <c r="F57" s="131" t="n">
        <v>151.1796</v>
      </c>
      <c r="G57" s="141" t="n">
        <v>55.26</v>
      </c>
      <c r="H57" s="141">
        <f>ROUND(F57*G57,2)</f>
        <v/>
      </c>
    </row>
    <row r="58" ht="15.6" customFormat="1" customHeight="1" s="95">
      <c r="A58" s="131" t="n">
        <v>44</v>
      </c>
      <c r="B58" s="131" t="n"/>
      <c r="C58" s="18" t="inlineStr">
        <is>
          <t>08.1.02.06-0023</t>
        </is>
      </c>
      <c r="D58" s="132" t="inlineStr">
        <is>
          <t>Люк чугунный круглый средний Л(B125)-К-1-60</t>
        </is>
      </c>
      <c r="E58" s="131" t="inlineStr">
        <is>
          <t>шт</t>
        </is>
      </c>
      <c r="F58" s="131" t="n">
        <v>17</v>
      </c>
      <c r="G58" s="141" t="n">
        <v>442.11</v>
      </c>
      <c r="H58" s="141">
        <f>ROUND(F58*G58,2)</f>
        <v/>
      </c>
    </row>
    <row r="59" ht="31.35" customFormat="1" customHeight="1" s="95">
      <c r="A59" s="131" t="n">
        <v>45</v>
      </c>
      <c r="B59" s="131" t="n"/>
      <c r="C59" s="18" t="inlineStr">
        <is>
          <t>04.1.02.01-0006</t>
        </is>
      </c>
      <c r="D59" s="132" t="inlineStr">
        <is>
          <t>Смеси бетонные мелкозернистого бетона (БСМ), класс В15 (М200)</t>
        </is>
      </c>
      <c r="E59" s="131" t="inlineStr">
        <is>
          <t>м3</t>
        </is>
      </c>
      <c r="F59" s="131" t="n">
        <v>8.19</v>
      </c>
      <c r="G59" s="141" t="n">
        <v>490</v>
      </c>
      <c r="H59" s="141">
        <f>ROUND(F59*G59,2)</f>
        <v/>
      </c>
    </row>
    <row r="60" ht="31.35" customFormat="1" customHeight="1" s="95">
      <c r="A60" s="131" t="n">
        <v>46</v>
      </c>
      <c r="B60" s="131" t="n"/>
      <c r="C60" s="18" t="inlineStr">
        <is>
          <t>08.1.02.06-0042</t>
        </is>
      </c>
      <c r="D60" s="132" t="inlineStr">
        <is>
          <t>Люк чугунный с решеткой для дождеприемного колодца ЛР</t>
        </is>
      </c>
      <c r="E60" s="131" t="inlineStr">
        <is>
          <t>шт</t>
        </is>
      </c>
      <c r="F60" s="131" t="n">
        <v>4</v>
      </c>
      <c r="G60" s="141" t="n">
        <v>592.2</v>
      </c>
      <c r="H60" s="141">
        <f>ROUND(F60*G60,2)</f>
        <v/>
      </c>
    </row>
    <row r="61" ht="15.6" customFormat="1" customHeight="1" s="95">
      <c r="A61" s="131" t="n">
        <v>47</v>
      </c>
      <c r="B61" s="131" t="n"/>
      <c r="C61" s="18" t="inlineStr">
        <is>
          <t>01.2.03.03-0013</t>
        </is>
      </c>
      <c r="D61" s="132" t="inlineStr">
        <is>
          <t>Мастика битумная кровельная горячая</t>
        </is>
      </c>
      <c r="E61" s="131" t="inlineStr">
        <is>
          <t>т</t>
        </is>
      </c>
      <c r="F61" s="131" t="n">
        <v>0.38352</v>
      </c>
      <c r="G61" s="141" t="n">
        <v>3390</v>
      </c>
      <c r="H61" s="141">
        <f>ROUND(F61*G61,2)</f>
        <v/>
      </c>
    </row>
    <row r="62" ht="31.35" customFormat="1" customHeight="1" s="95">
      <c r="A62" s="131" t="n">
        <v>48</v>
      </c>
      <c r="B62" s="131" t="n"/>
      <c r="C62" s="18" t="inlineStr">
        <is>
          <t>08.4.03.02-0007</t>
        </is>
      </c>
      <c r="D62" s="132" t="inlineStr">
        <is>
          <t>Сталь арматурная, горячекатаная, гладкая, класс А-I, диаметр 20-22 мм</t>
        </is>
      </c>
      <c r="E62" s="131" t="inlineStr">
        <is>
          <t>т</t>
        </is>
      </c>
      <c r="F62" s="131" t="n">
        <v>0.14758</v>
      </c>
      <c r="G62" s="141" t="n">
        <v>5520</v>
      </c>
      <c r="H62" s="141">
        <f>ROUND(F62*G62,2)</f>
        <v/>
      </c>
    </row>
    <row r="63" ht="62.45" customFormat="1" customHeight="1" s="95">
      <c r="A63" s="131" t="n">
        <v>49</v>
      </c>
      <c r="B63" s="131" t="n"/>
      <c r="C63" s="18" t="inlineStr">
        <is>
          <t>18.1.02.01-0201</t>
        </is>
      </c>
      <c r="D63" s="132" t="inlineStr">
        <is>
      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      </is>
      </c>
      <c r="E63" s="131" t="inlineStr">
        <is>
          <t>шт</t>
        </is>
      </c>
      <c r="F63" s="131" t="n">
        <v>2</v>
      </c>
      <c r="G63" s="141" t="n">
        <v>257.08</v>
      </c>
      <c r="H63" s="141">
        <f>ROUND(F63*G63,2)</f>
        <v/>
      </c>
    </row>
    <row r="64" ht="46.9" customFormat="1" customHeight="1" s="95">
      <c r="A64" s="131" t="n">
        <v>50</v>
      </c>
      <c r="B64" s="131" t="n"/>
      <c r="C64" s="18" t="inlineStr">
        <is>
          <t>08.4.03.03-0022</t>
        </is>
      </c>
      <c r="D64" s="132" t="inlineStr">
        <is>
          <t>Сталь арматурная, горячекатаная, периодического профиля, класс А-II, диаметр 12 мм</t>
        </is>
      </c>
      <c r="E64" s="131" t="inlineStr">
        <is>
          <t>т</t>
        </is>
      </c>
      <c r="F64" s="131" t="n">
        <v>0.073515</v>
      </c>
      <c r="G64" s="141" t="n">
        <v>5950</v>
      </c>
      <c r="H64" s="141">
        <f>ROUND(F64*G64,2)</f>
        <v/>
      </c>
    </row>
    <row r="65" ht="62.45" customFormat="1" customHeight="1" s="95">
      <c r="A65" s="131" t="n">
        <v>51</v>
      </c>
      <c r="B65" s="131" t="n"/>
      <c r="C65" s="18" t="inlineStr">
        <is>
          <t>24.3.03.06-0023</t>
        </is>
      </c>
      <c r="D65" s="132" t="inlineStr">
        <is>
          <t>Трубы дренажные полиэтиленовые гофрированные двухслойные, класс кольцевой жесткости SN8, номинальный внутренний диаметр 110 мм</t>
        </is>
      </c>
      <c r="E65" s="131" t="inlineStr">
        <is>
          <t>м</t>
        </is>
      </c>
      <c r="F65" s="131" t="n">
        <v>8.888</v>
      </c>
      <c r="G65" s="141" t="n">
        <v>49.1</v>
      </c>
      <c r="H65" s="141">
        <f>ROUND(F65*G65,2)</f>
        <v/>
      </c>
    </row>
    <row r="66" ht="31.35" customFormat="1" customHeight="1" s="95">
      <c r="A66" s="131" t="n">
        <v>52</v>
      </c>
      <c r="B66" s="131" t="n"/>
      <c r="C66" s="18" t="inlineStr">
        <is>
          <t>24.3.05.08-0112</t>
        </is>
      </c>
      <c r="D66" s="132" t="inlineStr">
        <is>
          <t>Отвод полиэтиленовый удлиненный 90°, номинальный внутренний диаметр 63 мм</t>
        </is>
      </c>
      <c r="E66" s="131" t="inlineStr">
        <is>
          <t>шт</t>
        </is>
      </c>
      <c r="F66" s="131" t="n">
        <v>5</v>
      </c>
      <c r="G66" s="141" t="n">
        <v>82.2</v>
      </c>
      <c r="H66" s="141">
        <f>ROUND(F66*G66,2)</f>
        <v/>
      </c>
    </row>
    <row r="67" ht="31.35" customFormat="1" customHeight="1" s="95">
      <c r="A67" s="131" t="n">
        <v>53</v>
      </c>
      <c r="B67" s="131" t="n"/>
      <c r="C67" s="18" t="inlineStr">
        <is>
          <t>18.1.02.02-0101</t>
        </is>
      </c>
      <c r="D67" s="132" t="inlineStr">
        <is>
          <t>Штурвал № 7800 для задвижек Hawle диаметром 50 мм</t>
        </is>
      </c>
      <c r="E67" s="131" t="inlineStr">
        <is>
          <t>шт</t>
        </is>
      </c>
      <c r="F67" s="131" t="n">
        <v>2</v>
      </c>
      <c r="G67" s="141" t="n">
        <v>65.13</v>
      </c>
      <c r="H67" s="141">
        <f>ROUND(F67*G67,2)</f>
        <v/>
      </c>
    </row>
    <row r="68" ht="15.6" customFormat="1" customHeight="1" s="95">
      <c r="A68" s="131" t="n">
        <v>54</v>
      </c>
      <c r="B68" s="131" t="n"/>
      <c r="C68" s="18" t="inlineStr">
        <is>
          <t>01.2.01.02-0001</t>
        </is>
      </c>
      <c r="D68" s="132" t="inlineStr">
        <is>
          <t>Битум горячий</t>
        </is>
      </c>
      <c r="E68" s="131" t="inlineStr">
        <is>
          <t>т</t>
        </is>
      </c>
      <c r="F68" s="131" t="n">
        <v>0.025568</v>
      </c>
      <c r="G68" s="141" t="n">
        <v>1946.91</v>
      </c>
      <c r="H68" s="141">
        <f>ROUND(F68*G68,2)</f>
        <v/>
      </c>
    </row>
    <row r="69" ht="31.35" customFormat="1" customHeight="1" s="95">
      <c r="A69" s="131" t="n">
        <v>55</v>
      </c>
      <c r="B69" s="131" t="n"/>
      <c r="C69" s="18" t="inlineStr">
        <is>
          <t>11.1.02.04-0031</t>
        </is>
      </c>
      <c r="D69" s="132" t="inlineStr">
        <is>
          <t>Лесоматериалы круглые, хвойных пород, для строительства, диаметр 14-24 см, длина 3-6,5 м</t>
        </is>
      </c>
      <c r="E69" s="131" t="inlineStr">
        <is>
          <t>м3</t>
        </is>
      </c>
      <c r="F69" s="131" t="n">
        <v>0.08686140000000001</v>
      </c>
      <c r="G69" s="141" t="n">
        <v>558.33</v>
      </c>
      <c r="H69" s="141">
        <f>ROUND(F69*G69,2)</f>
        <v/>
      </c>
    </row>
    <row r="70" ht="46.9" customFormat="1" customHeight="1" s="95">
      <c r="A70" s="131" t="n">
        <v>56</v>
      </c>
      <c r="B70" s="131" t="n"/>
      <c r="C70" s="18" t="inlineStr">
        <is>
          <t>07.2.07.12-0021</t>
        </is>
      </c>
      <c r="D70" s="132" t="inlineStr">
        <is>
          <t>Элементы конструктивные зданий и сооружений с преобладанием горячекатаных профилей, средняя масса сборочной единицы от 0,5 до 1 т</t>
        </is>
      </c>
      <c r="E70" s="131" t="inlineStr">
        <is>
          <t>т</t>
        </is>
      </c>
      <c r="F70" s="131" t="n">
        <v>0.005882</v>
      </c>
      <c r="G70" s="141" t="n">
        <v>7008.5</v>
      </c>
      <c r="H70" s="141">
        <f>ROUND(F70*G70,2)</f>
        <v/>
      </c>
    </row>
    <row r="71" ht="31.35" customFormat="1" customHeight="1" s="95">
      <c r="A71" s="131" t="n">
        <v>57</v>
      </c>
      <c r="B71" s="131" t="n"/>
      <c r="C71" s="18" t="inlineStr">
        <is>
          <t>11.1.03.05-0086</t>
        </is>
      </c>
      <c r="D71" s="132" t="inlineStr">
        <is>
          <t>Доска необрезная, хвойных пород, длина 4-6,5 м, все ширины, толщина 44 мм и более, сорт IV</t>
        </is>
      </c>
      <c r="E71" s="131" t="inlineStr">
        <is>
          <t>м3</t>
        </is>
      </c>
      <c r="F71" s="131" t="n">
        <v>0.0501594</v>
      </c>
      <c r="G71" s="141" t="n">
        <v>550</v>
      </c>
      <c r="H71" s="141">
        <f>ROUND(F71*G71,2)</f>
        <v/>
      </c>
    </row>
    <row r="72" ht="15.6" customFormat="1" customHeight="1" s="95">
      <c r="A72" s="131" t="n">
        <v>58</v>
      </c>
      <c r="B72" s="131" t="n"/>
      <c r="C72" s="18" t="inlineStr">
        <is>
          <t>01.7.03.01-0001</t>
        </is>
      </c>
      <c r="D72" s="132" t="inlineStr">
        <is>
          <t>Вода</t>
        </is>
      </c>
      <c r="E72" s="131" t="inlineStr">
        <is>
          <t>м3</t>
        </is>
      </c>
      <c r="F72" s="131" t="n">
        <v>6.0369574</v>
      </c>
      <c r="G72" s="141" t="n">
        <v>2.44</v>
      </c>
      <c r="H72" s="141">
        <f>ROUND(F72*G72,2)</f>
        <v/>
      </c>
    </row>
    <row r="73" ht="31.35" customFormat="1" customHeight="1" s="95">
      <c r="A73" s="131" t="n">
        <v>59</v>
      </c>
      <c r="B73" s="131" t="n"/>
      <c r="C73" s="18" t="inlineStr">
        <is>
          <t>01.7.15.03-0014</t>
        </is>
      </c>
      <c r="D73" s="132" t="inlineStr">
        <is>
          <t>Болты с гайками и шайбами для санитарно-технических работ, диаметр 16 мм</t>
        </is>
      </c>
      <c r="E73" s="131" t="inlineStr">
        <is>
          <t>т</t>
        </is>
      </c>
      <c r="F73" s="131" t="n">
        <v>0.0008</v>
      </c>
      <c r="G73" s="141" t="n">
        <v>14830</v>
      </c>
      <c r="H73" s="141">
        <f>ROUND(F73*G73,2)</f>
        <v/>
      </c>
    </row>
    <row r="74" ht="15.6" customFormat="1" customHeight="1" s="95">
      <c r="A74" s="131" t="n">
        <v>60</v>
      </c>
      <c r="B74" s="131" t="n"/>
      <c r="C74" s="18" t="inlineStr">
        <is>
          <t>01.7.07.29-0031</t>
        </is>
      </c>
      <c r="D74" s="132" t="inlineStr">
        <is>
          <t>Каболка</t>
        </is>
      </c>
      <c r="E74" s="131" t="inlineStr">
        <is>
          <t>т</t>
        </is>
      </c>
      <c r="F74" s="131" t="n">
        <v>0.0003</v>
      </c>
      <c r="G74" s="141" t="n">
        <v>30030</v>
      </c>
      <c r="H74" s="141">
        <f>ROUND(F74*G74,2)</f>
        <v/>
      </c>
    </row>
    <row r="75" ht="15.6" customFormat="1" customHeight="1" s="95">
      <c r="A75" s="131" t="n">
        <v>61</v>
      </c>
      <c r="B75" s="131" t="n"/>
      <c r="C75" s="18" t="inlineStr">
        <is>
          <t>01.7.15.06-0111</t>
        </is>
      </c>
      <c r="D75" s="132" t="inlineStr">
        <is>
          <t>Гвозди строительные</t>
        </is>
      </c>
      <c r="E75" s="131" t="inlineStr">
        <is>
          <t>т</t>
        </is>
      </c>
      <c r="F75" s="131" t="n">
        <v>0.0004898</v>
      </c>
      <c r="G75" s="141" t="n">
        <v>11978</v>
      </c>
      <c r="H75" s="141">
        <f>ROUND(F75*G75,2)</f>
        <v/>
      </c>
    </row>
    <row r="76" ht="15.6" customFormat="1" customHeight="1" s="95">
      <c r="A76" s="131" t="n">
        <v>62</v>
      </c>
      <c r="B76" s="131" t="n"/>
      <c r="C76" s="18" t="inlineStr">
        <is>
          <t>08.1.02.11-0001</t>
        </is>
      </c>
      <c r="D76" s="132" t="inlineStr">
        <is>
          <t>Поковки из квадратных заготовок, масса 1,8 кг</t>
        </is>
      </c>
      <c r="E76" s="131" t="inlineStr">
        <is>
          <t>т</t>
        </is>
      </c>
      <c r="F76" s="131" t="n">
        <v>0.0002898</v>
      </c>
      <c r="G76" s="141" t="n">
        <v>5989</v>
      </c>
      <c r="H76" s="141">
        <f>ROUND(F76*G76,2)</f>
        <v/>
      </c>
    </row>
    <row r="77" ht="15.6" customFormat="1" customHeight="1" s="95">
      <c r="A77" s="131" t="n">
        <v>63</v>
      </c>
      <c r="B77" s="131" t="n"/>
      <c r="C77" s="18" t="inlineStr">
        <is>
          <t>11.2.13.04-0012</t>
        </is>
      </c>
      <c r="D77" s="132" t="inlineStr">
        <is>
          <t>Щиты из досок, толщина 40 мм</t>
        </is>
      </c>
      <c r="E77" s="131" t="inlineStr">
        <is>
          <t>м2</t>
        </is>
      </c>
      <c r="F77" s="131" t="n">
        <v>0.02304</v>
      </c>
      <c r="G77" s="141" t="n">
        <v>57.63</v>
      </c>
      <c r="H77" s="141">
        <f>ROUND(F77*G77,2)</f>
        <v/>
      </c>
    </row>
    <row r="78" ht="15.6" customFormat="1" customHeight="1" s="95">
      <c r="A78" s="131" t="n">
        <v>64</v>
      </c>
      <c r="B78" s="131" t="n"/>
      <c r="C78" s="18" t="inlineStr">
        <is>
          <t>01.7.19.07-0006</t>
        </is>
      </c>
      <c r="D78" s="132" t="inlineStr">
        <is>
          <t>Резина техническая листовая прессованная</t>
        </is>
      </c>
      <c r="E78" s="131" t="inlineStr">
        <is>
          <t>кг</t>
        </is>
      </c>
      <c r="F78" s="131" t="n">
        <v>0.1339874</v>
      </c>
      <c r="G78" s="141" t="n">
        <v>7.8</v>
      </c>
      <c r="H78" s="141">
        <f>ROUND(F78*G78,2)</f>
        <v/>
      </c>
    </row>
    <row r="79" ht="15.6" customFormat="1" customHeight="1" s="95">
      <c r="A79" s="131" t="n">
        <v>65</v>
      </c>
      <c r="B79" s="131" t="n"/>
      <c r="C79" s="18" t="inlineStr">
        <is>
          <t>12.1.02.06-0012</t>
        </is>
      </c>
      <c r="D79" s="132" t="inlineStr">
        <is>
          <t>Рубероид кровельный РКК-350</t>
        </is>
      </c>
      <c r="E79" s="131" t="inlineStr">
        <is>
          <t>м2</t>
        </is>
      </c>
      <c r="F79" s="131" t="n">
        <v>0.1385029</v>
      </c>
      <c r="G79" s="141" t="n">
        <v>7.46</v>
      </c>
      <c r="H79" s="141">
        <f>ROUND(F79*G79,2)</f>
        <v/>
      </c>
    </row>
    <row r="80" ht="15.6" customFormat="1" customHeight="1" s="95">
      <c r="A80" s="131" t="n">
        <v>66</v>
      </c>
      <c r="B80" s="131" t="n"/>
      <c r="C80" s="18" t="inlineStr">
        <is>
          <t>01.3.01.03-0002</t>
        </is>
      </c>
      <c r="D80" s="132" t="inlineStr">
        <is>
          <t>Керосин для технических целей</t>
        </is>
      </c>
      <c r="E80" s="131" t="inlineStr">
        <is>
          <t>т</t>
        </is>
      </c>
      <c r="F80" s="131" t="n">
        <v>0.0003835</v>
      </c>
      <c r="G80" s="141" t="n">
        <v>2606.9</v>
      </c>
      <c r="H80" s="141">
        <f>ROUND(F80*G80,2)</f>
        <v/>
      </c>
    </row>
    <row r="81" ht="15.6" customFormat="1" customHeight="1" s="95">
      <c r="A81" s="131" t="n">
        <v>67</v>
      </c>
      <c r="B81" s="131" t="n"/>
      <c r="C81" s="18" t="inlineStr">
        <is>
          <t>01.7.20.08-0051</t>
        </is>
      </c>
      <c r="D81" s="132" t="inlineStr">
        <is>
          <t>Ветошь</t>
        </is>
      </c>
      <c r="E81" s="131" t="inlineStr">
        <is>
          <t>кг</t>
        </is>
      </c>
      <c r="F81" s="131" t="n">
        <v>0.510898</v>
      </c>
      <c r="G81" s="141" t="n">
        <v>1.82</v>
      </c>
      <c r="H81" s="141">
        <f>ROUND(F81*G81,2)</f>
        <v/>
      </c>
    </row>
    <row r="82" ht="31.35" customFormat="1" customHeight="1" s="95">
      <c r="A82" s="131" t="n">
        <v>68</v>
      </c>
      <c r="B82" s="131" t="n"/>
      <c r="C82" s="18" t="inlineStr">
        <is>
          <t>01.7.19.04-0031</t>
        </is>
      </c>
      <c r="D82" s="132" t="inlineStr">
        <is>
          <t>Прокладки резиновые (пластина техническая прессованная)</t>
        </is>
      </c>
      <c r="E82" s="131" t="inlineStr">
        <is>
          <t>кг</t>
        </is>
      </c>
      <c r="F82" s="131" t="n">
        <v>0.04</v>
      </c>
      <c r="G82" s="141" t="n">
        <v>23.09</v>
      </c>
      <c r="H82" s="141">
        <f>ROUND(F82*G82,2)</f>
        <v/>
      </c>
    </row>
    <row r="83" ht="15.6" customFormat="1" customHeight="1" s="95">
      <c r="A83" s="131" t="n">
        <v>69</v>
      </c>
      <c r="B83" s="131" t="n"/>
      <c r="C83" s="18" t="inlineStr">
        <is>
          <t>01.7.07.12-0024</t>
        </is>
      </c>
      <c r="D83" s="132" t="inlineStr">
        <is>
          <t>Пленка полиэтиленовая, толщина 0,15 мм</t>
        </is>
      </c>
      <c r="E83" s="131" t="inlineStr">
        <is>
          <t>м2</t>
        </is>
      </c>
      <c r="F83" s="131" t="n">
        <v>0.192</v>
      </c>
      <c r="G83" s="141" t="n">
        <v>3.62</v>
      </c>
      <c r="H83" s="141">
        <f>ROUND(F83*G83,2)</f>
        <v/>
      </c>
    </row>
    <row r="84" ht="15.6" customFormat="1" customHeight="1" s="95">
      <c r="A84" s="131" t="n">
        <v>70</v>
      </c>
      <c r="B84" s="131" t="n"/>
      <c r="C84" s="18" t="inlineStr">
        <is>
          <t>01.7.11.07-0032</t>
        </is>
      </c>
      <c r="D84" s="132" t="inlineStr">
        <is>
          <t>Электроды сварочные Э42, диаметр 4 мм</t>
        </is>
      </c>
      <c r="E84" s="131" t="inlineStr">
        <is>
          <t>т</t>
        </is>
      </c>
      <c r="F84" s="131" t="n">
        <v>3.2e-05</v>
      </c>
      <c r="G84" s="141" t="n">
        <v>10315.01</v>
      </c>
      <c r="H84" s="141">
        <f>ROUND(F84*G84,2)</f>
        <v/>
      </c>
    </row>
    <row r="85" ht="31.35" customFormat="1" customHeight="1" s="95">
      <c r="A85" s="131" t="n">
        <v>71</v>
      </c>
      <c r="B85" s="131" t="n"/>
      <c r="C85" s="18" t="inlineStr">
        <is>
          <t>08.3.03.06-0002</t>
        </is>
      </c>
      <c r="D85" s="132" t="inlineStr">
        <is>
          <t>Проволока горячекатаная в мотках, диаметр 6,3-6,5 мм</t>
        </is>
      </c>
      <c r="E85" s="131" t="inlineStr">
        <is>
          <t>т</t>
        </is>
      </c>
      <c r="F85" s="131" t="n">
        <v>6.53e-05</v>
      </c>
      <c r="G85" s="141" t="n">
        <v>4455.2</v>
      </c>
      <c r="H85" s="141">
        <f>ROUND(F85*G85,2)</f>
        <v/>
      </c>
    </row>
    <row r="86" ht="46.9" customFormat="1" customHeight="1" s="95">
      <c r="A86" s="131" t="n">
        <v>72</v>
      </c>
      <c r="B86" s="131" t="n"/>
      <c r="C86" s="18" t="inlineStr">
        <is>
          <t>11.1.03.06-0095</t>
        </is>
      </c>
      <c r="D86" s="132" t="inlineStr">
        <is>
          <t>Доска обрезная, хвойных пород, ширина 75-150 мм, толщина 44 мм и более, длина 4-6,5 м, сорт III</t>
        </is>
      </c>
      <c r="E86" s="131" t="inlineStr">
        <is>
          <t>м3</t>
        </is>
      </c>
      <c r="F86" s="131" t="n">
        <v>0.000256</v>
      </c>
      <c r="G86" s="141" t="n">
        <v>1056</v>
      </c>
      <c r="H86" s="141">
        <f>ROUND(F86*G86,2)</f>
        <v/>
      </c>
    </row>
    <row r="87" ht="31.35" customFormat="1" customHeight="1" s="95">
      <c r="A87" s="131" t="n">
        <v>73</v>
      </c>
      <c r="B87" s="131" t="n"/>
      <c r="C87" s="18" t="inlineStr">
        <is>
          <t>05.1.08.14-1018</t>
        </is>
      </c>
      <c r="D87" s="132" t="inlineStr">
        <is>
          <t>Профиль гидроизолирующий для рабочих швов в монолитных железобетонных конструкциях</t>
        </is>
      </c>
      <c r="E87" s="131" t="inlineStr">
        <is>
          <t>м</t>
        </is>
      </c>
      <c r="F87" s="131" t="n">
        <v>0.004446</v>
      </c>
      <c r="G87" s="141" t="n">
        <v>53.61</v>
      </c>
      <c r="H87" s="141">
        <f>ROUND(F87*G87,2)</f>
        <v/>
      </c>
    </row>
    <row r="88" ht="62.45" customFormat="1" customHeight="1" s="95">
      <c r="A88" s="131" t="n">
        <v>74</v>
      </c>
      <c r="B88" s="131" t="n"/>
      <c r="C88" s="18" t="inlineStr">
        <is>
          <t>04.3.02.09-1092</t>
        </is>
      </c>
      <c r="D88" s="132" t="inlineStr">
        <is>
      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      </is>
      </c>
      <c r="E88" s="131" t="inlineStr">
        <is>
          <t>шт</t>
        </is>
      </c>
      <c r="F88" s="131" t="n">
        <v>0.000219</v>
      </c>
      <c r="G88" s="141" t="n">
        <v>506.63</v>
      </c>
      <c r="H88" s="141">
        <f>ROUND(F88*G88,2)</f>
        <v/>
      </c>
    </row>
    <row r="89" ht="46.9" customFormat="1" customHeight="1" s="95">
      <c r="A89" s="131" t="n">
        <v>75</v>
      </c>
      <c r="B89" s="131" t="n"/>
      <c r="C89" s="18" t="inlineStr">
        <is>
          <t>04.3.02.09-1056</t>
        </is>
      </c>
      <c r="D89" s="132" t="inlineStr">
        <is>
          <t>Смеси сухие безусадочные, быстротвердеющие, для восстановления, гидроизоляции и ремонта бетонных покрытий, с заполнителем 3 мм, М500</t>
        </is>
      </c>
      <c r="E89" s="131" t="inlineStr">
        <is>
          <t>кг</t>
        </is>
      </c>
      <c r="F89" s="131" t="n">
        <v>0.0180335</v>
      </c>
      <c r="G89" s="141" t="n">
        <v>6.17</v>
      </c>
      <c r="H89" s="141">
        <f>ROUND(F89*G89,2)</f>
        <v/>
      </c>
    </row>
    <row r="90" ht="15.6" customFormat="1" customHeight="1" s="95">
      <c r="A90" s="131" t="n">
        <v>76</v>
      </c>
      <c r="B90" s="131" t="n"/>
      <c r="C90" s="18" t="inlineStr">
        <is>
          <t>03.1.02.03-0011</t>
        </is>
      </c>
      <c r="D90" s="132" t="inlineStr">
        <is>
          <t>Известь строительная негашеная комовая, сорт I</t>
        </is>
      </c>
      <c r="E90" s="131" t="inlineStr">
        <is>
          <t>т</t>
        </is>
      </c>
      <c r="F90" s="131" t="n">
        <v>6.4e-05</v>
      </c>
      <c r="G90" s="141" t="n">
        <v>734.5</v>
      </c>
      <c r="H90" s="141">
        <f>ROUND(F90*G90,2)</f>
        <v/>
      </c>
    </row>
    <row r="91" ht="31.35" customFormat="1" customHeight="1" s="95">
      <c r="A91" s="131" t="n">
        <v>77</v>
      </c>
      <c r="B91" s="131" t="n"/>
      <c r="C91" s="18" t="inlineStr">
        <is>
          <t>12.2.07.05-0044</t>
        </is>
      </c>
      <c r="D91" s="132" t="inlineStr">
        <is>
          <t>Трубки из вспененного полиэтилена, внутренний диаметр 30 мм, толщина 9 мм</t>
        </is>
      </c>
      <c r="E91" s="131" t="inlineStr">
        <is>
          <t>100 м</t>
        </is>
      </c>
      <c r="F91" s="131" t="n">
        <v>4.8e-05</v>
      </c>
      <c r="G91" s="141" t="n">
        <v>342.82</v>
      </c>
      <c r="H91" s="141">
        <f>ROUND(F91*G91,2)</f>
        <v/>
      </c>
    </row>
    <row r="92" ht="15.6" customFormat="1" customHeight="1" s="95">
      <c r="A92" s="131" t="n">
        <v>78</v>
      </c>
      <c r="B92" s="131" t="n"/>
      <c r="C92" s="18" t="inlineStr">
        <is>
          <t>14.5.01.10-0003</t>
        </is>
      </c>
      <c r="D92" s="132" t="inlineStr">
        <is>
          <t>Пена монтажная</t>
        </is>
      </c>
      <c r="E92" s="131" t="inlineStr">
        <is>
          <t>л</t>
        </is>
      </c>
      <c r="F92" s="131" t="n">
        <v>0.0002685</v>
      </c>
      <c r="G92" s="141" t="n">
        <v>46.86</v>
      </c>
      <c r="H92" s="141">
        <f>ROUND(F92*G92,2)</f>
        <v/>
      </c>
    </row>
    <row r="93" ht="46.9" customFormat="1" customHeight="1" s="95">
      <c r="A93" s="131" t="n">
        <v>79</v>
      </c>
      <c r="B93" s="131" t="n"/>
      <c r="C93" s="18" t="inlineStr">
        <is>
          <t>14.3.01.01-0001</t>
        </is>
      </c>
      <c r="D93" s="132" t="inlineStr">
        <is>
          <t>Грунтовка адгезионная для обработки плотных, гладких, слабо-и не впитывающих влагу оснований</t>
        </is>
      </c>
      <c r="E93" s="131" t="inlineStr">
        <is>
          <t>кг</t>
        </is>
      </c>
      <c r="F93" s="131" t="n">
        <v>0.0001228</v>
      </c>
      <c r="G93" s="141" t="n">
        <v>15.09</v>
      </c>
      <c r="H93" s="141">
        <f>ROUND(F93*G93,2)</f>
        <v/>
      </c>
    </row>
    <row r="94" ht="15.6" customFormat="1" customHeight="1" s="95"/>
    <row r="95" ht="15.6" customFormat="1" customHeight="1" s="95"/>
    <row r="96" ht="15.6" customFormat="1" customHeight="1" s="95"/>
    <row r="97" ht="15.6" customFormat="1" customHeight="1" s="95"/>
    <row r="98" ht="15.6" customFormat="1" customHeight="1" s="95">
      <c r="B98" s="95" t="inlineStr">
        <is>
          <t>Составил ______________________        М.С. Колотиевская</t>
        </is>
      </c>
    </row>
    <row r="99" ht="15.6" customFormat="1" customHeight="1" s="95">
      <c r="B99" s="5" t="inlineStr">
        <is>
          <t xml:space="preserve">                         (подпись, инициалы, фамилия)</t>
        </is>
      </c>
    </row>
    <row r="100" ht="15.6" customFormat="1" customHeight="1" s="95"/>
    <row r="101" ht="15.6" customFormat="1" customHeight="1" s="95">
      <c r="B101" s="95" t="inlineStr">
        <is>
          <t>Проверил ______________________       М.С. Колотиевская</t>
        </is>
      </c>
    </row>
    <row r="102" ht="15.6" customFormat="1" customHeight="1" s="95">
      <c r="B102" s="5" t="inlineStr">
        <is>
          <t xml:space="preserve">                        (подпись, инициалы, фамилия)</t>
        </is>
      </c>
    </row>
    <row r="103" ht="15.6" customFormat="1" customHeight="1" s="95"/>
  </sheetData>
  <mergeCells count="15">
    <mergeCell ref="A3:H3"/>
    <mergeCell ref="A8:A9"/>
    <mergeCell ref="E8:E9"/>
    <mergeCell ref="A26:E26"/>
    <mergeCell ref="C8:C9"/>
    <mergeCell ref="F8:F9"/>
    <mergeCell ref="A2:H2"/>
    <mergeCell ref="A28:E28"/>
    <mergeCell ref="A11:E11"/>
    <mergeCell ref="D8:D9"/>
    <mergeCell ref="A47:E47"/>
    <mergeCell ref="B8:B9"/>
    <mergeCell ref="C4:H4"/>
    <mergeCell ref="G8:H8"/>
    <mergeCell ref="A6:H6"/>
  </mergeCells>
  <conditionalFormatting sqref="F10:F93">
    <cfRule type="expression" priority="1" dxfId="0" stopIfTrue="1">
      <formula>ROUND(F10*10000,0)/10000=F10</formula>
    </cfRule>
  </conditionalFormatting>
  <printOptions gridLines="0" gridLinesSet="1"/>
  <pageMargins left="0.7" right="0.7" top="0.75" bottom="0.75" header="0.3" footer="0.3"/>
  <pageSetup orientation="portrait" paperSize="9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showGridLines="1" showRowColHeaders="1" tabSelected="0" workbookViewId="0">
      <selection activeCell="B8" sqref="B8:E8"/>
    </sheetView>
  </sheetViews>
  <sheetFormatPr baseColWidth="8" defaultColWidth="9.140625" defaultRowHeight="14.4" outlineLevelRow="0"/>
  <cols>
    <col width="4.140625" customWidth="1" style="93" min="1" max="1"/>
    <col width="36.42578125" customWidth="1" style="93" min="2" max="2"/>
    <col width="18.85546875" customWidth="1" style="93" min="3" max="3"/>
    <col width="18.42578125" customWidth="1" style="93" min="4" max="4"/>
    <col width="20.85546875" customWidth="1" style="93" min="5" max="5"/>
    <col width="13.42578125" customWidth="1" style="93" min="11" max="11"/>
  </cols>
  <sheetData>
    <row r="1" ht="15.6" customHeight="1" s="93">
      <c r="A1" s="40" t="n"/>
      <c r="B1" s="95" t="n"/>
      <c r="C1" s="95" t="n"/>
      <c r="D1" s="95" t="n"/>
      <c r="E1" s="95" t="n"/>
    </row>
    <row r="2" ht="15.6" customHeight="1" s="93">
      <c r="B2" s="95" t="n"/>
      <c r="C2" s="95" t="n"/>
      <c r="D2" s="95" t="n"/>
      <c r="E2" s="136" t="inlineStr">
        <is>
          <t>Приложение № 4</t>
        </is>
      </c>
    </row>
    <row r="3" ht="15.6" customHeight="1" s="93">
      <c r="B3" s="95" t="n"/>
      <c r="C3" s="95" t="n"/>
      <c r="D3" s="95" t="n"/>
      <c r="E3" s="95" t="n"/>
    </row>
    <row r="4" ht="15.6" customHeight="1" s="93">
      <c r="B4" s="95" t="n"/>
      <c r="C4" s="95" t="n"/>
      <c r="D4" s="95" t="n"/>
      <c r="E4" s="95" t="n"/>
    </row>
    <row r="5" ht="15.6" customHeight="1" s="93">
      <c r="B5" s="154" t="inlineStr">
        <is>
          <t>Ресурсная модель</t>
        </is>
      </c>
    </row>
    <row r="6" ht="15.6" customHeight="1" s="93">
      <c r="B6" s="119" t="n"/>
      <c r="C6" s="95" t="n"/>
      <c r="D6" s="95" t="n"/>
      <c r="E6" s="95" t="n"/>
    </row>
    <row r="7" ht="15.6" customHeight="1" s="93">
      <c r="B7" s="129" t="inlineStr">
        <is>
          <t>Наименование разрабатываемой расценки УНЦ —  Демонтаж наружных сетей водопровода/канализации</t>
        </is>
      </c>
    </row>
    <row r="8" ht="15.6" customHeight="1" s="93">
      <c r="B8" s="129">
        <f>'Прил.2 Расч стоим'!B7:K7</f>
        <v/>
      </c>
    </row>
    <row r="9">
      <c r="B9" s="41" t="n"/>
      <c r="C9" s="81" t="n"/>
      <c r="D9" s="81" t="n"/>
      <c r="E9" s="81" t="n"/>
    </row>
    <row r="10" ht="62.45" customFormat="1" customHeight="1" s="95">
      <c r="B10" s="153" t="inlineStr">
        <is>
          <t>Наименование</t>
        </is>
      </c>
      <c r="C10" s="153" t="inlineStr">
        <is>
          <t>Сметная стоимость в ценах на 01.01.2023
 (руб.)</t>
        </is>
      </c>
      <c r="D10" s="153" t="inlineStr">
        <is>
          <t>Удельный вес, 
(в СМР)</t>
        </is>
      </c>
      <c r="E10" s="153" t="inlineStr">
        <is>
          <t>Удельный вес, % 
(от всего по РМ)</t>
        </is>
      </c>
    </row>
    <row r="11" ht="15" customFormat="1" customHeight="1" s="95">
      <c r="B11" s="140" t="inlineStr">
        <is>
          <t>Оплата труда рабочих</t>
        </is>
      </c>
      <c r="C11" s="42">
        <f>'Прил.5 Расчет СМР и ОБ'!J15</f>
        <v/>
      </c>
      <c r="D11" s="43">
        <f>C11/C24</f>
        <v/>
      </c>
      <c r="E11" s="43">
        <f>C11/C40</f>
        <v/>
      </c>
    </row>
    <row r="12" ht="15" customFormat="1" customHeight="1" s="95">
      <c r="B12" s="140" t="inlineStr">
        <is>
          <t>Эксплуатация машин основных</t>
        </is>
      </c>
      <c r="C12" s="42">
        <f>'Прил.5 Расчет СМР и ОБ'!J26</f>
        <v/>
      </c>
      <c r="D12" s="43">
        <f>C12/C24</f>
        <v/>
      </c>
      <c r="E12" s="43">
        <f>C12/C40</f>
        <v/>
      </c>
    </row>
    <row r="13" ht="15" customFormat="1" customHeight="1" s="95">
      <c r="B13" s="140" t="inlineStr">
        <is>
          <t>Эксплуатация машин прочих</t>
        </is>
      </c>
      <c r="C13" s="42">
        <f>'Прил.5 Расчет СМР и ОБ'!J42</f>
        <v/>
      </c>
      <c r="D13" s="43">
        <f>C13/C24</f>
        <v/>
      </c>
      <c r="E13" s="43">
        <f>C13/C40</f>
        <v/>
      </c>
    </row>
    <row r="14" ht="15" customFormat="1" customHeight="1" s="95">
      <c r="B14" s="140" t="inlineStr">
        <is>
          <t>ЭКСПЛУАТАЦИЯ МАШИН, ВСЕГО:</t>
        </is>
      </c>
      <c r="C14" s="42">
        <f>C13+C12</f>
        <v/>
      </c>
      <c r="D14" s="43">
        <f>C14/C24</f>
        <v/>
      </c>
      <c r="E14" s="43">
        <f>C14/C40</f>
        <v/>
      </c>
    </row>
    <row r="15" ht="15" customFormat="1" customHeight="1" s="95">
      <c r="B15" s="140" t="inlineStr">
        <is>
          <t>в том числе зарплата машинистов</t>
        </is>
      </c>
      <c r="C15" s="42">
        <f>'Прил.5 Расчет СМР и ОБ'!J18</f>
        <v/>
      </c>
      <c r="D15" s="43">
        <f>C15/C24</f>
        <v/>
      </c>
      <c r="E15" s="43">
        <f>C15/C40</f>
        <v/>
      </c>
    </row>
    <row r="16" ht="15" customFormat="1" customHeight="1" s="95">
      <c r="B16" s="140" t="inlineStr">
        <is>
          <t>Материалы основные</t>
        </is>
      </c>
      <c r="C16" s="42">
        <f>'Прил.5 Расчет СМР и ОБ'!J53</f>
        <v/>
      </c>
      <c r="D16" s="43">
        <f>C16/C24</f>
        <v/>
      </c>
      <c r="E16" s="43">
        <f>C16/C40</f>
        <v/>
      </c>
    </row>
    <row r="17" ht="15" customFormat="1" customHeight="1" s="95">
      <c r="B17" s="140" t="inlineStr">
        <is>
          <t>Материалы прочие</t>
        </is>
      </c>
      <c r="C17" s="42">
        <f>'Прил.5 Расчет СМР и ОБ'!J54</f>
        <v/>
      </c>
      <c r="D17" s="43">
        <f>C17/C24</f>
        <v/>
      </c>
      <c r="E17" s="43">
        <f>C17/C40</f>
        <v/>
      </c>
    </row>
    <row r="18" ht="15" customFormat="1" customHeight="1" s="95">
      <c r="B18" s="140" t="inlineStr">
        <is>
          <t>МАТЕРИАЛЫ, ВСЕГО:</t>
        </is>
      </c>
      <c r="C18" s="42">
        <f>C17+C16</f>
        <v/>
      </c>
      <c r="D18" s="43">
        <f>C18/C24</f>
        <v/>
      </c>
      <c r="E18" s="43">
        <f>C18/C40</f>
        <v/>
      </c>
    </row>
    <row r="19" ht="15" customFormat="1" customHeight="1" s="95">
      <c r="B19" s="140" t="inlineStr">
        <is>
          <t>ИТОГО</t>
        </is>
      </c>
      <c r="C19" s="42">
        <f>C18+C14+C11</f>
        <v/>
      </c>
      <c r="D19" s="43">
        <f>C19/C24</f>
        <v/>
      </c>
      <c r="E19" s="44">
        <f>C19/C40</f>
        <v/>
      </c>
    </row>
    <row r="20" ht="15" customFormat="1" customHeight="1" s="95">
      <c r="B20" s="140" t="inlineStr">
        <is>
          <t>Сметная прибыль, руб.</t>
        </is>
      </c>
      <c r="C20" s="42">
        <f>'Прил.5 Расчет СМР и ОБ'!J61</f>
        <v/>
      </c>
      <c r="D20" s="43">
        <f>C20/C24</f>
        <v/>
      </c>
      <c r="E20" s="43">
        <f>C20/C40</f>
        <v/>
      </c>
    </row>
    <row r="21" ht="15" customFormat="1" customHeight="1" s="95">
      <c r="B21" s="140" t="inlineStr">
        <is>
          <t>Сметная прибыль, %</t>
        </is>
      </c>
      <c r="C21" s="45">
        <f>C20/(C11+C15)</f>
        <v/>
      </c>
      <c r="D21" s="43" t="n"/>
      <c r="E21" s="44" t="n"/>
    </row>
    <row r="22" ht="15" customFormat="1" customHeight="1" s="95">
      <c r="B22" s="140" t="inlineStr">
        <is>
          <t>Накладные расходы, руб.</t>
        </is>
      </c>
      <c r="C22" s="42">
        <f>'Прил.5 Расчет СМР и ОБ'!J59</f>
        <v/>
      </c>
      <c r="D22" s="43">
        <f>C22/C24</f>
        <v/>
      </c>
      <c r="E22" s="43">
        <f>C22/C40</f>
        <v/>
      </c>
    </row>
    <row r="23" ht="15" customFormat="1" customHeight="1" s="95">
      <c r="B23" s="140" t="inlineStr">
        <is>
          <t>Накладные расходы, %</t>
        </is>
      </c>
      <c r="C23" s="45">
        <f>C22/(C11+C15)</f>
        <v/>
      </c>
      <c r="D23" s="43" t="n"/>
      <c r="E23" s="44" t="n"/>
    </row>
    <row r="24" ht="15" customFormat="1" customHeight="1" s="95">
      <c r="B24" s="140" t="inlineStr">
        <is>
          <t>ВСЕГО СМР с НР и СП</t>
        </is>
      </c>
      <c r="C24" s="42">
        <f>C19+C20+C22</f>
        <v/>
      </c>
      <c r="D24" s="43">
        <f>C24/C24</f>
        <v/>
      </c>
      <c r="E24" s="43">
        <f>C24/C40</f>
        <v/>
      </c>
    </row>
    <row r="25" ht="31.35" customFormat="1" customHeight="1" s="95">
      <c r="B25" s="140" t="inlineStr">
        <is>
          <t>ВСЕГО стоимость оборудования, в том числе</t>
        </is>
      </c>
      <c r="C25" s="42">
        <f>'Прил.5 Расчет СМР и ОБ'!J49</f>
        <v/>
      </c>
      <c r="D25" s="43" t="n"/>
      <c r="E25" s="43">
        <f>C25/C40</f>
        <v/>
      </c>
    </row>
    <row r="26" ht="31.35" customFormat="1" customHeight="1" s="95">
      <c r="B26" s="140" t="inlineStr">
        <is>
          <t>стоимость оборудования технологического</t>
        </is>
      </c>
      <c r="C26" s="42">
        <f>C25</f>
        <v/>
      </c>
      <c r="D26" s="43" t="n"/>
      <c r="E26" s="43">
        <f>C26/C40</f>
        <v/>
      </c>
    </row>
    <row r="27" ht="15" customFormat="1" customHeight="1" s="95">
      <c r="B27" s="140" t="inlineStr">
        <is>
          <t>ИТОГО (СМР + ОБОРУДОВАНИЕ)</t>
        </is>
      </c>
      <c r="C27" s="46">
        <f>C24+C25</f>
        <v/>
      </c>
      <c r="D27" s="43" t="n"/>
      <c r="E27" s="43">
        <f>C27/C40</f>
        <v/>
      </c>
    </row>
    <row r="28" ht="33" customFormat="1" customHeight="1" s="95">
      <c r="B28" s="140" t="inlineStr">
        <is>
          <t>ПРОЧ. ЗАТР., УЧТЕННЫЕ ПОКАЗАТЕЛЕМ,  в том числе</t>
        </is>
      </c>
      <c r="C28" s="140" t="n"/>
      <c r="D28" s="44" t="n"/>
      <c r="E28" s="44" t="n"/>
    </row>
    <row r="29" ht="31.35" customFormat="1" customHeight="1" s="95">
      <c r="B29" s="140" t="inlineStr">
        <is>
          <t>Временные здания и сооружения - 3,9%</t>
        </is>
      </c>
      <c r="C29" s="46">
        <f>ROUND(C24*0.039,2)</f>
        <v/>
      </c>
      <c r="D29" s="44" t="n"/>
      <c r="E29" s="43">
        <f>C29/C40</f>
        <v/>
      </c>
    </row>
    <row r="30" ht="62.45" customFormat="1" customHeight="1" s="95">
      <c r="B30" s="140" t="inlineStr">
        <is>
          <t>Дополнительные затраты при производстве строительно-монтажных работ в зимнее время - 2,1%</t>
        </is>
      </c>
      <c r="C30" s="46">
        <f>ROUND((C24+C29)*0.021,2)</f>
        <v/>
      </c>
      <c r="D30" s="44" t="n"/>
      <c r="E30" s="43">
        <f>C30/C40</f>
        <v/>
      </c>
    </row>
    <row r="31" ht="15.6" customFormat="1" customHeight="1" s="95">
      <c r="B31" s="140" t="inlineStr">
        <is>
          <t>Пусконаладочные работы</t>
        </is>
      </c>
      <c r="C31" s="46">
        <f>ROUND(C25*80%*7%,2)</f>
        <v/>
      </c>
      <c r="D31" s="44" t="n"/>
      <c r="E31" s="43">
        <f>C31/C40</f>
        <v/>
      </c>
    </row>
    <row r="32" ht="31.35" customFormat="1" customHeight="1" s="95">
      <c r="B32" s="140" t="inlineStr">
        <is>
          <t>Затраты по перевозке работников к месту работы и обратно</t>
        </is>
      </c>
      <c r="C32" s="46" t="n">
        <v>0</v>
      </c>
      <c r="D32" s="44" t="n"/>
      <c r="E32" s="43">
        <f>C32/C40</f>
        <v/>
      </c>
    </row>
    <row r="33" ht="46.9" customFormat="1" customHeight="1" s="95">
      <c r="B33" s="140" t="inlineStr">
        <is>
          <t>Затраты, связанные с осуществлением работ вахтовым методом</t>
        </is>
      </c>
      <c r="C33" s="46" t="n">
        <v>0</v>
      </c>
      <c r="D33" s="44" t="n"/>
      <c r="E33" s="43">
        <f>C33/C40</f>
        <v/>
      </c>
    </row>
    <row r="34" ht="62.45" customFormat="1" customHeight="1" s="95">
      <c r="B34" s="1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6" t="n">
        <v>0</v>
      </c>
      <c r="D34" s="44" t="n"/>
      <c r="E34" s="43">
        <f>C34/C40</f>
        <v/>
      </c>
    </row>
    <row r="35" ht="93.59999999999999" customFormat="1" customHeight="1" s="95">
      <c r="B35" s="1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6" t="n">
        <v>0</v>
      </c>
      <c r="D35" s="44" t="n"/>
      <c r="E35" s="43">
        <f>C35/C40</f>
        <v/>
      </c>
    </row>
    <row r="36" ht="46.9" customFormat="1" customHeight="1" s="95">
      <c r="B36" s="47" t="inlineStr">
        <is>
          <t>Строительный контроль и содержание службы заказчика - 2,14%</t>
        </is>
      </c>
      <c r="C36" s="48">
        <f>ROUND((C27+C29+C31+C30)*0.0214,2)</f>
        <v/>
      </c>
      <c r="D36" s="49" t="n"/>
      <c r="E36" s="50">
        <f>C36/C40</f>
        <v/>
      </c>
      <c r="K36" s="36" t="n"/>
    </row>
    <row r="37" ht="15.6" customFormat="1" customHeight="1" s="95">
      <c r="B37" s="144" t="inlineStr">
        <is>
          <t>Авторский надзор - 0,2%</t>
        </is>
      </c>
      <c r="C37" s="144">
        <f>ROUND((C27+C29+C30+C31)*0.002,2)</f>
        <v/>
      </c>
      <c r="D37" s="51" t="n"/>
      <c r="E37" s="51">
        <f>C37/C40</f>
        <v/>
      </c>
    </row>
    <row r="38" ht="62.45" customFormat="1" customHeight="1" s="95">
      <c r="B38" s="52" t="inlineStr">
        <is>
          <t>ИТОГО (СМР+ОБОРУДОВАНИЕ+ПРОЧ. ЗАТР., УЧТЕННЫЕ ПОКАЗАТЕЛЕМ)</t>
        </is>
      </c>
      <c r="C38" s="53">
        <f>C27+C29+C30+C31+C36+C37</f>
        <v/>
      </c>
      <c r="D38" s="54" t="n"/>
      <c r="E38" s="55">
        <f>C38/C40</f>
        <v/>
      </c>
    </row>
    <row r="39" ht="15.6" customFormat="1" customHeight="1" s="95">
      <c r="B39" s="140" t="inlineStr">
        <is>
          <t>Непредвиденные расходы</t>
        </is>
      </c>
      <c r="C39" s="42">
        <f>ROUND(C38*0.03,2)</f>
        <v/>
      </c>
      <c r="D39" s="44" t="n"/>
      <c r="E39" s="43">
        <f>C39/C40</f>
        <v/>
      </c>
    </row>
    <row r="40" ht="15.6" customFormat="1" customHeight="1" s="95">
      <c r="B40" s="140" t="inlineStr">
        <is>
          <t>ВСЕГО:</t>
        </is>
      </c>
      <c r="C40" s="42">
        <f>C39+C38</f>
        <v/>
      </c>
      <c r="D40" s="44" t="n"/>
      <c r="E40" s="43">
        <f>C40/C40</f>
        <v/>
      </c>
    </row>
    <row r="41" ht="31.35" customFormat="1" customHeight="1" s="95">
      <c r="B41" s="140" t="inlineStr">
        <is>
          <t>ИТОГО ПОКАЗАТЕЛЬ НА ЕД. ИЗМ.</t>
        </is>
      </c>
      <c r="C41" s="42">
        <f>C40/'Прил.5 Расчет СМР и ОБ'!E64</f>
        <v/>
      </c>
      <c r="D41" s="44" t="n"/>
      <c r="E41" s="44" t="n"/>
    </row>
    <row r="42" ht="15.6" customFormat="1" customHeight="1" s="95">
      <c r="B42" s="5" t="n"/>
    </row>
    <row r="43" ht="15.6" customFormat="1" customHeight="1" s="95">
      <c r="B43" s="5" t="inlineStr">
        <is>
          <t>Составил ____________________________ М.С. Колотиевская</t>
        </is>
      </c>
    </row>
    <row r="44" ht="15.6" customFormat="1" customHeight="1" s="95">
      <c r="B44" s="5" t="inlineStr">
        <is>
          <t xml:space="preserve">(должность, подпись, инициалы, фамилия) </t>
        </is>
      </c>
    </row>
    <row r="45" ht="15.6" customFormat="1" customHeight="1" s="95">
      <c r="B45" s="5" t="n"/>
    </row>
    <row r="46" ht="15.6" customFormat="1" customHeight="1" s="95">
      <c r="B46" s="5" t="inlineStr">
        <is>
          <t>Проверил ____________________________ М.С. Колотиевская</t>
        </is>
      </c>
    </row>
    <row r="47" ht="15.6" customFormat="1" customHeight="1" s="95">
      <c r="B47" s="129" t="inlineStr">
        <is>
          <t>(должность, подпись, инициалы, фамилия)</t>
        </is>
      </c>
      <c r="C47" s="129" t="n"/>
    </row>
    <row r="48" ht="15.6" customFormat="1" customHeight="1" s="95"/>
  </sheetData>
  <mergeCells count="3">
    <mergeCell ref="B7:E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1"/>
  <sheetViews>
    <sheetView showGridLines="1" showRowColHeaders="1" tabSelected="0" view="pageBreakPreview" workbookViewId="0">
      <selection activeCell="A7" sqref="A7:D7"/>
    </sheetView>
  </sheetViews>
  <sheetFormatPr baseColWidth="8" defaultColWidth="9.140625" defaultRowHeight="14.4" outlineLevelRow="1"/>
  <cols>
    <col width="5.5703125" customWidth="1" style="90" min="1" max="1"/>
    <col width="22.42578125" customWidth="1" style="90" min="2" max="2"/>
    <col width="39.140625" customWidth="1" style="90" min="3" max="3"/>
    <col width="10.5703125" customWidth="1" style="90" min="4" max="4"/>
    <col width="12.5703125" customWidth="1" style="90" min="5" max="5"/>
    <col width="14.42578125" customWidth="1" style="90" min="6" max="6"/>
    <col width="13.42578125" customWidth="1" style="90" min="7" max="7"/>
    <col width="12.5703125" customWidth="1" style="90" min="8" max="8"/>
    <col width="14.42578125" customWidth="1" style="90" min="9" max="9"/>
    <col width="15.140625" customWidth="1" style="90" min="10" max="10"/>
    <col width="22.42578125" customWidth="1" style="90" min="11" max="11"/>
    <col width="16.42578125" customWidth="1" style="90" min="12" max="12"/>
    <col width="10.85546875" customWidth="1" style="90" min="13" max="13"/>
    <col width="9.140625" customWidth="1" style="90" min="14" max="14"/>
  </cols>
  <sheetData>
    <row r="1" ht="13.7" customFormat="1" customHeight="1" s="90">
      <c r="A1" s="81" t="n"/>
    </row>
    <row r="2" ht="15.6" customFormat="1" customHeight="1" s="90">
      <c r="A2" s="95" t="n"/>
      <c r="B2" s="95" t="n"/>
      <c r="C2" s="95" t="n"/>
      <c r="D2" s="95" t="n"/>
      <c r="E2" s="95" t="n"/>
      <c r="F2" s="95" t="n"/>
      <c r="G2" s="95" t="n"/>
      <c r="H2" s="136" t="inlineStr">
        <is>
          <t>Приложение №5</t>
        </is>
      </c>
    </row>
    <row r="3" ht="15.6" customFormat="1" customHeight="1" s="90">
      <c r="A3" s="95" t="n"/>
      <c r="B3" s="95" t="n"/>
      <c r="C3" s="95" t="n"/>
      <c r="D3" s="95" t="n"/>
      <c r="E3" s="95" t="n"/>
      <c r="F3" s="95" t="n"/>
      <c r="G3" s="95" t="n"/>
      <c r="H3" s="95" t="n"/>
      <c r="I3" s="95" t="n"/>
      <c r="J3" s="95" t="n"/>
    </row>
    <row r="4" ht="15.6" customFormat="1" customHeight="1" s="81">
      <c r="A4" s="154" t="inlineStr">
        <is>
          <t>Расчет стоимости СМР и оборудования</t>
        </is>
      </c>
      <c r="I4" s="154" t="n"/>
      <c r="J4" s="154" t="n"/>
    </row>
    <row r="5" ht="15.6" customFormat="1" customHeight="1" s="81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customFormat="1" s="81">
      <c r="A6" s="137" t="inlineStr">
        <is>
          <t xml:space="preserve">Наименование разрабатываемого показателя УНЦ — </t>
        </is>
      </c>
      <c r="D6" s="137" t="inlineStr">
        <is>
          <t>Демонтаж наружных сетей водопровода/канализации</t>
        </is>
      </c>
    </row>
    <row r="7" ht="15.6" customFormat="1" customHeight="1" s="81">
      <c r="A7" s="129" t="inlineStr">
        <is>
          <t>Единица измерения  — пог.м</t>
        </is>
      </c>
      <c r="E7" s="25" t="n"/>
      <c r="F7" s="25" t="n"/>
      <c r="G7" s="25" t="n"/>
      <c r="H7" s="25" t="n"/>
      <c r="I7" s="25" t="n"/>
      <c r="J7" s="25" t="n"/>
    </row>
    <row r="8" ht="15.6" customFormat="1" customHeight="1" s="81">
      <c r="A8" s="95" t="n"/>
      <c r="B8" s="95" t="n"/>
      <c r="C8" s="95" t="n"/>
      <c r="D8" s="95" t="n"/>
      <c r="E8" s="95" t="n"/>
      <c r="F8" s="95" t="n"/>
      <c r="G8" s="95" t="n"/>
      <c r="H8" s="95" t="n"/>
      <c r="I8" s="95" t="n"/>
      <c r="J8" s="95" t="n"/>
    </row>
    <row r="9" ht="27" customFormat="1" customHeight="1" s="95">
      <c r="A9" s="140" t="inlineStr">
        <is>
          <t>№ пп.</t>
        </is>
      </c>
      <c r="B9" s="153" t="inlineStr">
        <is>
          <t>Код ресурса</t>
        </is>
      </c>
      <c r="C9" s="153" t="inlineStr">
        <is>
          <t>Наименование</t>
        </is>
      </c>
      <c r="D9" s="153" t="inlineStr">
        <is>
          <t>Ед. изм.</t>
        </is>
      </c>
      <c r="E9" s="153" t="inlineStr">
        <is>
          <t>Кол-во единиц по проектным данным</t>
        </is>
      </c>
      <c r="F9" s="153" t="inlineStr">
        <is>
          <t>Сметная стоимость в ценах на 01.01.2000 (руб.)</t>
        </is>
      </c>
      <c r="G9" s="160" t="n"/>
      <c r="H9" s="153" t="inlineStr">
        <is>
          <t>Удельный вес, %</t>
        </is>
      </c>
      <c r="I9" s="153" t="inlineStr">
        <is>
          <t>Сметная стоимость в ценах на 01.01.2023 (руб.)</t>
        </is>
      </c>
      <c r="J9" s="160" t="n"/>
      <c r="K9" s="3" t="n"/>
    </row>
    <row r="10" ht="28.5" customFormat="1" customHeight="1" s="95">
      <c r="A10" s="162" t="n"/>
      <c r="B10" s="162" t="n"/>
      <c r="C10" s="162" t="n"/>
      <c r="D10" s="162" t="n"/>
      <c r="E10" s="162" t="n"/>
      <c r="F10" s="153" t="inlineStr">
        <is>
          <t>на ед. изм.</t>
        </is>
      </c>
      <c r="G10" s="153" t="inlineStr">
        <is>
          <t>общая</t>
        </is>
      </c>
      <c r="H10" s="162" t="n"/>
      <c r="I10" s="153" t="inlineStr">
        <is>
          <t>на ед. изм.</t>
        </is>
      </c>
      <c r="J10" s="153" t="inlineStr">
        <is>
          <t>общая</t>
        </is>
      </c>
    </row>
    <row r="11" ht="15.6" customFormat="1" customHeight="1" s="95">
      <c r="A11" s="140" t="n">
        <v>1</v>
      </c>
      <c r="B11" s="153" t="n">
        <v>2</v>
      </c>
      <c r="C11" s="153" t="n">
        <v>3</v>
      </c>
      <c r="D11" s="153" t="n">
        <v>4</v>
      </c>
      <c r="E11" s="153" t="n">
        <v>5</v>
      </c>
      <c r="F11" s="153" t="n">
        <v>6</v>
      </c>
      <c r="G11" s="153" t="n">
        <v>7</v>
      </c>
      <c r="H11" s="153" t="n">
        <v>8</v>
      </c>
      <c r="I11" s="153" t="n">
        <v>9</v>
      </c>
      <c r="J11" s="153" t="n">
        <v>10</v>
      </c>
    </row>
    <row r="12" ht="15.6" customFormat="1" customHeight="1" s="95">
      <c r="A12" s="144" t="n"/>
      <c r="B12" s="143" t="inlineStr">
        <is>
          <t>Затраты труда рабочих-строителей</t>
        </is>
      </c>
      <c r="C12" s="159" t="n"/>
      <c r="D12" s="159" t="n"/>
      <c r="E12" s="159" t="n"/>
      <c r="F12" s="159" t="n"/>
      <c r="G12" s="159" t="n"/>
      <c r="H12" s="160" t="n"/>
      <c r="I12" s="144" t="n"/>
      <c r="J12" s="144" t="n"/>
    </row>
    <row r="13" ht="31.35" customFormat="1" customHeight="1" s="95">
      <c r="A13" s="131" t="n">
        <v>1</v>
      </c>
      <c r="B13" s="131" t="inlineStr">
        <is>
          <t>1-100-27</t>
        </is>
      </c>
      <c r="C13" s="132" t="inlineStr">
        <is>
          <t>Затраты труда рабочих (Средний разряд работы 2,7)</t>
        </is>
      </c>
      <c r="D13" s="131" t="inlineStr">
        <is>
          <t>чел.-ч</t>
        </is>
      </c>
      <c r="E13" s="131" t="n">
        <v>236.22623345367</v>
      </c>
      <c r="F13" s="141" t="n">
        <v>8.31</v>
      </c>
      <c r="G13" s="141">
        <f>ROUND(E13*F13,2)</f>
        <v/>
      </c>
      <c r="H13" s="28">
        <f>G13/G14</f>
        <v/>
      </c>
      <c r="I13" s="141">
        <f>ФОТр.тек.!E13</f>
        <v/>
      </c>
      <c r="J13" s="141">
        <f>ROUND(E13*I13,2)</f>
        <v/>
      </c>
    </row>
    <row r="14" ht="31.35" customFormat="1" customHeight="1" s="95">
      <c r="A14" s="131" t="n"/>
      <c r="B14" s="131" t="n"/>
      <c r="C14" s="132" t="inlineStr">
        <is>
          <t>Итого по разделу "Затраты труда рабочих-строителей"</t>
        </is>
      </c>
      <c r="D14" s="131" t="inlineStr">
        <is>
          <t>чел.-ч</t>
        </is>
      </c>
      <c r="E14" s="131">
        <f>SUM(E13:E13)</f>
        <v/>
      </c>
      <c r="F14" s="141" t="n"/>
      <c r="G14" s="141">
        <f>SUM(G13:G13)</f>
        <v/>
      </c>
      <c r="H14" s="28" t="n">
        <v>1</v>
      </c>
      <c r="I14" s="141" t="n"/>
      <c r="J14" s="141">
        <f>SUM(J13:J13)</f>
        <v/>
      </c>
    </row>
    <row r="15" ht="44.25" customFormat="1" customHeight="1" s="90">
      <c r="A15" s="131" t="n"/>
      <c r="B15" s="131" t="n"/>
      <c r="C15" s="132" t="inlineStr">
        <is>
          <t>Итого по разделу "Затраты труда рабочих-строителей" 
(с коэффициентом на демонтаж 0,7)</t>
        </is>
      </c>
      <c r="D15" s="131" t="inlineStr">
        <is>
          <t>чел.-ч.</t>
        </is>
      </c>
      <c r="E15" s="131" t="n"/>
      <c r="F15" s="141" t="n"/>
      <c r="G15" s="141">
        <f>SUM(G14)*0.7</f>
        <v/>
      </c>
      <c r="H15" s="28" t="n">
        <v>1</v>
      </c>
      <c r="I15" s="141" t="n"/>
      <c r="J15" s="141">
        <f>SUM(J14)*0.7</f>
        <v/>
      </c>
    </row>
    <row r="16" ht="15.6" customFormat="1" customHeight="1" s="95">
      <c r="A16" s="131" t="n"/>
      <c r="B16" s="131" t="inlineStr">
        <is>
          <t>Затраты труда машинистов</t>
        </is>
      </c>
      <c r="C16" s="159" t="n"/>
      <c r="D16" s="159" t="n"/>
      <c r="E16" s="159" t="n"/>
      <c r="F16" s="159" t="n"/>
      <c r="G16" s="159" t="n"/>
      <c r="H16" s="160" t="n"/>
      <c r="I16" s="141" t="n"/>
      <c r="J16" s="141" t="n"/>
    </row>
    <row r="17" ht="15.6" customFormat="1" customHeight="1" s="95">
      <c r="A17" s="131" t="n">
        <v>2</v>
      </c>
      <c r="B17" s="131" t="n">
        <v>2</v>
      </c>
      <c r="C17" s="132" t="inlineStr">
        <is>
          <t>Затраты труда машинистов</t>
        </is>
      </c>
      <c r="D17" s="131" t="inlineStr">
        <is>
          <t>чел.-ч</t>
        </is>
      </c>
      <c r="E17" s="131" t="n">
        <v>28.7450528</v>
      </c>
      <c r="F17" s="141" t="n">
        <v>13.19</v>
      </c>
      <c r="G17" s="141">
        <f>ROUND(E17*F17,2)</f>
        <v/>
      </c>
      <c r="H17" s="28" t="n">
        <v>1</v>
      </c>
      <c r="I17" s="141">
        <f>ROUND(F17*'Прил. 10'!$D$10,2)</f>
        <v/>
      </c>
      <c r="J17" s="141">
        <f>ROUND(E17*I17,2)</f>
        <v/>
      </c>
    </row>
    <row r="18" ht="28.5" customFormat="1" customHeight="1" s="90">
      <c r="A18" s="116" t="n"/>
      <c r="B18" s="131" t="n"/>
      <c r="C18" s="132" t="inlineStr">
        <is>
          <t>Затраты труда машинистов 
(с коэффициентом на демонтаж 0,7)</t>
        </is>
      </c>
      <c r="D18" s="131" t="n"/>
      <c r="E18" s="131" t="n"/>
      <c r="F18" s="141" t="n"/>
      <c r="G18" s="141">
        <f>G17*0.7</f>
        <v/>
      </c>
      <c r="H18" s="28">
        <f>H17</f>
        <v/>
      </c>
      <c r="I18" s="141" t="n"/>
      <c r="J18" s="141">
        <f>J17*0.7</f>
        <v/>
      </c>
    </row>
    <row r="19" ht="15.6" customFormat="1" customHeight="1" s="95">
      <c r="A19" s="131" t="n"/>
      <c r="B19" s="130" t="inlineStr">
        <is>
          <t>Машины и механизмы</t>
        </is>
      </c>
      <c r="C19" s="159" t="n"/>
      <c r="D19" s="159" t="n"/>
      <c r="E19" s="159" t="n"/>
      <c r="F19" s="159" t="n"/>
      <c r="G19" s="159" t="n"/>
      <c r="H19" s="160" t="n"/>
      <c r="I19" s="141" t="n"/>
      <c r="J19" s="141" t="n"/>
    </row>
    <row r="20" ht="15.6" customFormat="1" customHeight="1" s="95">
      <c r="A20" s="131" t="n"/>
      <c r="B20" s="131" t="inlineStr">
        <is>
          <t>Основные Машины и механизмы</t>
        </is>
      </c>
      <c r="C20" s="159" t="n"/>
      <c r="D20" s="159" t="n"/>
      <c r="E20" s="159" t="n"/>
      <c r="F20" s="159" t="n"/>
      <c r="G20" s="159" t="n"/>
      <c r="H20" s="160" t="n"/>
      <c r="I20" s="141" t="n"/>
      <c r="J20" s="141" t="n"/>
    </row>
    <row r="21" ht="31.35" customFormat="1" customHeight="1" s="95">
      <c r="A21" s="131" t="n">
        <v>3</v>
      </c>
      <c r="B21" s="142" t="inlineStr">
        <is>
          <t>91.17.04-031</t>
        </is>
      </c>
      <c r="C21" s="147" t="inlineStr">
        <is>
          <t>Агрегаты для сварки полиэтиленовых труб</t>
        </is>
      </c>
      <c r="D21" s="150" t="inlineStr">
        <is>
          <t>маш.час</t>
        </is>
      </c>
      <c r="E21" s="148" t="n">
        <v>8.7712895</v>
      </c>
      <c r="F21" s="31" t="n">
        <v>100.1</v>
      </c>
      <c r="G21" s="31">
        <f>ROUND(E21*F21,2)</f>
        <v/>
      </c>
      <c r="H21" s="28">
        <f>G21/G43</f>
        <v/>
      </c>
      <c r="I21" s="141">
        <f>ROUND(F21*'Прил. 10'!$D$11,2)</f>
        <v/>
      </c>
      <c r="J21" s="141">
        <f>ROUND(E21*I21,2)</f>
        <v/>
      </c>
    </row>
    <row r="22" ht="31.35" customFormat="1" customHeight="1" s="95">
      <c r="A22" s="131" t="n">
        <v>4</v>
      </c>
      <c r="B22" s="142" t="inlineStr">
        <is>
          <t>91.14.01-011</t>
        </is>
      </c>
      <c r="C22" s="147" t="inlineStr">
        <is>
          <t>Автобетоносмесители, емкость до 6,3 м3</t>
        </is>
      </c>
      <c r="D22" s="150" t="inlineStr">
        <is>
          <t>маш.час</t>
        </is>
      </c>
      <c r="E22" s="148" t="n">
        <v>7.176</v>
      </c>
      <c r="F22" s="31" t="n">
        <v>105.81</v>
      </c>
      <c r="G22" s="31">
        <f>ROUND(E22*F22,2)</f>
        <v/>
      </c>
      <c r="H22" s="28">
        <f>G22/G43</f>
        <v/>
      </c>
      <c r="I22" s="141">
        <f>ROUND(F22*'Прил. 10'!$D$11,2)</f>
        <v/>
      </c>
      <c r="J22" s="141">
        <f>ROUND(E22*I22,2)</f>
        <v/>
      </c>
    </row>
    <row r="23" ht="46.9" customFormat="1" customHeight="1" s="95">
      <c r="A23" s="131" t="n">
        <v>5</v>
      </c>
      <c r="B23" s="142" t="inlineStr">
        <is>
          <t>91.07.11-570</t>
        </is>
      </c>
      <c r="C23" s="147" t="inlineStr">
        <is>
          <t>Бетононасосы-миксеры прицепные с двигателем внутреннего сгорания, производительность до 12 м3/ч</t>
        </is>
      </c>
      <c r="D23" s="150" t="inlineStr">
        <is>
          <t>маш.час</t>
        </is>
      </c>
      <c r="E23" s="148" t="n">
        <v>7.176</v>
      </c>
      <c r="F23" s="31" t="n">
        <v>71</v>
      </c>
      <c r="G23" s="31">
        <f>ROUND(E23*F23,2)</f>
        <v/>
      </c>
      <c r="H23" s="28">
        <f>G23/G43</f>
        <v/>
      </c>
      <c r="I23" s="141">
        <f>ROUND(F23*'Прил. 10'!$D$11,2)</f>
        <v/>
      </c>
      <c r="J23" s="141">
        <f>ROUND(E23*I23,2)</f>
        <v/>
      </c>
    </row>
    <row r="24" ht="46.9" customFormat="1" customHeight="1" s="95">
      <c r="A24" s="131" t="n">
        <v>6</v>
      </c>
      <c r="B24" s="142" t="inlineStr">
        <is>
          <t>91.05.13-025</t>
        </is>
      </c>
      <c r="C24" s="147" t="inlineStr">
        <is>
          <t>Краны-манипуляторы на автомобильном ходу, грузоподъемность до 3,2 т</t>
        </is>
      </c>
      <c r="D24" s="150" t="inlineStr">
        <is>
          <t>маш.час</t>
        </is>
      </c>
      <c r="E24" s="148" t="n">
        <v>2.2632</v>
      </c>
      <c r="F24" s="31" t="n">
        <v>112.36</v>
      </c>
      <c r="G24" s="31">
        <f>ROUND(E24*F24,2)</f>
        <v/>
      </c>
      <c r="H24" s="28">
        <f>G24/G43</f>
        <v/>
      </c>
      <c r="I24" s="141">
        <f>ROUND(F24*'Прил. 10'!$D$11,2)</f>
        <v/>
      </c>
      <c r="J24" s="141">
        <f>ROUND(E24*I24,2)</f>
        <v/>
      </c>
    </row>
    <row r="25" ht="15.6" customFormat="1" customHeight="1" s="95">
      <c r="A25" s="131" t="n"/>
      <c r="B25" s="142" t="inlineStr">
        <is>
          <t>Итого основные Машины и механизмы</t>
        </is>
      </c>
      <c r="C25" s="159" t="n"/>
      <c r="D25" s="159" t="n"/>
      <c r="E25" s="159" t="n"/>
      <c r="F25" s="160" t="n"/>
      <c r="G25" s="31">
        <f>SUM(G21:G24)</f>
        <v/>
      </c>
      <c r="H25" s="28">
        <f>SUM(H21:H24)</f>
        <v/>
      </c>
      <c r="I25" s="141" t="n"/>
      <c r="J25" s="141">
        <f>SUM(J21:J24)</f>
        <v/>
      </c>
    </row>
    <row r="26" ht="31.5" customFormat="1" customHeight="1" s="95">
      <c r="A26" s="131" t="n"/>
      <c r="B26" s="142" t="inlineStr">
        <is>
          <t>Итого основные Машины и механизмы 
(с коэффициентом на демонтаж 0,7)</t>
        </is>
      </c>
      <c r="C26" s="159" t="n"/>
      <c r="D26" s="159" t="n"/>
      <c r="E26" s="159" t="n"/>
      <c r="F26" s="160" t="n"/>
      <c r="G26" s="31">
        <f>G25*0.7</f>
        <v/>
      </c>
      <c r="H26" s="28">
        <f>G26/G44</f>
        <v/>
      </c>
      <c r="I26" s="141" t="n"/>
      <c r="J26" s="141">
        <f>J25*0.7</f>
        <v/>
      </c>
    </row>
    <row r="27" hidden="1" outlineLevel="1" ht="31.35" customFormat="1" customHeight="1" s="95">
      <c r="A27" s="131" t="n">
        <v>7</v>
      </c>
      <c r="B27" s="142" t="inlineStr">
        <is>
          <t>91.05.05-015</t>
        </is>
      </c>
      <c r="C27" s="147" t="inlineStr">
        <is>
          <t>Краны на автомобильном ходу, грузоподъемность 16 т</t>
        </is>
      </c>
      <c r="D27" s="150" t="inlineStr">
        <is>
          <t>маш.час</t>
        </is>
      </c>
      <c r="E27" s="148" t="n">
        <v>1.2474639</v>
      </c>
      <c r="F27" s="31" t="n">
        <v>115.4</v>
      </c>
      <c r="G27" s="31">
        <f>ROUND(E27*F27,2)</f>
        <v/>
      </c>
      <c r="H27" s="28">
        <f>G27/G43</f>
        <v/>
      </c>
      <c r="I27" s="141">
        <f>ROUND(F27*'Прил. 10'!$D$11,2)</f>
        <v/>
      </c>
      <c r="J27" s="141">
        <f>ROUND(E27*I27,2)</f>
        <v/>
      </c>
    </row>
    <row r="28" hidden="1" outlineLevel="1" ht="93.59999999999999" customFormat="1" customHeight="1" s="95">
      <c r="A28" s="131" t="n">
        <v>8</v>
      </c>
      <c r="B28" s="142" t="inlineStr">
        <is>
          <t>91.10.09-012</t>
        </is>
      </c>
      <c r="C28" s="14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28" s="150" t="inlineStr">
        <is>
          <t>маш.час</t>
        </is>
      </c>
      <c r="E28" s="148" t="n">
        <v>3.9165642</v>
      </c>
      <c r="F28" s="31" t="n">
        <v>26.32</v>
      </c>
      <c r="G28" s="31">
        <f>ROUND(E28*F28,2)</f>
        <v/>
      </c>
      <c r="H28" s="28">
        <f>G28/G43</f>
        <v/>
      </c>
      <c r="I28" s="141">
        <f>ROUND(F28*'Прил. 10'!$D$11,2)</f>
        <v/>
      </c>
      <c r="J28" s="141">
        <f>ROUND(E28*I28,2)</f>
        <v/>
      </c>
    </row>
    <row r="29" hidden="1" outlineLevel="1" ht="15.6" customFormat="1" customHeight="1" s="95">
      <c r="A29" s="131" t="n">
        <v>9</v>
      </c>
      <c r="B29" s="142" t="inlineStr">
        <is>
          <t>91.06.05-011</t>
        </is>
      </c>
      <c r="C29" s="147" t="inlineStr">
        <is>
          <t>Погрузчики, грузоподъемность 5 т</t>
        </is>
      </c>
      <c r="D29" s="150" t="inlineStr">
        <is>
          <t>маш.час</t>
        </is>
      </c>
      <c r="E29" s="148" t="n">
        <v>0.5342742</v>
      </c>
      <c r="F29" s="31" t="n">
        <v>89.98999999999999</v>
      </c>
      <c r="G29" s="31">
        <f>ROUND(E29*F29,2)</f>
        <v/>
      </c>
      <c r="H29" s="28">
        <f>G29/G43</f>
        <v/>
      </c>
      <c r="I29" s="141">
        <f>ROUND(F29*'Прил. 10'!$D$11,2)</f>
        <v/>
      </c>
      <c r="J29" s="141">
        <f>ROUND(E29*I29,2)</f>
        <v/>
      </c>
    </row>
    <row r="30" hidden="1" outlineLevel="1" ht="31.35" customFormat="1" customHeight="1" s="95">
      <c r="A30" s="131" t="n">
        <v>10</v>
      </c>
      <c r="B30" s="142" t="inlineStr">
        <is>
          <t>91.14.02-001</t>
        </is>
      </c>
      <c r="C30" s="147" t="inlineStr">
        <is>
          <t>Автомобили бортовые, грузоподъемность до 5 т</t>
        </is>
      </c>
      <c r="D30" s="150" t="inlineStr">
        <is>
          <t>маш.час</t>
        </is>
      </c>
      <c r="E30" s="148" t="n">
        <v>0.5914336</v>
      </c>
      <c r="F30" s="31" t="n">
        <v>65.70999999999999</v>
      </c>
      <c r="G30" s="31">
        <f>ROUND(E30*F30,2)</f>
        <v/>
      </c>
      <c r="H30" s="28">
        <f>G30/G43</f>
        <v/>
      </c>
      <c r="I30" s="141">
        <f>ROUND(F30*'Прил. 10'!$D$11,2)</f>
        <v/>
      </c>
      <c r="J30" s="141">
        <f>ROUND(E30*I30,2)</f>
        <v/>
      </c>
    </row>
    <row r="31" hidden="1" outlineLevel="1" ht="46.9" customFormat="1" customHeight="1" s="95">
      <c r="A31" s="131" t="n">
        <v>11</v>
      </c>
      <c r="B31" s="142" t="inlineStr">
        <is>
          <t>91.01.05-085</t>
        </is>
      </c>
      <c r="C31" s="147" t="inlineStr">
        <is>
          <t>Экскаваторы одноковшовые дизельные на гусеничном ходу, емкость ковша 0,5 м3</t>
        </is>
      </c>
      <c r="D31" s="150" t="inlineStr">
        <is>
          <t>маш.час</t>
        </is>
      </c>
      <c r="E31" s="148" t="n">
        <v>0.265394</v>
      </c>
      <c r="F31" s="31" t="n">
        <v>100</v>
      </c>
      <c r="G31" s="31">
        <f>ROUND(E31*F31,2)</f>
        <v/>
      </c>
      <c r="H31" s="28">
        <f>G31/G43</f>
        <v/>
      </c>
      <c r="I31" s="141">
        <f>ROUND(F31*'Прил. 10'!$D$11,2)</f>
        <v/>
      </c>
      <c r="J31" s="141">
        <f>ROUND(E31*I31,2)</f>
        <v/>
      </c>
    </row>
    <row r="32" hidden="1" outlineLevel="1" ht="31.35" customFormat="1" customHeight="1" s="95">
      <c r="A32" s="131" t="n">
        <v>12</v>
      </c>
      <c r="B32" s="142" t="inlineStr">
        <is>
          <t>91.05.01-017</t>
        </is>
      </c>
      <c r="C32" s="147" t="inlineStr">
        <is>
          <t>Краны башенные, грузоподъемность 8 т</t>
        </is>
      </c>
      <c r="D32" s="150" t="inlineStr">
        <is>
          <t>маш.час</t>
        </is>
      </c>
      <c r="E32" s="148" t="n">
        <v>0.2301619</v>
      </c>
      <c r="F32" s="31" t="n">
        <v>86.40000000000001</v>
      </c>
      <c r="G32" s="31">
        <f>ROUND(E32*F32,2)</f>
        <v/>
      </c>
      <c r="H32" s="28">
        <f>G32/G43</f>
        <v/>
      </c>
      <c r="I32" s="141">
        <f>ROUND(F32*'Прил. 10'!$D$11,2)</f>
        <v/>
      </c>
      <c r="J32" s="141">
        <f>ROUND(E32*I32,2)</f>
        <v/>
      </c>
    </row>
    <row r="33" hidden="1" outlineLevel="1" ht="31.35" customFormat="1" customHeight="1" s="95">
      <c r="A33" s="131" t="n">
        <v>13</v>
      </c>
      <c r="B33" s="142" t="inlineStr">
        <is>
          <t>91.16.01-002</t>
        </is>
      </c>
      <c r="C33" s="147" t="inlineStr">
        <is>
          <t>Электростанции передвижные, мощность 4 кВт</t>
        </is>
      </c>
      <c r="D33" s="150" t="inlineStr">
        <is>
          <t>маш.час</t>
        </is>
      </c>
      <c r="E33" s="148" t="n">
        <v>0.454478</v>
      </c>
      <c r="F33" s="31" t="n">
        <v>27.11</v>
      </c>
      <c r="G33" s="31">
        <f>ROUND(E33*F33,2)</f>
        <v/>
      </c>
      <c r="H33" s="28">
        <f>G33/G43</f>
        <v/>
      </c>
      <c r="I33" s="141">
        <f>ROUND(F33*'Прил. 10'!$D$11,2)</f>
        <v/>
      </c>
      <c r="J33" s="141">
        <f>ROUND(E33*I33,2)</f>
        <v/>
      </c>
    </row>
    <row r="34" hidden="1" outlineLevel="1" ht="31.35" customFormat="1" customHeight="1" s="95">
      <c r="A34" s="131" t="n">
        <v>14</v>
      </c>
      <c r="B34" s="142" t="inlineStr">
        <is>
          <t>91.10.05-007</t>
        </is>
      </c>
      <c r="C34" s="147" t="inlineStr">
        <is>
          <t>Трубоукладчики, номинальная грузоподъемность 12,5 т</t>
        </is>
      </c>
      <c r="D34" s="150" t="inlineStr">
        <is>
          <t>маш.час</t>
        </is>
      </c>
      <c r="E34" s="148" t="n">
        <v>0.0258877</v>
      </c>
      <c r="F34" s="31" t="n">
        <v>239.44</v>
      </c>
      <c r="G34" s="31">
        <f>ROUND(E34*F34,2)</f>
        <v/>
      </c>
      <c r="H34" s="28">
        <f>G34/G43</f>
        <v/>
      </c>
      <c r="I34" s="141">
        <f>ROUND(F34*'Прил. 10'!$D$11,2)</f>
        <v/>
      </c>
      <c r="J34" s="141">
        <f>ROUND(E34*I34,2)</f>
        <v/>
      </c>
    </row>
    <row r="35" hidden="1" outlineLevel="1" ht="15.6" customFormat="1" customHeight="1" s="95">
      <c r="A35" s="131" t="n">
        <v>15</v>
      </c>
      <c r="B35" s="142" t="inlineStr">
        <is>
          <t>91.08.04-021</t>
        </is>
      </c>
      <c r="C35" s="147" t="inlineStr">
        <is>
          <t>Котлы битумные передвижные 400 л</t>
        </is>
      </c>
      <c r="D35" s="150" t="inlineStr">
        <is>
          <t>маш.час</t>
        </is>
      </c>
      <c r="E35" s="148" t="n">
        <v>0.0430022</v>
      </c>
      <c r="F35" s="31" t="n">
        <v>30</v>
      </c>
      <c r="G35" s="31">
        <f>ROUND(E35*F35,2)</f>
        <v/>
      </c>
      <c r="H35" s="28">
        <f>G35/G43</f>
        <v/>
      </c>
      <c r="I35" s="141">
        <f>ROUND(F35*'Прил. 10'!$D$11,2)</f>
        <v/>
      </c>
      <c r="J35" s="141">
        <f>ROUND(E35*I35,2)</f>
        <v/>
      </c>
    </row>
    <row r="36" hidden="1" outlineLevel="1" ht="31.35" customFormat="1" customHeight="1" s="95">
      <c r="A36" s="131" t="n">
        <v>16</v>
      </c>
      <c r="B36" s="142" t="inlineStr">
        <is>
          <t>91.14.04-002</t>
        </is>
      </c>
      <c r="C36" s="147" t="inlineStr">
        <is>
          <t>Тягачи седельные, грузоподъемность 15 т</t>
        </is>
      </c>
      <c r="D36" s="150" t="inlineStr">
        <is>
          <t>маш.час</t>
        </is>
      </c>
      <c r="E36" s="148" t="n">
        <v>0.0094704</v>
      </c>
      <c r="F36" s="31" t="n">
        <v>94.38</v>
      </c>
      <c r="G36" s="31">
        <f>ROUND(E36*F36,2)</f>
        <v/>
      </c>
      <c r="H36" s="28">
        <f>G36/G43</f>
        <v/>
      </c>
      <c r="I36" s="141">
        <f>ROUND(F36*'Прил. 10'!$D$11,2)</f>
        <v/>
      </c>
      <c r="J36" s="141">
        <f>ROUND(E36*I36,2)</f>
        <v/>
      </c>
    </row>
    <row r="37" hidden="1" outlineLevel="1" ht="31.35" customFormat="1" customHeight="1" s="95">
      <c r="A37" s="131" t="n">
        <v>17</v>
      </c>
      <c r="B37" s="142" t="inlineStr">
        <is>
          <t>91.06.03-061</t>
        </is>
      </c>
      <c r="C37" s="147" t="inlineStr">
        <is>
          <t>Лебедки электрические тяговым усилием до 12,26 кН (1,25 т)</t>
        </is>
      </c>
      <c r="D37" s="150" t="inlineStr">
        <is>
          <t>маш.час</t>
        </is>
      </c>
      <c r="E37" s="148" t="n">
        <v>0.1518534</v>
      </c>
      <c r="F37" s="31" t="n">
        <v>3.28</v>
      </c>
      <c r="G37" s="31">
        <f>ROUND(E37*F37,2)</f>
        <v/>
      </c>
      <c r="H37" s="28">
        <f>G37/G43</f>
        <v/>
      </c>
      <c r="I37" s="141">
        <f>ROUND(F37*'Прил. 10'!$D$11,2)</f>
        <v/>
      </c>
      <c r="J37" s="141">
        <f>ROUND(E37*I37,2)</f>
        <v/>
      </c>
    </row>
    <row r="38" hidden="1" outlineLevel="1" ht="31.35" customFormat="1" customHeight="1" s="95">
      <c r="A38" s="131" t="n">
        <v>18</v>
      </c>
      <c r="B38" s="142" t="inlineStr">
        <is>
          <t>91.17.04-233</t>
        </is>
      </c>
      <c r="C38" s="147" t="inlineStr">
        <is>
          <t>Установки для сварки ручной дуговой (постоянного тока)</t>
        </is>
      </c>
      <c r="D38" s="150" t="inlineStr">
        <is>
          <t>маш.час</t>
        </is>
      </c>
      <c r="E38" s="148" t="n">
        <v>0.0379776</v>
      </c>
      <c r="F38" s="31" t="n">
        <v>8.1</v>
      </c>
      <c r="G38" s="31">
        <f>ROUND(E38*F38,2)</f>
        <v/>
      </c>
      <c r="H38" s="28">
        <f>G38/G43</f>
        <v/>
      </c>
      <c r="I38" s="141">
        <f>ROUND(F38*'Прил. 10'!$D$11,2)</f>
        <v/>
      </c>
      <c r="J38" s="141">
        <f>ROUND(E38*I38,2)</f>
        <v/>
      </c>
    </row>
    <row r="39" hidden="1" outlineLevel="1" ht="31.35" customFormat="1" customHeight="1" s="95">
      <c r="A39" s="131" t="n">
        <v>19</v>
      </c>
      <c r="B39" s="142" t="inlineStr">
        <is>
          <t>91.14.05-012</t>
        </is>
      </c>
      <c r="C39" s="147" t="inlineStr">
        <is>
          <t>Полуприцепы общего назначения, грузоподъемность 15 т</t>
        </is>
      </c>
      <c r="D39" s="150" t="inlineStr">
        <is>
          <t>маш.час</t>
        </is>
      </c>
      <c r="E39" s="148" t="n">
        <v>0.0094704</v>
      </c>
      <c r="F39" s="31" t="n">
        <v>19.76</v>
      </c>
      <c r="G39" s="31">
        <f>ROUND(E39*F39,2)</f>
        <v/>
      </c>
      <c r="H39" s="28">
        <f>G39/G43</f>
        <v/>
      </c>
      <c r="I39" s="141">
        <f>ROUND(F39*'Прил. 10'!$D$11,2)</f>
        <v/>
      </c>
      <c r="J39" s="141">
        <f>ROUND(E39*I39,2)</f>
        <v/>
      </c>
    </row>
    <row r="40" hidden="1" outlineLevel="1" ht="15.6" customFormat="1" customHeight="1" s="95">
      <c r="A40" s="131" t="n">
        <v>20</v>
      </c>
      <c r="B40" s="142" t="inlineStr">
        <is>
          <t>91.07.04-001</t>
        </is>
      </c>
      <c r="C40" s="147" t="inlineStr">
        <is>
          <t>Вибраторы глубинные</t>
        </is>
      </c>
      <c r="D40" s="150" t="inlineStr">
        <is>
          <t>маш.час</t>
        </is>
      </c>
      <c r="E40" s="148" t="n">
        <v>0.079488</v>
      </c>
      <c r="F40" s="31" t="n">
        <v>1.9</v>
      </c>
      <c r="G40" s="31">
        <f>ROUND(E40*F40,2)</f>
        <v/>
      </c>
      <c r="H40" s="28">
        <f>G40/G43</f>
        <v/>
      </c>
      <c r="I40" s="141">
        <f>ROUND(F40*'Прил. 10'!$D$11,2)</f>
        <v/>
      </c>
      <c r="J40" s="141">
        <f>ROUND(E40*I40,2)</f>
        <v/>
      </c>
    </row>
    <row r="41" collapsed="1" ht="15.6" customFormat="1" customHeight="1" s="95">
      <c r="A41" s="131" t="n"/>
      <c r="B41" s="131" t="inlineStr">
        <is>
          <t>Итого прочие Машины и механизмы</t>
        </is>
      </c>
      <c r="C41" s="159" t="n"/>
      <c r="D41" s="159" t="n"/>
      <c r="E41" s="159" t="n"/>
      <c r="F41" s="160" t="n"/>
      <c r="G41" s="141">
        <f>SUM(G27:G40)</f>
        <v/>
      </c>
      <c r="H41" s="28">
        <f>SUM(H27:H40)</f>
        <v/>
      </c>
      <c r="I41" s="141" t="n"/>
      <c r="J41" s="141">
        <f>SUM(J27:J40)</f>
        <v/>
      </c>
    </row>
    <row r="42" ht="30.75" customFormat="1" customHeight="1" s="95">
      <c r="A42" s="131" t="n"/>
      <c r="B42" s="132" t="inlineStr">
        <is>
          <t>Итого прочие машины и механизмы 
(с коэффициентом на демонтаж 0,7)</t>
        </is>
      </c>
      <c r="C42" s="159" t="n"/>
      <c r="D42" s="159" t="n"/>
      <c r="E42" s="159" t="n"/>
      <c r="F42" s="160" t="n"/>
      <c r="G42" s="141">
        <f>G41*0.7</f>
        <v/>
      </c>
      <c r="H42" s="28">
        <f>G42/G44</f>
        <v/>
      </c>
      <c r="I42" s="141" t="n"/>
      <c r="J42" s="141">
        <f>J41*0.7</f>
        <v/>
      </c>
    </row>
    <row r="43" ht="15.6" customFormat="1" customHeight="1" s="95">
      <c r="A43" s="131" t="n"/>
      <c r="B43" s="131" t="inlineStr">
        <is>
          <t>Итого по разделу "Машины и механизмы"</t>
        </is>
      </c>
      <c r="C43" s="159" t="n"/>
      <c r="D43" s="159" t="n"/>
      <c r="E43" s="159" t="n"/>
      <c r="F43" s="160" t="n"/>
      <c r="G43" s="141">
        <f>G25+G41</f>
        <v/>
      </c>
      <c r="H43" s="28">
        <f>H25+H41</f>
        <v/>
      </c>
      <c r="I43" s="141" t="n"/>
      <c r="J43" s="141">
        <f>J25+J41</f>
        <v/>
      </c>
    </row>
    <row r="44" ht="39" customFormat="1" customHeight="1" s="95">
      <c r="A44" s="131" t="n"/>
      <c r="B44" s="132" t="inlineStr">
        <is>
          <t>Итого по разделу «Машины и механизмы»  
(с коэффициентом на демонтаж 0,7)</t>
        </is>
      </c>
      <c r="C44" s="159" t="n"/>
      <c r="D44" s="159" t="n"/>
      <c r="E44" s="159" t="n"/>
      <c r="F44" s="160" t="n"/>
      <c r="G44" s="141">
        <f>G43*0.7</f>
        <v/>
      </c>
      <c r="H44" s="28">
        <f>G44/G44</f>
        <v/>
      </c>
      <c r="I44" s="141" t="n"/>
      <c r="J44" s="141">
        <f>J43*0.7</f>
        <v/>
      </c>
    </row>
    <row r="45" ht="15.6" customFormat="1" customHeight="1" s="95">
      <c r="A45" s="144" t="n"/>
      <c r="B45" s="143" t="inlineStr">
        <is>
          <t>Оборудование</t>
        </is>
      </c>
      <c r="C45" s="159" t="n"/>
      <c r="D45" s="159" t="n"/>
      <c r="E45" s="159" t="n"/>
      <c r="F45" s="159" t="n"/>
      <c r="G45" s="159" t="n"/>
      <c r="H45" s="159" t="n"/>
      <c r="I45" s="159" t="n"/>
      <c r="J45" s="160" t="n"/>
    </row>
    <row r="46" ht="15.6" customFormat="1" customHeight="1" s="95">
      <c r="A46" s="144" t="n"/>
      <c r="B46" s="144" t="inlineStr">
        <is>
          <t>Основное оборудование</t>
        </is>
      </c>
      <c r="C46" s="159" t="n"/>
      <c r="D46" s="159" t="n"/>
      <c r="E46" s="159" t="n"/>
      <c r="F46" s="159" t="n"/>
      <c r="G46" s="159" t="n"/>
      <c r="H46" s="159" t="n"/>
      <c r="I46" s="159" t="n"/>
      <c r="J46" s="160" t="n"/>
    </row>
    <row r="47" ht="15.6" customFormat="1" customHeight="1" s="95">
      <c r="A47" s="144" t="n"/>
      <c r="B47" s="144" t="n"/>
      <c r="C47" s="144" t="inlineStr">
        <is>
          <t>Итого основное оборудование</t>
        </is>
      </c>
      <c r="D47" s="144" t="n"/>
      <c r="E47" s="144" t="n"/>
      <c r="F47" s="145" t="n"/>
      <c r="G47" s="145" t="n">
        <v>0</v>
      </c>
      <c r="H47" s="144" t="n">
        <v>0</v>
      </c>
      <c r="I47" s="145" t="n"/>
      <c r="J47" s="145" t="n">
        <v>0</v>
      </c>
    </row>
    <row r="48" ht="15.6" customFormat="1" customHeight="1" s="95">
      <c r="A48" s="144" t="n"/>
      <c r="B48" s="144" t="n"/>
      <c r="C48" s="144" t="inlineStr">
        <is>
          <t>Итого прочее оборудование</t>
        </is>
      </c>
      <c r="D48" s="144" t="n"/>
      <c r="E48" s="144" t="n"/>
      <c r="F48" s="145" t="n"/>
      <c r="G48" s="145" t="n">
        <v>0</v>
      </c>
      <c r="H48" s="144" t="n">
        <v>0</v>
      </c>
      <c r="I48" s="145" t="n"/>
      <c r="J48" s="145" t="n">
        <v>0</v>
      </c>
    </row>
    <row r="49" ht="15.6" customFormat="1" customHeight="1" s="95">
      <c r="A49" s="144" t="n"/>
      <c r="B49" s="144" t="n"/>
      <c r="C49" s="143" t="inlineStr">
        <is>
          <t>Итого по разделу «Оборудование»</t>
        </is>
      </c>
      <c r="D49" s="144" t="n"/>
      <c r="E49" s="144" t="n"/>
      <c r="F49" s="145" t="n"/>
      <c r="G49" s="145" t="n">
        <v>0</v>
      </c>
      <c r="H49" s="144" t="n">
        <v>0</v>
      </c>
      <c r="I49" s="145" t="n"/>
      <c r="J49" s="145" t="n">
        <v>0</v>
      </c>
    </row>
    <row r="50" ht="15.6" customFormat="1" customHeight="1" s="95">
      <c r="A50" s="144" t="n"/>
      <c r="B50" s="144" t="n"/>
      <c r="C50" s="144" t="inlineStr">
        <is>
          <t>в том числе технологическое оборудование</t>
        </is>
      </c>
      <c r="D50" s="144" t="n"/>
      <c r="E50" s="144" t="n"/>
      <c r="F50" s="145" t="n"/>
      <c r="G50" s="145" t="n">
        <v>0</v>
      </c>
      <c r="H50" s="144" t="n"/>
      <c r="I50" s="145" t="n"/>
      <c r="J50" s="145" t="n">
        <v>0</v>
      </c>
    </row>
    <row r="51" collapsed="1" ht="15.6" customFormat="1" customHeight="1" s="95">
      <c r="A51" s="131" t="n"/>
      <c r="B51" s="130" t="inlineStr">
        <is>
          <t>Материалы</t>
        </is>
      </c>
      <c r="C51" s="159" t="n"/>
      <c r="D51" s="159" t="n"/>
      <c r="E51" s="159" t="n"/>
      <c r="F51" s="159" t="n"/>
      <c r="G51" s="159" t="n"/>
      <c r="H51" s="160" t="n"/>
      <c r="I51" s="141" t="n"/>
      <c r="J51" s="141" t="n"/>
    </row>
    <row r="52" ht="15.6" customFormat="1" customHeight="1" s="95">
      <c r="A52" s="131" t="n"/>
      <c r="B52" s="131" t="inlineStr">
        <is>
          <t>Основные Материалы</t>
        </is>
      </c>
      <c r="C52" s="159" t="n"/>
      <c r="D52" s="159" t="n"/>
      <c r="E52" s="159" t="n"/>
      <c r="F52" s="159" t="n"/>
      <c r="G52" s="159" t="n"/>
      <c r="H52" s="160" t="n"/>
      <c r="I52" s="141" t="n"/>
      <c r="J52" s="141" t="n"/>
    </row>
    <row r="53" ht="15.6" customFormat="1" customHeight="1" s="95">
      <c r="A53" s="131" t="n"/>
      <c r="B53" s="142" t="inlineStr">
        <is>
          <t>Итого основные Материалы</t>
        </is>
      </c>
      <c r="C53" s="159" t="n"/>
      <c r="D53" s="159" t="n"/>
      <c r="E53" s="159" t="n"/>
      <c r="F53" s="160" t="n"/>
      <c r="G53" s="31" t="n">
        <v>0</v>
      </c>
      <c r="H53" s="28" t="n">
        <v>0</v>
      </c>
      <c r="I53" s="141" t="n"/>
      <c r="J53" s="141" t="n">
        <v>0</v>
      </c>
    </row>
    <row r="54" ht="15.6" customFormat="1" customHeight="1" s="95">
      <c r="A54" s="131" t="n"/>
      <c r="B54" s="131" t="inlineStr">
        <is>
          <t>Итого прочие Материалы</t>
        </is>
      </c>
      <c r="C54" s="159" t="n"/>
      <c r="D54" s="159" t="n"/>
      <c r="E54" s="159" t="n"/>
      <c r="F54" s="160" t="n"/>
      <c r="G54" s="141" t="n">
        <v>0</v>
      </c>
      <c r="H54" s="28" t="n">
        <v>0</v>
      </c>
      <c r="I54" s="141" t="n"/>
      <c r="J54" s="141" t="n">
        <v>0</v>
      </c>
    </row>
    <row r="55" ht="15.6" customFormat="1" customHeight="1" s="95">
      <c r="A55" s="131" t="n"/>
      <c r="B55" s="131" t="inlineStr">
        <is>
          <t>Итого по разделу "Материалы"</t>
        </is>
      </c>
      <c r="C55" s="159" t="n"/>
      <c r="D55" s="159" t="n"/>
      <c r="E55" s="159" t="n"/>
      <c r="F55" s="160" t="n"/>
      <c r="G55" s="141">
        <f>G53+G54</f>
        <v/>
      </c>
      <c r="H55" s="28">
        <f>H53+H54</f>
        <v/>
      </c>
      <c r="I55" s="141" t="n"/>
      <c r="J55" s="141">
        <f>J53+J54</f>
        <v/>
      </c>
    </row>
    <row r="56" ht="15.6" customFormat="1" customHeight="1" s="95">
      <c r="A56" s="132" t="n"/>
      <c r="B56" s="150" t="n"/>
      <c r="C56" s="147" t="inlineStr">
        <is>
          <t>ИТОГО ПО РМ</t>
        </is>
      </c>
      <c r="D56" s="150" t="n"/>
      <c r="E56" s="150" t="n"/>
      <c r="F56" s="149" t="n"/>
      <c r="G56" s="149">
        <f>+G14+G43+G55</f>
        <v/>
      </c>
      <c r="H56" s="34" t="n"/>
      <c r="I56" s="141" t="n"/>
      <c r="J56" s="149">
        <f>+J14+J43+J55</f>
        <v/>
      </c>
    </row>
    <row r="57" ht="35.25" customFormat="1" customHeight="1" s="95">
      <c r="A57" s="132" t="n"/>
      <c r="B57" s="150" t="n"/>
      <c r="C57" s="147" t="inlineStr">
        <is>
          <t>ИТОГО ПО РМ
(с коэффициентом на демонтаж 0,7)</t>
        </is>
      </c>
      <c r="D57" s="150" t="n"/>
      <c r="E57" s="150" t="n"/>
      <c r="F57" s="149" t="n"/>
      <c r="G57" s="149">
        <f>G15+G44</f>
        <v/>
      </c>
      <c r="H57" s="34" t="n"/>
      <c r="I57" s="141" t="n"/>
      <c r="J57" s="149">
        <f>J15+J44</f>
        <v/>
      </c>
    </row>
    <row r="58" ht="15.75" customFormat="1" customHeight="1" s="95">
      <c r="A58" s="132" t="n"/>
      <c r="B58" s="150" t="n"/>
      <c r="C58" s="147" t="inlineStr">
        <is>
          <t>Накладные расходы</t>
        </is>
      </c>
      <c r="D58" s="35" t="n">
        <v>1.0409189689991</v>
      </c>
      <c r="E58" s="150" t="n"/>
      <c r="F58" s="149" t="n"/>
      <c r="G58" s="149">
        <f>(G14+G17)*D58</f>
        <v/>
      </c>
      <c r="H58" s="34" t="n"/>
      <c r="I58" s="141" t="n"/>
      <c r="J58" s="141">
        <f>(J14+J17)*D58</f>
        <v/>
      </c>
    </row>
    <row r="59" ht="32.25" customFormat="1" customHeight="1" s="95">
      <c r="A59" s="132" t="n"/>
      <c r="B59" s="150" t="n"/>
      <c r="C59" s="147" t="inlineStr">
        <is>
          <t>Накладные расходы 
(с коэффициентом на демонтаж 0,7)</t>
        </is>
      </c>
      <c r="D59" s="35">
        <f>G59/(G$18+$G$15)</f>
        <v/>
      </c>
      <c r="E59" s="150" t="n"/>
      <c r="F59" s="149" t="n"/>
      <c r="G59" s="149">
        <f>G58*0.7</f>
        <v/>
      </c>
      <c r="H59" s="34" t="n"/>
      <c r="I59" s="141" t="n"/>
      <c r="J59" s="141">
        <f>ROUND(D59*(J15+J18),2)</f>
        <v/>
      </c>
    </row>
    <row r="60" ht="15.6" customFormat="1" customHeight="1" s="95">
      <c r="A60" s="132" t="n"/>
      <c r="B60" s="150" t="n"/>
      <c r="C60" s="147" t="inlineStr">
        <is>
          <t>Сметная прибыль</t>
        </is>
      </c>
      <c r="D60" s="35" t="n">
        <v>0.5953957620859101</v>
      </c>
      <c r="E60" s="150" t="n"/>
      <c r="F60" s="149" t="n"/>
      <c r="G60" s="149">
        <f>(G14+G17)*D60</f>
        <v/>
      </c>
      <c r="H60" s="34" t="n"/>
      <c r="I60" s="141" t="n"/>
      <c r="J60" s="141">
        <f>(J14+J17)*D60</f>
        <v/>
      </c>
    </row>
    <row r="61" ht="36" customFormat="1" customHeight="1" s="95">
      <c r="A61" s="132" t="n"/>
      <c r="B61" s="150" t="n"/>
      <c r="C61" s="147" t="inlineStr">
        <is>
          <t>Сметная прибыль 
(с коэффициентом на демонтаж 0,7)</t>
        </is>
      </c>
      <c r="D61" s="35">
        <f>G61/(G$15+G$18)</f>
        <v/>
      </c>
      <c r="E61" s="150" t="n"/>
      <c r="F61" s="149" t="n"/>
      <c r="G61" s="149">
        <f>G60*0.7</f>
        <v/>
      </c>
      <c r="H61" s="34" t="n"/>
      <c r="I61" s="141" t="n"/>
      <c r="J61" s="141">
        <f>ROUND(D61*(J15+J18),2)</f>
        <v/>
      </c>
    </row>
    <row r="62" ht="28.5" customFormat="1" customHeight="1" s="95">
      <c r="A62" s="132" t="n"/>
      <c r="B62" s="150" t="n"/>
      <c r="C62" s="147" t="inlineStr">
        <is>
          <t>Итого СМР (с НР и СП) 
(с коэффициентом на демонтаж 0,7)</t>
        </is>
      </c>
      <c r="D62" s="150" t="n"/>
      <c r="E62" s="150" t="n"/>
      <c r="F62" s="149" t="n"/>
      <c r="G62" s="149">
        <f>G57+G59+G61</f>
        <v/>
      </c>
      <c r="H62" s="34" t="n"/>
      <c r="I62" s="141" t="n"/>
      <c r="J62" s="149">
        <f>J57+J59+J61</f>
        <v/>
      </c>
    </row>
    <row r="63" ht="28.5" customFormat="1" customHeight="1" s="95">
      <c r="A63" s="132" t="n"/>
      <c r="B63" s="150" t="n"/>
      <c r="C63" s="147" t="inlineStr">
        <is>
          <t>ВСЕГО СМР + ОБОРУДОВАНИЕ 
(с коэффициентом на демонтаж 0,7)</t>
        </is>
      </c>
      <c r="D63" s="150" t="n"/>
      <c r="E63" s="150" t="n"/>
      <c r="F63" s="149" t="n"/>
      <c r="G63" s="149">
        <f>G49+G62</f>
        <v/>
      </c>
      <c r="H63" s="34" t="n"/>
      <c r="I63" s="141" t="n"/>
      <c r="J63" s="141">
        <f>J49+J62</f>
        <v/>
      </c>
    </row>
    <row r="64" ht="15.75" customFormat="1" customHeight="1" s="95">
      <c r="A64" s="132" t="n"/>
      <c r="B64" s="150" t="n"/>
      <c r="C64" s="147" t="inlineStr">
        <is>
          <t>ИТОГО ПОКАЗАТЕЛЬ НА ЕД. ИЗМ.</t>
        </is>
      </c>
      <c r="D64" s="150" t="inlineStr">
        <is>
          <t>пог. м</t>
        </is>
      </c>
      <c r="E64" s="150" t="n">
        <v>270</v>
      </c>
      <c r="F64" s="149" t="n"/>
      <c r="G64" s="149">
        <f>G63/E64</f>
        <v/>
      </c>
      <c r="H64" s="34" t="n"/>
      <c r="I64" s="141" t="n"/>
      <c r="J64" s="149">
        <f>J63/E64</f>
        <v/>
      </c>
    </row>
    <row r="65" ht="15.6" customFormat="1" customHeight="1" s="95">
      <c r="A65" s="95" t="n"/>
      <c r="B65" s="95" t="n"/>
      <c r="C65" s="95" t="n"/>
      <c r="E65" s="95" t="n"/>
      <c r="F65" s="36" t="n"/>
      <c r="G65" s="36" t="n"/>
      <c r="I65" s="36" t="n"/>
      <c r="J65" s="36" t="n"/>
    </row>
    <row r="66" ht="15.6" customFormat="1" customHeight="1" s="95">
      <c r="A66" s="95" t="n"/>
      <c r="B66" s="95" t="n"/>
      <c r="C66" s="95" t="n"/>
      <c r="E66" s="95" t="n"/>
      <c r="F66" s="36" t="n"/>
      <c r="G66" s="36" t="n"/>
      <c r="I66" s="36" t="n"/>
      <c r="J66" s="36" t="n"/>
    </row>
    <row r="67" ht="15.6" customFormat="1" customHeight="1" s="95">
      <c r="A67" s="5" t="n"/>
      <c r="B67" s="95" t="n"/>
      <c r="C67" s="95" t="n"/>
      <c r="E67" s="95" t="n"/>
      <c r="F67" s="36" t="n"/>
      <c r="G67" s="36" t="n"/>
      <c r="I67" s="36" t="n"/>
      <c r="J67" s="36" t="n"/>
    </row>
    <row r="68" ht="15.6" customFormat="1" customHeight="1" s="95">
      <c r="A68" s="95" t="n"/>
      <c r="B68" s="95" t="n"/>
      <c r="C68" s="95" t="n"/>
      <c r="E68" s="95" t="n"/>
      <c r="F68" s="36" t="n"/>
      <c r="G68" s="36" t="n"/>
      <c r="I68" s="36" t="n"/>
      <c r="J68" s="36" t="n"/>
    </row>
    <row r="69" ht="15.6" customFormat="1" customHeight="1" s="95">
      <c r="A69" s="95" t="n"/>
      <c r="B69" s="95" t="n"/>
      <c r="C69" s="95" t="n"/>
      <c r="E69" s="95" t="n"/>
      <c r="F69" s="36" t="n"/>
      <c r="G69" s="36" t="n"/>
      <c r="I69" s="36" t="n"/>
      <c r="J69" s="36" t="n"/>
    </row>
    <row r="70" ht="15.6" customFormat="1" customHeight="1" s="95">
      <c r="A70" s="5" t="n"/>
      <c r="B70" s="95" t="n"/>
      <c r="C70" s="95" t="n"/>
      <c r="E70" s="95" t="n"/>
      <c r="F70" s="36" t="n"/>
      <c r="G70" s="36" t="n"/>
      <c r="I70" s="36" t="n"/>
      <c r="J70" s="36" t="n"/>
    </row>
    <row r="71" ht="15.6" customFormat="1" customHeight="1" s="95">
      <c r="A71" s="95" t="n"/>
      <c r="B71" s="95" t="n"/>
      <c r="C71" s="95" t="n"/>
      <c r="E71" s="95" t="n"/>
      <c r="F71" s="36" t="n"/>
      <c r="G71" s="36" t="n"/>
      <c r="I71" s="36" t="n"/>
      <c r="J71" s="36" t="n"/>
    </row>
  </sheetData>
  <mergeCells count="30">
    <mergeCell ref="H9:H10"/>
    <mergeCell ref="B54:F54"/>
    <mergeCell ref="B25:F25"/>
    <mergeCell ref="H2:J2"/>
    <mergeCell ref="B51:H51"/>
    <mergeCell ref="B20:H20"/>
    <mergeCell ref="C9:C10"/>
    <mergeCell ref="B43:F43"/>
    <mergeCell ref="E9:E10"/>
    <mergeCell ref="B42:F42"/>
    <mergeCell ref="B16:H16"/>
    <mergeCell ref="B41:F41"/>
    <mergeCell ref="B53:F53"/>
    <mergeCell ref="B44:F44"/>
    <mergeCell ref="B9:B10"/>
    <mergeCell ref="D9:D10"/>
    <mergeCell ref="B45:J45"/>
    <mergeCell ref="B52:H52"/>
    <mergeCell ref="B12:H12"/>
    <mergeCell ref="D6:J6"/>
    <mergeCell ref="A7:D7"/>
    <mergeCell ref="F9:G9"/>
    <mergeCell ref="A4:H4"/>
    <mergeCell ref="B55:F55"/>
    <mergeCell ref="A9:A10"/>
    <mergeCell ref="B46:J46"/>
    <mergeCell ref="A6:C6"/>
    <mergeCell ref="B19:H19"/>
    <mergeCell ref="B26:F26"/>
    <mergeCell ref="I9:J9"/>
  </mergeCells>
  <conditionalFormatting sqref="E13:E14">
    <cfRule type="expression" priority="1" dxfId="0" stopIfTrue="1">
      <formula>E13&gt;=1/10000</formula>
    </cfRule>
  </conditionalFormatting>
  <conditionalFormatting sqref="E16:E17">
    <cfRule type="expression" priority="2" dxfId="0" stopIfTrue="1">
      <formula>E13&gt;=1/10000</formula>
    </cfRule>
  </conditionalFormatting>
  <conditionalFormatting sqref="E19:E25">
    <cfRule type="expression" priority="3" dxfId="0" stopIfTrue="1">
      <formula>E13&gt;=1/10000</formula>
    </cfRule>
  </conditionalFormatting>
  <conditionalFormatting sqref="E27:E41">
    <cfRule type="expression" priority="4" dxfId="0" stopIfTrue="1">
      <formula>E13&gt;=1/10000</formula>
    </cfRule>
  </conditionalFormatting>
  <conditionalFormatting sqref="E43">
    <cfRule type="expression" priority="5" dxfId="0" stopIfTrue="1">
      <formula>E13&gt;=1/10000</formula>
    </cfRule>
  </conditionalFormatting>
  <conditionalFormatting sqref="E45:E56">
    <cfRule type="expression" priority="6" dxfId="0" stopIfTrue="1">
      <formula>E13&gt;=1/10000</formula>
    </cfRule>
  </conditionalFormatting>
  <conditionalFormatting sqref="E58">
    <cfRule type="expression" priority="7" dxfId="0" stopIfTrue="1">
      <formula>E13&gt;=1/10000</formula>
    </cfRule>
  </conditionalFormatting>
  <conditionalFormatting sqref="E60">
    <cfRule type="expression" priority="8" dxfId="0" stopIfTrue="1">
      <formula>E13&gt;=1/10000</formula>
    </cfRule>
  </conditionalFormatting>
  <conditionalFormatting sqref="E62:E71">
    <cfRule type="expression" priority="9" dxfId="0" stopIfTrue="1">
      <formula>E13&gt;=1/10000</formula>
    </cfRule>
  </conditionalFormatting>
  <conditionalFormatting sqref="E15">
    <cfRule type="expression" priority="10" dxfId="0" stopIfTrue="1">
      <formula>E15&gt;=1/10000</formula>
    </cfRule>
  </conditionalFormatting>
  <conditionalFormatting sqref="E18">
    <cfRule type="expression" priority="11" dxfId="0" stopIfTrue="1">
      <formula>E18&gt;=1/10000</formula>
    </cfRule>
  </conditionalFormatting>
  <conditionalFormatting sqref="E26">
    <cfRule type="expression" priority="12" dxfId="0" stopIfTrue="1">
      <formula>E26&gt;=1/10000</formula>
    </cfRule>
  </conditionalFormatting>
  <conditionalFormatting sqref="E42">
    <cfRule type="expression" priority="13" dxfId="0" stopIfTrue="1">
      <formula>E42&gt;=1/10000</formula>
    </cfRule>
  </conditionalFormatting>
  <conditionalFormatting sqref="E44">
    <cfRule type="expression" priority="14" dxfId="0" stopIfTrue="1">
      <formula>E44&gt;=1/10000</formula>
    </cfRule>
  </conditionalFormatting>
  <conditionalFormatting sqref="E57">
    <cfRule type="expression" priority="15" dxfId="0" stopIfTrue="1">
      <formula>E57&gt;=1/10000</formula>
    </cfRule>
  </conditionalFormatting>
  <conditionalFormatting sqref="E59">
    <cfRule type="expression" priority="16" dxfId="0" stopIfTrue="1">
      <formula>E59&gt;=1/10000</formula>
    </cfRule>
  </conditionalFormatting>
  <conditionalFormatting sqref="E61">
    <cfRule type="expression" priority="17" dxfId="0" stopIfTrue="1">
      <formula>E61&gt;=1/10000</formula>
    </cfRule>
  </conditionalFormatting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showGridLines="1" showRowColHeaders="1" tabSelected="0" workbookViewId="0">
      <selection activeCell="A5" sqref="A5"/>
    </sheetView>
  </sheetViews>
  <sheetFormatPr baseColWidth="8" defaultColWidth="9.140625" defaultRowHeight="14.4" outlineLevelRow="0"/>
  <cols>
    <col width="5.5703125" customWidth="1" style="93" min="1" max="1"/>
    <col width="14.85546875" customWidth="1" style="93" min="2" max="2"/>
    <col width="39.140625" customWidth="1" style="93" min="3" max="3"/>
    <col width="8.42578125" customWidth="1" style="93" min="4" max="4"/>
    <col width="13.42578125" customWidth="1" style="93" min="5" max="5"/>
    <col width="12.42578125" customWidth="1" style="93" min="6" max="6"/>
    <col width="14.140625" customWidth="1" style="93" min="7" max="7"/>
  </cols>
  <sheetData>
    <row r="1" ht="15.6" customHeight="1" s="93">
      <c r="A1" s="136" t="inlineStr">
        <is>
          <t>Приложение №6</t>
        </is>
      </c>
    </row>
    <row r="2" ht="21.75" customHeight="1" s="93">
      <c r="A2" s="136" t="n"/>
      <c r="B2" s="136" t="n"/>
      <c r="C2" s="136" t="n"/>
      <c r="D2" s="136" t="n"/>
      <c r="E2" s="136" t="n"/>
      <c r="F2" s="136" t="n"/>
      <c r="G2" s="136" t="n"/>
    </row>
    <row r="3" ht="15.6" customHeight="1" s="93">
      <c r="A3" s="154" t="inlineStr">
        <is>
          <t>Расчет стоимости оборудования</t>
        </is>
      </c>
    </row>
    <row r="4" ht="25.5" customHeight="1" s="93">
      <c r="A4" s="137" t="inlineStr">
        <is>
          <t>Наименование разрабатываемого показателя УНЦ —  Демонтаж наружных сетей водопровода/канализации</t>
        </is>
      </c>
    </row>
    <row r="5" ht="15.6" customHeight="1" s="93">
      <c r="A5" s="95" t="n"/>
      <c r="B5" s="95" t="n"/>
      <c r="C5" s="95" t="n"/>
      <c r="D5" s="95" t="n"/>
      <c r="E5" s="95" t="n"/>
      <c r="F5" s="95" t="n"/>
      <c r="G5" s="95" t="n"/>
    </row>
    <row r="6" ht="30.2" customFormat="1" customHeight="1" s="95">
      <c r="A6" s="150" t="inlineStr">
        <is>
          <t>№ пп.</t>
        </is>
      </c>
      <c r="B6" s="150" t="inlineStr">
        <is>
          <t>Код ресурса</t>
        </is>
      </c>
      <c r="C6" s="150" t="inlineStr">
        <is>
          <t>Наименование</t>
        </is>
      </c>
      <c r="D6" s="150" t="inlineStr">
        <is>
          <t>Ед. изм.</t>
        </is>
      </c>
      <c r="E6" s="153" t="inlineStr">
        <is>
          <t>Кол-во единиц по проектным данным</t>
        </is>
      </c>
      <c r="F6" s="150" t="inlineStr">
        <is>
          <t>Сметная стоимость в ценах на 01.01.2000 (руб.)</t>
        </is>
      </c>
      <c r="G6" s="160" t="n"/>
    </row>
    <row r="7" ht="15.6" customFormat="1" customHeight="1" s="95">
      <c r="A7" s="162" t="n"/>
      <c r="B7" s="162" t="n"/>
      <c r="C7" s="162" t="n"/>
      <c r="D7" s="162" t="n"/>
      <c r="E7" s="162" t="n"/>
      <c r="F7" s="153" t="inlineStr">
        <is>
          <t>на ед. изм.</t>
        </is>
      </c>
      <c r="G7" s="153" t="inlineStr">
        <is>
          <t>общая</t>
        </is>
      </c>
    </row>
    <row r="8" ht="15.6" customFormat="1" customHeight="1" s="95">
      <c r="A8" s="153" t="n">
        <v>1</v>
      </c>
      <c r="B8" s="153" t="n">
        <v>2</v>
      </c>
      <c r="C8" s="153" t="n">
        <v>3</v>
      </c>
      <c r="D8" s="153" t="n">
        <v>4</v>
      </c>
      <c r="E8" s="153" t="n">
        <v>5</v>
      </c>
      <c r="F8" s="153" t="n">
        <v>6</v>
      </c>
      <c r="G8" s="153" t="n">
        <v>7</v>
      </c>
    </row>
    <row r="9" ht="15.6" customFormat="1" customHeight="1" s="95">
      <c r="A9" s="132" t="n"/>
      <c r="B9" s="147" t="inlineStr">
        <is>
          <t>ИНЖЕНЕРНОЕ ОБОРУДОВАНИЕ</t>
        </is>
      </c>
      <c r="C9" s="159" t="n"/>
      <c r="D9" s="159" t="n"/>
      <c r="E9" s="159" t="n"/>
      <c r="F9" s="159" t="n"/>
      <c r="G9" s="160" t="n"/>
    </row>
    <row r="10" ht="31.35" customFormat="1" customHeight="1" s="95">
      <c r="A10" s="150" t="n"/>
      <c r="B10" s="38" t="n"/>
      <c r="C10" s="147" t="inlineStr">
        <is>
          <t>ИТОГО ИНЖЕНЕРНОЕ ОБОРУДОВАНИЕ</t>
        </is>
      </c>
      <c r="D10" s="38" t="n"/>
      <c r="E10" s="39" t="n"/>
      <c r="F10" s="149" t="n"/>
      <c r="G10" s="149" t="n">
        <v>0</v>
      </c>
    </row>
    <row r="11" ht="15.6" customFormat="1" customHeight="1" s="95">
      <c r="A11" s="150" t="n"/>
      <c r="B11" s="147" t="inlineStr">
        <is>
          <t>ТЕХНОЛОГИЧЕСКОЕ ОБОРУДОВАНИЕ</t>
        </is>
      </c>
      <c r="C11" s="159" t="n"/>
      <c r="D11" s="159" t="n"/>
      <c r="E11" s="159" t="n"/>
      <c r="F11" s="159" t="n"/>
      <c r="G11" s="160" t="n"/>
    </row>
    <row r="12" ht="31.35" customFormat="1" customHeight="1" s="95">
      <c r="A12" s="150" t="n"/>
      <c r="B12" s="147" t="n"/>
      <c r="C12" s="147" t="inlineStr">
        <is>
          <t>ИТОГО ТЕХНОЛОГИЧЕСКОЕ ОБОРУДОВАНИЕ</t>
        </is>
      </c>
      <c r="D12" s="147" t="n"/>
      <c r="E12" s="148" t="n"/>
      <c r="F12" s="149" t="n"/>
      <c r="G12" s="149" t="n">
        <v>0</v>
      </c>
    </row>
    <row r="13" ht="15.6" customFormat="1" customHeight="1" s="95">
      <c r="A13" s="150" t="n"/>
      <c r="B13" s="147" t="n"/>
      <c r="C13" s="147" t="inlineStr">
        <is>
          <t>Итого по разделу "Оборудование"</t>
        </is>
      </c>
      <c r="D13" s="147" t="n"/>
      <c r="E13" s="148" t="n"/>
      <c r="F13" s="149" t="n"/>
      <c r="G13" s="149" t="n">
        <v>0</v>
      </c>
    </row>
    <row r="14" ht="15.6" customFormat="1" customHeight="1" s="95">
      <c r="B14" s="136" t="n"/>
    </row>
    <row r="15" ht="15.6" customFormat="1" customHeight="1" s="95">
      <c r="A15" s="95" t="inlineStr">
        <is>
          <t>Составил ______________________        М.С. Колотиевская</t>
        </is>
      </c>
    </row>
    <row r="16" ht="15.6" customFormat="1" customHeight="1" s="95">
      <c r="A16" s="5" t="inlineStr">
        <is>
          <t xml:space="preserve">                         (подпись, инициалы, фамилия)</t>
        </is>
      </c>
    </row>
    <row r="17" ht="15.6" customFormat="1" customHeight="1" s="95"/>
    <row r="18" ht="15.6" customFormat="1" customHeight="1" s="95">
      <c r="A18" s="95" t="inlineStr">
        <is>
          <t>Проверил ______________________       М.С. Колотиевская</t>
        </is>
      </c>
    </row>
    <row r="19" ht="15.6" customFormat="1" customHeight="1" s="95">
      <c r="A19" s="5" t="inlineStr">
        <is>
          <t xml:space="preserve">                        (подпись, инициалы, фамилия)</t>
        </is>
      </c>
    </row>
    <row r="20" ht="15.6" customFormat="1" customHeight="1" s="95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showGridLines="1" showRowColHeaders="1" tabSelected="0" view="pageBreakPreview" workbookViewId="0">
      <selection activeCell="F24" sqref="F24"/>
    </sheetView>
  </sheetViews>
  <sheetFormatPr baseColWidth="8" defaultColWidth="8.85546875" defaultRowHeight="14.4" outlineLevelRow="0"/>
  <cols>
    <col width="14.42578125" customWidth="1" style="93" min="1" max="1"/>
    <col width="29.5703125" customWidth="1" style="93" min="2" max="2"/>
    <col width="39.140625" customWidth="1" style="93" min="3" max="3"/>
    <col width="24.42578125" customWidth="1" style="93" min="4" max="4"/>
  </cols>
  <sheetData>
    <row r="1">
      <c r="B1" s="81" t="n"/>
      <c r="C1" s="81" t="n"/>
      <c r="D1" s="82" t="inlineStr">
        <is>
          <t>Приложение №7</t>
        </is>
      </c>
    </row>
    <row r="2">
      <c r="A2" s="82" t="n"/>
      <c r="B2" s="82" t="n"/>
      <c r="C2" s="82" t="n"/>
      <c r="D2" s="82" t="n"/>
    </row>
    <row r="3" ht="24.75" customHeight="1" s="93">
      <c r="A3" s="151" t="inlineStr">
        <is>
          <t>Расчет показателя УНЦ</t>
        </is>
      </c>
    </row>
    <row r="4" ht="24.75" customHeight="1" s="93">
      <c r="A4" s="151" t="n"/>
      <c r="B4" s="151" t="n"/>
      <c r="C4" s="151" t="n"/>
      <c r="D4" s="151" t="n"/>
    </row>
    <row r="5" ht="24.6" customHeight="1" s="93">
      <c r="A5" s="152" t="inlineStr">
        <is>
          <t xml:space="preserve">Наименование разрабатываемого показателя УНЦ - </t>
        </is>
      </c>
      <c r="D5" s="152">
        <f>'Прил.5 Расчет СМР и ОБ'!D6:J6</f>
        <v/>
      </c>
    </row>
    <row r="6" ht="19.9" customHeight="1" s="93">
      <c r="A6" s="152" t="inlineStr">
        <is>
          <t>Единица измерения  — пог.м</t>
        </is>
      </c>
      <c r="D6" s="152" t="n"/>
    </row>
    <row r="7">
      <c r="A7" s="81" t="n"/>
      <c r="B7" s="81" t="n"/>
      <c r="C7" s="81" t="n"/>
      <c r="D7" s="81" t="n"/>
    </row>
    <row r="8" ht="14.45" customHeight="1" s="93">
      <c r="A8" s="153" t="inlineStr">
        <is>
          <t>Код показателя</t>
        </is>
      </c>
      <c r="B8" s="153" t="inlineStr">
        <is>
          <t>Наименование показателя</t>
        </is>
      </c>
      <c r="C8" s="153" t="inlineStr">
        <is>
          <t>Наименование РМ, входящих в состав показателя</t>
        </is>
      </c>
      <c r="D8" s="153" t="inlineStr">
        <is>
          <t>Норматив цены на 01.01.2023, тыс.руб.</t>
        </is>
      </c>
    </row>
    <row r="9" ht="15" customHeight="1" s="93">
      <c r="A9" s="162" t="n"/>
      <c r="B9" s="162" t="n"/>
      <c r="C9" s="162" t="n"/>
      <c r="D9" s="162" t="n"/>
    </row>
    <row r="10">
      <c r="A10" s="116" t="n">
        <v>1</v>
      </c>
      <c r="B10" s="116" t="n">
        <v>2</v>
      </c>
      <c r="C10" s="116" t="n">
        <v>3</v>
      </c>
      <c r="D10" s="116" t="n">
        <v>4</v>
      </c>
    </row>
    <row r="11" ht="41.45" customHeight="1" s="93">
      <c r="A11" s="116" t="inlineStr">
        <is>
          <t>М7-14</t>
        </is>
      </c>
      <c r="B11" s="116" t="inlineStr">
        <is>
          <t>УНЦ на демонтаж зданий и сооружений</t>
        </is>
      </c>
      <c r="C11" s="86">
        <f>D5</f>
        <v/>
      </c>
      <c r="D11" s="87">
        <f>'Прил.4 РМ'!C41/1000</f>
        <v/>
      </c>
      <c r="E11" s="80" t="n"/>
    </row>
    <row r="12">
      <c r="A12" s="88" t="n"/>
      <c r="B12" s="89" t="n"/>
      <c r="C12" s="88" t="n"/>
      <c r="D12" s="88" t="n"/>
    </row>
    <row r="13">
      <c r="A13" s="81" t="inlineStr">
        <is>
          <t>Составил ______________________      М.С. Колотиевская</t>
        </is>
      </c>
      <c r="B13" s="90" t="n"/>
      <c r="C13" s="90" t="n"/>
      <c r="D13" s="88" t="n"/>
    </row>
    <row r="14">
      <c r="A14" s="91" t="inlineStr">
        <is>
          <t xml:space="preserve">                         (подпись, инициалы, фамилия)</t>
        </is>
      </c>
      <c r="B14" s="90" t="n"/>
      <c r="C14" s="90" t="n"/>
      <c r="D14" s="88" t="n"/>
    </row>
    <row r="15">
      <c r="A15" s="81" t="n"/>
      <c r="B15" s="90" t="n"/>
      <c r="C15" s="90" t="n"/>
      <c r="D15" s="88" t="n"/>
    </row>
    <row r="16">
      <c r="A16" s="81" t="inlineStr">
        <is>
          <t>Проверил ______________________        А.В. Костянецкая</t>
        </is>
      </c>
      <c r="B16" s="90" t="n"/>
      <c r="C16" s="90" t="n"/>
      <c r="D16" s="88" t="n"/>
    </row>
    <row r="17">
      <c r="A17" s="91" t="inlineStr">
        <is>
          <t xml:space="preserve">                        (подпись, инициалы, фамилия)</t>
        </is>
      </c>
      <c r="B17" s="90" t="n"/>
      <c r="C17" s="90" t="n"/>
      <c r="D17" s="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rintOptions gridLines="0" gridLinesSet="1"/>
  <pageMargins left="0.7" right="0.7" top="0.75" bottom="0.75" header="0.3" footer="0.3"/>
  <pageSetup orientation="portrait" paperSize="9" scale="79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topLeftCell="A6" workbookViewId="0">
      <selection activeCell="D16" sqref="D16"/>
    </sheetView>
  </sheetViews>
  <sheetFormatPr baseColWidth="8" defaultColWidth="9.140625" defaultRowHeight="14.4" outlineLevelRow="0"/>
  <cols>
    <col width="40.5703125" customWidth="1" style="93" min="2" max="2"/>
    <col width="37" customWidth="1" style="93" min="3" max="3"/>
    <col width="32" customWidth="1" style="93" min="4" max="4"/>
  </cols>
  <sheetData>
    <row r="4" ht="15.6" customHeight="1" s="93">
      <c r="B4" s="117" t="inlineStr">
        <is>
          <t>Приложение № 10</t>
        </is>
      </c>
    </row>
    <row r="5" ht="18" customHeight="1" s="93">
      <c r="B5" s="6" t="n"/>
    </row>
    <row r="6" ht="15.6" customHeight="1" s="93">
      <c r="B6" s="154" t="inlineStr">
        <is>
          <t>Используемые индексы изменений сметной стоимости и нормы сопутствующих затрат</t>
        </is>
      </c>
    </row>
    <row r="7" ht="18" customHeight="1" s="93">
      <c r="B7" s="7" t="n"/>
    </row>
    <row r="8" ht="46.9" customFormat="1" customHeight="1" s="95">
      <c r="B8" s="153" t="inlineStr">
        <is>
          <t>Наименование индекса / норм сопутствующих затрат</t>
        </is>
      </c>
      <c r="C8" s="153" t="inlineStr">
        <is>
          <t>Дата применения и обоснование индекса / норм сопутствующих затрат</t>
        </is>
      </c>
      <c r="D8" s="153" t="inlineStr">
        <is>
          <t>Размер индекса / норма сопутствующих затрат</t>
        </is>
      </c>
    </row>
    <row r="9" ht="15.6" customFormat="1" customHeight="1" s="95">
      <c r="B9" s="153" t="n">
        <v>1</v>
      </c>
      <c r="C9" s="153" t="n">
        <v>2</v>
      </c>
      <c r="D9" s="153" t="n">
        <v>3</v>
      </c>
    </row>
    <row r="10" ht="31.35" customFormat="1" customHeight="1" s="95">
      <c r="B10" s="153" t="inlineStr">
        <is>
          <t xml:space="preserve">Индекс изменения сметной стоимости на 1 квартал 2023 года. ОЗП </t>
        </is>
      </c>
      <c r="C10" s="153" t="inlineStr">
        <is>
          <t>Письмо Минстроя России от 30.03.2023г. №17106-ИФ/09  прил.1</t>
        </is>
      </c>
      <c r="D10" s="153" t="n">
        <v>44.29</v>
      </c>
    </row>
    <row r="11" ht="31.35" customFormat="1" customHeight="1" s="95">
      <c r="B11" s="153" t="inlineStr">
        <is>
          <t>Индекс изменения сметной стоимости на 1 квартал 2023 года. ЭМ</t>
        </is>
      </c>
      <c r="C11" s="153" t="inlineStr">
        <is>
          <t>Письмо Минстроя России от 30.03.2023г. №17106-ИФ/09  прил.1</t>
        </is>
      </c>
      <c r="D11" s="153" t="n">
        <v>13.47</v>
      </c>
    </row>
    <row r="12" ht="31.35" customFormat="1" customHeight="1" s="95">
      <c r="B12" s="153" t="inlineStr">
        <is>
          <t>Индекс изменения сметной стоимости на 1 квартал 2023 года. МАТ</t>
        </is>
      </c>
      <c r="C12" s="153" t="inlineStr">
        <is>
          <t>Письмо Минстроя России от 30.03.2023г. №17106-ИФ/09  прил.1</t>
        </is>
      </c>
      <c r="D12" s="153" t="n">
        <v>8.039999999999999</v>
      </c>
    </row>
    <row r="13" ht="31.35" customFormat="1" customHeight="1" s="95">
      <c r="B13" s="153" t="inlineStr">
        <is>
          <t>Индекс изменения сметной стоимости на 1 квартал 2023 года. ОБ</t>
        </is>
      </c>
      <c r="C13" s="8" t="inlineStr">
        <is>
          <t>Письмо Минстроя России от 23.02.2023г. №9791-ИФ/09 прил.6</t>
        </is>
      </c>
      <c r="D13" s="153" t="n">
        <v>6.26</v>
      </c>
    </row>
    <row r="14" ht="78" customFormat="1" customHeight="1" s="95">
      <c r="B14" s="153" t="inlineStr">
        <is>
          <t>Временные здания и сооружения</t>
        </is>
      </c>
      <c r="C14" s="1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9" t="n">
        <v>0.039</v>
      </c>
    </row>
    <row r="15" ht="78" customFormat="1" customHeight="1" s="95">
      <c r="B15" s="153" t="inlineStr">
        <is>
          <t>Дополнительные затраты при производстве строительно-монтажных работ в зимнее время</t>
        </is>
      </c>
      <c r="C15" s="1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9" t="n">
        <v>0.021</v>
      </c>
      <c r="E15" s="3" t="n"/>
    </row>
    <row r="16" ht="31.35" customFormat="1" customHeight="1" s="95">
      <c r="B16" s="153" t="inlineStr">
        <is>
          <t>Пусконаладочные работы</t>
        </is>
      </c>
      <c r="C16" s="153" t="n"/>
      <c r="D16" s="153" t="inlineStr">
        <is>
          <t>Расчёт</t>
        </is>
      </c>
    </row>
    <row r="17" ht="31.35" customFormat="1" customHeight="1" s="95">
      <c r="B17" s="153" t="inlineStr">
        <is>
          <t>Строительный контроль</t>
        </is>
      </c>
      <c r="C17" s="153" t="inlineStr">
        <is>
          <t>Постановление Правительства РФ от 21.06.10 г. № 468</t>
        </is>
      </c>
      <c r="D17" s="9" t="n">
        <v>0.0214</v>
      </c>
    </row>
    <row r="18" ht="15.6" customFormat="1" customHeight="1" s="95">
      <c r="B18" s="153" t="inlineStr">
        <is>
          <t>Авторский надзор</t>
        </is>
      </c>
      <c r="C18" s="153" t="inlineStr">
        <is>
          <t>Приказ от 4.08.2020 № 421/пр п.173</t>
        </is>
      </c>
      <c r="D18" s="9" t="n">
        <v>0.002</v>
      </c>
    </row>
    <row r="19" ht="15.6" customFormat="1" customHeight="1" s="95">
      <c r="B19" s="153" t="inlineStr">
        <is>
          <t>Непредвиденные расходы</t>
        </is>
      </c>
      <c r="C19" s="153" t="inlineStr">
        <is>
          <t>Приказ от 4.08.2020 № 421/пр п.179</t>
        </is>
      </c>
      <c r="D19" s="9" t="n">
        <v>0.03</v>
      </c>
    </row>
    <row r="20" ht="15.6" customFormat="1" customHeight="1" s="95">
      <c r="B20" s="119" t="n"/>
    </row>
    <row r="21" ht="15.6" customFormat="1" customHeight="1" s="95">
      <c r="B21" s="119" t="n"/>
    </row>
    <row r="22" ht="15.6" customFormat="1" customHeight="1" s="95">
      <c r="B22" s="119" t="n"/>
    </row>
    <row r="23" ht="15.6" customFormat="1" customHeight="1" s="95">
      <c r="B23" s="119" t="n"/>
    </row>
    <row r="24" ht="15.6" customFormat="1" customHeight="1" s="95"/>
    <row r="25" ht="15.6" customFormat="1" customHeight="1" s="95"/>
    <row r="26" ht="15.6" customFormat="1" customHeight="1" s="95">
      <c r="B26" s="95" t="inlineStr">
        <is>
          <t>Составил ______________________        М.С. Колотиевская</t>
        </is>
      </c>
    </row>
    <row r="27" ht="15.6" customFormat="1" customHeight="1" s="95">
      <c r="B27" s="5" t="inlineStr">
        <is>
          <t xml:space="preserve">                         (подпись, инициалы, фамилия)</t>
        </is>
      </c>
    </row>
    <row r="28" ht="15.6" customFormat="1" customHeight="1" s="95"/>
    <row r="29" ht="15.6" customFormat="1" customHeight="1" s="95">
      <c r="B29" s="95" t="inlineStr">
        <is>
          <t>Проверил ______________________        М.С. Колотиевская</t>
        </is>
      </c>
    </row>
    <row r="30" ht="15.6" customFormat="1" customHeight="1" s="95">
      <c r="B30" s="5" t="inlineStr">
        <is>
          <t xml:space="preserve">                        (подпись, инициалы, фамилия)</t>
        </is>
      </c>
    </row>
    <row r="31" ht="15.6" customFormat="1" customHeight="1" s="95"/>
    <row r="32" ht="15.6" customFormat="1" customHeight="1" s="95"/>
  </sheetData>
  <mergeCells count="2"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40625" defaultRowHeight="14.4" outlineLevelRow="0"/>
  <cols>
    <col width="44.85546875" customWidth="1" style="93" min="2" max="2"/>
    <col width="13" customWidth="1" style="93" min="3" max="3"/>
    <col width="22.85546875" customWidth="1" style="93" min="4" max="4"/>
    <col width="21.5703125" customWidth="1" style="93" min="5" max="5"/>
    <col width="43.85546875" customWidth="1" style="93" min="6" max="6"/>
  </cols>
  <sheetData>
    <row r="1" s="93"/>
    <row r="2" ht="17.25" customHeight="1" s="93">
      <c r="A2" s="154" t="inlineStr">
        <is>
          <t>Расчет размера средств на оплату труда рабочих-строителей в текущем уровне цен (ФОТр.тек.)</t>
        </is>
      </c>
    </row>
    <row r="3" s="93"/>
    <row r="4" ht="18" customHeight="1" s="93">
      <c r="A4" s="94" t="inlineStr">
        <is>
          <t>Составлен в уровне цен на 01.01.2023 г.</t>
        </is>
      </c>
      <c r="B4" s="95" t="n"/>
      <c r="C4" s="95" t="n"/>
      <c r="D4" s="95" t="n"/>
      <c r="E4" s="95" t="n"/>
      <c r="F4" s="95" t="n"/>
      <c r="G4" s="95" t="n"/>
    </row>
    <row r="5" ht="15.75" customHeight="1" s="93">
      <c r="A5" s="96" t="inlineStr">
        <is>
          <t>№ пп.</t>
        </is>
      </c>
      <c r="B5" s="96" t="inlineStr">
        <is>
          <t>Наименование элемента</t>
        </is>
      </c>
      <c r="C5" s="96" t="inlineStr">
        <is>
          <t>Обозначение</t>
        </is>
      </c>
      <c r="D5" s="96" t="inlineStr">
        <is>
          <t>Формула</t>
        </is>
      </c>
      <c r="E5" s="96" t="inlineStr">
        <is>
          <t>Величина элемента</t>
        </is>
      </c>
      <c r="F5" s="96" t="inlineStr">
        <is>
          <t>Наименования обосновывающих документов</t>
        </is>
      </c>
      <c r="G5" s="95" t="n"/>
    </row>
    <row r="6" ht="15.75" customHeight="1" s="93">
      <c r="A6" s="96" t="n">
        <v>1</v>
      </c>
      <c r="B6" s="96" t="n">
        <v>2</v>
      </c>
      <c r="C6" s="96" t="n">
        <v>3</v>
      </c>
      <c r="D6" s="96" t="n">
        <v>4</v>
      </c>
      <c r="E6" s="96" t="n">
        <v>5</v>
      </c>
      <c r="F6" s="96" t="n">
        <v>6</v>
      </c>
      <c r="G6" s="95" t="n"/>
    </row>
    <row r="7" ht="110.25" customHeight="1" s="93">
      <c r="A7" s="97" t="inlineStr">
        <is>
          <t>1.1</t>
        </is>
      </c>
      <c r="B7" s="1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3" t="inlineStr">
        <is>
          <t>С1ср</t>
        </is>
      </c>
      <c r="D7" s="153" t="inlineStr">
        <is>
          <t>-</t>
        </is>
      </c>
      <c r="E7" s="100" t="n">
        <v>47872.94</v>
      </c>
      <c r="F7" s="1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95" t="n"/>
    </row>
    <row r="8" ht="31.5" customHeight="1" s="93">
      <c r="A8" s="97" t="inlineStr">
        <is>
          <t>1.2</t>
        </is>
      </c>
      <c r="B8" s="102" t="inlineStr">
        <is>
          <t>Среднегодовое нормативное число часов работы одного рабочего в месяц, часы (ч.)</t>
        </is>
      </c>
      <c r="C8" s="153" t="inlineStr">
        <is>
          <t>tср</t>
        </is>
      </c>
      <c r="D8" s="153" t="inlineStr">
        <is>
          <t>1973ч/12мес.</t>
        </is>
      </c>
      <c r="E8" s="101">
        <f>1973/12</f>
        <v/>
      </c>
      <c r="F8" s="102" t="inlineStr">
        <is>
          <t>Производственный календарь 2023 год
(40-часов.неделя)</t>
        </is>
      </c>
      <c r="G8" s="104" t="n"/>
    </row>
    <row r="9" ht="15.75" customHeight="1" s="93">
      <c r="A9" s="97" t="inlineStr">
        <is>
          <t>1.3</t>
        </is>
      </c>
      <c r="B9" s="102" t="inlineStr">
        <is>
          <t>Коэффициент увеличения</t>
        </is>
      </c>
      <c r="C9" s="153" t="inlineStr">
        <is>
          <t>Кув</t>
        </is>
      </c>
      <c r="D9" s="153" t="inlineStr">
        <is>
          <t>-</t>
        </is>
      </c>
      <c r="E9" s="101" t="n">
        <v>1</v>
      </c>
      <c r="F9" s="102" t="n"/>
      <c r="G9" s="104" t="n"/>
    </row>
    <row r="10" ht="15.75" customHeight="1" s="93">
      <c r="A10" s="97" t="inlineStr">
        <is>
          <t>1.4</t>
        </is>
      </c>
      <c r="B10" s="102" t="inlineStr">
        <is>
          <t>Средний разряд работ</t>
        </is>
      </c>
      <c r="C10" s="153" t="n"/>
      <c r="D10" s="153" t="n"/>
      <c r="E10" s="172" t="n">
        <v>2.7</v>
      </c>
      <c r="F10" s="102" t="inlineStr">
        <is>
          <t>РТМ</t>
        </is>
      </c>
      <c r="G10" s="104" t="n"/>
    </row>
    <row r="11" ht="78.75" customHeight="1" s="93">
      <c r="A11" s="97" t="inlineStr">
        <is>
          <t>1.5</t>
        </is>
      </c>
      <c r="B11" s="102" t="inlineStr">
        <is>
          <t>Тарифный коэффициент среднего разряда работ</t>
        </is>
      </c>
      <c r="C11" s="153" t="inlineStr">
        <is>
          <t>КТ</t>
        </is>
      </c>
      <c r="D11" s="153" t="inlineStr">
        <is>
          <t>-</t>
        </is>
      </c>
      <c r="E11" s="173" t="n">
        <v>1.156</v>
      </c>
      <c r="F11" s="1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95" t="n"/>
    </row>
    <row r="12" ht="78.75" customHeight="1" s="93">
      <c r="A12" s="97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153" t="inlineStr">
        <is>
          <t>Кинф</t>
        </is>
      </c>
      <c r="D12" s="153" t="inlineStr">
        <is>
          <t>-</t>
        </is>
      </c>
      <c r="E12" s="174" t="n">
        <v>1.139</v>
      </c>
      <c r="F12" s="1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93">
      <c r="A13" s="110" t="inlineStr">
        <is>
          <t>1.7</t>
        </is>
      </c>
      <c r="B13" s="111" t="inlineStr">
        <is>
          <t>Размер средств на оплату труда рабочих-строителей в текущем уровне цен (ФОТр.тек.), руб/чел.-ч</t>
        </is>
      </c>
      <c r="C13" s="123" t="inlineStr">
        <is>
          <t>ФОТр.тек.</t>
        </is>
      </c>
      <c r="D13" s="123" t="inlineStr">
        <is>
          <t>(С1ср/tср*КТ*Т*Кув)*Кинф</t>
        </is>
      </c>
      <c r="E13" s="113">
        <f>((E7*E9/E8)*E11)*E12</f>
        <v/>
      </c>
      <c r="F13" s="1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95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2023-08-25T11:35:03Z</dcterms:created>
  <dcterms:modified xsi:type="dcterms:W3CDTF">2025-01-24T12:12:22Z</dcterms:modified>
  <cp:lastModifiedBy>Администратор</cp:lastModifiedBy>
</cp:coreProperties>
</file>