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4" borderId="1" applyAlignment="1" pivotButton="0" quotePrefix="0" xfId="0">
      <alignment horizontal="right" vertical="center"/>
    </xf>
    <xf numFmtId="0" fontId="1" fillId="4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167" fontId="1" fillId="4" borderId="4" applyAlignment="1" pivotButton="0" quotePrefix="0" xfId="0">
      <alignment horizontal="center" vertical="center" wrapText="1"/>
    </xf>
    <xf numFmtId="2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1" fillId="4" borderId="4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47" customWidth="1" style="240" min="4" max="4"/>
    <col width="37.42578125" customWidth="1" style="240" min="5" max="5"/>
    <col width="9.140625" customWidth="1" style="240" min="6" max="6"/>
  </cols>
  <sheetData>
    <row r="3">
      <c r="B3" s="258" t="inlineStr">
        <is>
          <t>Приложение № 1</t>
        </is>
      </c>
    </row>
    <row r="4">
      <c r="B4" s="259" t="inlineStr">
        <is>
          <t>Сравнительная таблица отбора объекта-представителя</t>
        </is>
      </c>
    </row>
    <row r="5" ht="84" customHeight="1" s="214">
      <c r="B5" s="2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64.5" customHeight="1" s="214">
      <c r="B7" s="260" t="inlineStr">
        <is>
          <t>Наименование разрабатываемого показателя УНЦ - РЗА Ячейка Т500 кВ</t>
        </is>
      </c>
    </row>
    <row r="8" ht="31.5" customHeight="1" s="214">
      <c r="B8" s="260" t="inlineStr">
        <is>
          <t>Сопоставимый уровень цен: 2 квартал 2016 г</t>
        </is>
      </c>
    </row>
    <row r="9" ht="15.75" customHeight="1" s="214">
      <c r="B9" s="260" t="inlineStr">
        <is>
          <t>Единица измерения  — 1 комплект</t>
        </is>
      </c>
    </row>
    <row r="10">
      <c r="B10" s="260" t="n"/>
    </row>
    <row r="11">
      <c r="B11" s="263" t="inlineStr">
        <is>
          <t>№ п/п</t>
        </is>
      </c>
      <c r="C11" s="263" t="inlineStr">
        <is>
          <t>Параметр</t>
        </is>
      </c>
      <c r="D11" s="263" t="inlineStr">
        <is>
          <t xml:space="preserve">Объект-представитель </t>
        </is>
      </c>
      <c r="E11" s="152" t="n"/>
    </row>
    <row r="12" ht="96.75" customHeight="1" s="214">
      <c r="B12" s="263" t="n">
        <v>1</v>
      </c>
      <c r="C12" s="228" t="inlineStr">
        <is>
          <t>Наименование объекта-представителя</t>
        </is>
      </c>
      <c r="D12" s="263" t="inlineStr">
        <is>
          <t>ПС 500 кВ Усть-Кут (МЭС Сибири)</t>
        </is>
      </c>
    </row>
    <row r="13">
      <c r="B13" s="263" t="n">
        <v>2</v>
      </c>
      <c r="C13" s="228" t="inlineStr">
        <is>
          <t>Наименование субъекта Российской Федерации</t>
        </is>
      </c>
      <c r="D13" s="263" t="inlineStr">
        <is>
          <t>Иркутская область</t>
        </is>
      </c>
    </row>
    <row r="14">
      <c r="B14" s="263" t="n">
        <v>3</v>
      </c>
      <c r="C14" s="228" t="inlineStr">
        <is>
          <t>Климатический район и подрайон</t>
        </is>
      </c>
      <c r="D14" s="263" t="inlineStr">
        <is>
          <t>IД</t>
        </is>
      </c>
    </row>
    <row r="15">
      <c r="B15" s="263" t="n">
        <v>4</v>
      </c>
      <c r="C15" s="228" t="inlineStr">
        <is>
          <t>Мощность объекта</t>
        </is>
      </c>
      <c r="D15" s="263" t="n">
        <v>1</v>
      </c>
    </row>
    <row r="16" ht="141.75" customHeight="1" s="214">
      <c r="B16" s="26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3" t="inlineStr">
        <is>
          <t xml:space="preserve">Комплект основных защит автотрансформатора
Комплект резервных защит автотрансформатора 
Шкаф автоматики регулирования напряжения
Дифференциальная защита ошиновки
Шкаф автоматики пожаротушения
</t>
        </is>
      </c>
    </row>
    <row r="17" ht="79.5" customHeight="1" s="214">
      <c r="B17" s="26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1">
        <f>'Прил.2 Расч стоим'!J13</f>
        <v/>
      </c>
      <c r="E17" s="167" t="n"/>
    </row>
    <row r="18">
      <c r="B18" s="151" t="inlineStr">
        <is>
          <t>6.1</t>
        </is>
      </c>
      <c r="C18" s="228" t="inlineStr">
        <is>
          <t>строительно-монтажные работы</t>
        </is>
      </c>
      <c r="D18" s="181">
        <f>'Прил.2 Расч стоим'!G13</f>
        <v/>
      </c>
    </row>
    <row r="19" ht="15.75" customHeight="1" s="214">
      <c r="B19" s="151" t="inlineStr">
        <is>
          <t>6.2</t>
        </is>
      </c>
      <c r="C19" s="228" t="inlineStr">
        <is>
          <t>оборудование и инвентарь</t>
        </is>
      </c>
      <c r="D19" s="181">
        <f>'Прил.2 Расч стоим'!H13</f>
        <v/>
      </c>
    </row>
    <row r="20" ht="16.5" customHeight="1" s="214">
      <c r="B20" s="151" t="inlineStr">
        <is>
          <t>6.3</t>
        </is>
      </c>
      <c r="C20" s="228" t="inlineStr">
        <is>
          <t>пусконаладочные работы</t>
        </is>
      </c>
      <c r="D20" s="181" t="n"/>
    </row>
    <row r="21" ht="35.25" customHeight="1" s="214">
      <c r="B21" s="151" t="inlineStr">
        <is>
          <t>6.4</t>
        </is>
      </c>
      <c r="C21" s="150" t="inlineStr">
        <is>
          <t>прочие и лимитированные затраты</t>
        </is>
      </c>
      <c r="D21" s="181">
        <f>'Прил.2 Расч стоим'!I13</f>
        <v/>
      </c>
    </row>
    <row r="22">
      <c r="B22" s="263" t="n">
        <v>7</v>
      </c>
      <c r="C22" s="150" t="inlineStr">
        <is>
          <t>Сопоставимый уровень цен</t>
        </is>
      </c>
      <c r="D22" s="182" t="inlineStr">
        <is>
          <t>2 квартал 2016 г</t>
        </is>
      </c>
      <c r="E22" s="148" t="n"/>
    </row>
    <row r="23" ht="123" customHeight="1" s="214">
      <c r="B23" s="26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1">
        <f>D17</f>
        <v/>
      </c>
      <c r="E23" s="167" t="n"/>
    </row>
    <row r="24" ht="60.75" customHeight="1" s="214">
      <c r="B24" s="26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1">
        <f>D23/D15</f>
        <v/>
      </c>
      <c r="E24" s="148" t="n"/>
    </row>
    <row r="25" ht="48" customHeight="1" s="214">
      <c r="B25" s="263" t="n">
        <v>10</v>
      </c>
      <c r="C25" s="228" t="inlineStr">
        <is>
          <t>Примечание</t>
        </is>
      </c>
      <c r="D25" s="263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40" t="inlineStr">
        <is>
          <t>Составил ______________________    Е.Р. Брызгалова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E20" sqref="E20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  <col width="18" customWidth="1" style="240" min="11" max="11"/>
    <col width="9.140625" customWidth="1" style="240" min="12" max="12"/>
  </cols>
  <sheetData>
    <row r="3">
      <c r="B3" s="258" t="inlineStr">
        <is>
          <t>Приложение № 2</t>
        </is>
      </c>
      <c r="K3" s="145" t="n"/>
    </row>
    <row r="4">
      <c r="B4" s="25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60">
        <f>'Прил.1 Сравнит табл'!B7:D7</f>
        <v/>
      </c>
    </row>
    <row r="7">
      <c r="B7" s="260">
        <f>'Прил.1 Сравнит табл'!B9:D9</f>
        <v/>
      </c>
    </row>
    <row r="8" ht="18.75" customHeight="1" s="214">
      <c r="B8" s="121" t="n"/>
    </row>
    <row r="9" ht="15.75" customHeight="1" s="214">
      <c r="A9" s="240" t="n"/>
      <c r="B9" s="263" t="inlineStr">
        <is>
          <t>№ п/п</t>
        </is>
      </c>
      <c r="C9" s="2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3" t="inlineStr">
        <is>
          <t xml:space="preserve">Объект-представитель </t>
        </is>
      </c>
      <c r="E9" s="343" t="n"/>
      <c r="F9" s="343" t="n"/>
      <c r="G9" s="343" t="n"/>
      <c r="H9" s="343" t="n"/>
      <c r="I9" s="343" t="n"/>
      <c r="J9" s="344" t="n"/>
      <c r="K9" s="240" t="n"/>
      <c r="L9" s="240" t="n"/>
    </row>
    <row r="10" ht="15.75" customHeight="1" s="214">
      <c r="A10" s="240" t="n"/>
      <c r="B10" s="345" t="n"/>
      <c r="C10" s="345" t="n"/>
      <c r="D10" s="263" t="inlineStr">
        <is>
          <t>Номер сметы</t>
        </is>
      </c>
      <c r="E10" s="263" t="inlineStr">
        <is>
          <t>Наименование сметы</t>
        </is>
      </c>
      <c r="F10" s="263" t="inlineStr">
        <is>
          <t>Сметная стоимость в уровне цен 2 кв. 2016 г., тыс. руб.</t>
        </is>
      </c>
      <c r="G10" s="343" t="n"/>
      <c r="H10" s="343" t="n"/>
      <c r="I10" s="343" t="n"/>
      <c r="J10" s="344" t="n"/>
      <c r="K10" s="240" t="n"/>
      <c r="L10" s="240" t="n"/>
    </row>
    <row r="11" ht="31.5" customHeight="1" s="214">
      <c r="A11" s="240" t="n"/>
      <c r="B11" s="346" t="n"/>
      <c r="C11" s="346" t="n"/>
      <c r="D11" s="346" t="n"/>
      <c r="E11" s="346" t="n"/>
      <c r="F11" s="263" t="inlineStr">
        <is>
          <t>Строительные работы</t>
        </is>
      </c>
      <c r="G11" s="263" t="inlineStr">
        <is>
          <t>Монтажные работы</t>
        </is>
      </c>
      <c r="H11" s="263" t="inlineStr">
        <is>
          <t>Оборудование</t>
        </is>
      </c>
      <c r="I11" s="263" t="inlineStr">
        <is>
          <t>Прочее</t>
        </is>
      </c>
      <c r="J11" s="263" t="inlineStr">
        <is>
          <t>Всего</t>
        </is>
      </c>
      <c r="K11" s="240" t="n"/>
      <c r="L11" s="240" t="n"/>
    </row>
    <row r="12" ht="175.5" customHeight="1" s="214">
      <c r="B12" s="242" t="n">
        <v>1</v>
      </c>
      <c r="C12" s="228" t="inlineStr">
        <is>
          <t>Комплект основных защит автотрансформатора
Комплект резервных защит автотрансформатора 
Шкаф автоматики регулирования напряжения
Дифференциальная защита ошиновки
Шкаф автоматики пожаротушения</t>
        </is>
      </c>
      <c r="D12" s="243" t="inlineStr">
        <is>
          <t>7.02-05-01</t>
        </is>
      </c>
      <c r="E12" s="228" t="inlineStr">
        <is>
          <t xml:space="preserve">VII этап. Релейная защита ШР 500 кВ </t>
        </is>
      </c>
      <c r="F12" s="244" t="n"/>
      <c r="G12" s="244">
        <f>2.79*7.54</f>
        <v/>
      </c>
      <c r="H12" s="244">
        <f>1709.43*4.28</f>
        <v/>
      </c>
      <c r="I12" s="245">
        <f>(F12+G12)*3.9%+((F12+G12)*3.9%+F12+G12)*4.3%</f>
        <v/>
      </c>
      <c r="J12" s="246">
        <f>SUM(F12:I12)</f>
        <v/>
      </c>
    </row>
    <row r="13" ht="15.75" customHeight="1" s="214">
      <c r="A13" s="240" t="n"/>
      <c r="B13" s="262" t="inlineStr">
        <is>
          <t>Всего по объекту:</t>
        </is>
      </c>
      <c r="C13" s="343" t="n"/>
      <c r="D13" s="343" t="n"/>
      <c r="E13" s="344" t="n"/>
      <c r="F13" s="247">
        <f>F12</f>
        <v/>
      </c>
      <c r="G13" s="247">
        <f>G12</f>
        <v/>
      </c>
      <c r="H13" s="247">
        <f>H12</f>
        <v/>
      </c>
      <c r="I13" s="247">
        <f>I12</f>
        <v/>
      </c>
      <c r="J13" s="247">
        <f>J12</f>
        <v/>
      </c>
      <c r="K13" s="240" t="n"/>
      <c r="L13" s="240" t="n"/>
    </row>
    <row r="14">
      <c r="A14" s="240" t="n"/>
      <c r="B14" s="262" t="inlineStr">
        <is>
          <t>Всего по объекту в сопоставимом уровне цен 2 кв. 2016 г:</t>
        </is>
      </c>
      <c r="C14" s="343" t="n"/>
      <c r="D14" s="343" t="n"/>
      <c r="E14" s="344" t="n"/>
      <c r="F14" s="247">
        <f>F13</f>
        <v/>
      </c>
      <c r="G14" s="247">
        <f>G13</f>
        <v/>
      </c>
      <c r="H14" s="247">
        <f>H13</f>
        <v/>
      </c>
      <c r="I14" s="247">
        <f>I13</f>
        <v/>
      </c>
      <c r="J14" s="247">
        <f>J13</f>
        <v/>
      </c>
      <c r="K14" s="240" t="n"/>
      <c r="L14" s="240" t="n"/>
    </row>
    <row r="15" ht="15" customHeight="1" s="214"/>
    <row r="16" ht="15" customHeight="1" s="214"/>
    <row r="17" ht="15" customHeight="1" s="214"/>
    <row r="18" ht="15" customHeight="1" s="214">
      <c r="C18" s="210" t="inlineStr">
        <is>
          <t>Составил ______________________     Е.Р. Брызгалова</t>
        </is>
      </c>
      <c r="D18" s="211" t="n"/>
      <c r="E18" s="211" t="n"/>
    </row>
    <row r="19" ht="15" customHeight="1" s="214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14">
      <c r="C20" s="210" t="n"/>
      <c r="D20" s="211" t="n"/>
      <c r="E20" s="211" t="n"/>
    </row>
    <row r="21" ht="15" customHeight="1" s="214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14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3"/>
  <sheetViews>
    <sheetView view="pageBreakPreview" zoomScale="70" zoomScaleSheetLayoutView="70" workbookViewId="0">
      <selection activeCell="G174" sqref="G174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7109375" customWidth="1" style="240" min="8" max="8"/>
    <col width="9.140625" customWidth="1" style="240" min="9" max="10"/>
    <col width="15" customWidth="1" style="240" min="11" max="11"/>
    <col width="9.140625" customWidth="1" style="240" min="12" max="12"/>
  </cols>
  <sheetData>
    <row r="2" s="214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</row>
    <row r="3">
      <c r="A3" s="258" t="inlineStr">
        <is>
          <t xml:space="preserve">Приложение № 3 </t>
        </is>
      </c>
    </row>
    <row r="4">
      <c r="A4" s="259" t="inlineStr">
        <is>
          <t>Объектная ресурсная ведомость</t>
        </is>
      </c>
    </row>
    <row r="5" ht="18.75" customHeight="1" s="214">
      <c r="A5" s="179" t="n"/>
      <c r="B5" s="179" t="n"/>
      <c r="C5" s="2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60" t="n"/>
    </row>
    <row r="7">
      <c r="A7" s="267" t="inlineStr">
        <is>
          <t>Наименование разрабатываемого показателя УНЦ - РЗА Ячейка Т500 кВ</t>
        </is>
      </c>
    </row>
    <row r="8">
      <c r="A8" s="267" t="n"/>
      <c r="B8" s="267" t="n"/>
      <c r="C8" s="267" t="n"/>
      <c r="D8" s="267" t="n"/>
      <c r="E8" s="267" t="n"/>
      <c r="F8" s="267" t="n"/>
      <c r="G8" s="267" t="n"/>
      <c r="H8" s="267" t="n"/>
    </row>
    <row r="9" ht="38.25" customHeight="1" s="214">
      <c r="A9" s="263" t="inlineStr">
        <is>
          <t>п/п</t>
        </is>
      </c>
      <c r="B9" s="263" t="inlineStr">
        <is>
          <t>№ЛСР</t>
        </is>
      </c>
      <c r="C9" s="263" t="inlineStr">
        <is>
          <t>Код ресурса</t>
        </is>
      </c>
      <c r="D9" s="263" t="inlineStr">
        <is>
          <t>Наименование ресурса</t>
        </is>
      </c>
      <c r="E9" s="263" t="inlineStr">
        <is>
          <t>Ед. изм.</t>
        </is>
      </c>
      <c r="F9" s="263" t="inlineStr">
        <is>
          <t>Кол-во единиц по данным объекта-представителя</t>
        </is>
      </c>
      <c r="G9" s="263" t="inlineStr">
        <is>
          <t>Сметная стоимость в ценах на 01.01.2000 (руб.)</t>
        </is>
      </c>
      <c r="H9" s="344" t="n"/>
    </row>
    <row r="10" ht="40.5" customHeight="1" s="214">
      <c r="A10" s="346" t="n"/>
      <c r="B10" s="346" t="n"/>
      <c r="C10" s="346" t="n"/>
      <c r="D10" s="346" t="n"/>
      <c r="E10" s="346" t="n"/>
      <c r="F10" s="346" t="n"/>
      <c r="G10" s="263" t="inlineStr">
        <is>
          <t>на ед.изм.</t>
        </is>
      </c>
      <c r="H10" s="263" t="inlineStr">
        <is>
          <t>общая</t>
        </is>
      </c>
    </row>
    <row r="11">
      <c r="A11" s="233" t="n">
        <v>1</v>
      </c>
      <c r="B11" s="233" t="n"/>
      <c r="C11" s="233" t="n">
        <v>2</v>
      </c>
      <c r="D11" s="233" t="inlineStr">
        <is>
          <t>З</t>
        </is>
      </c>
      <c r="E11" s="233" t="n">
        <v>4</v>
      </c>
      <c r="F11" s="233" t="n">
        <v>5</v>
      </c>
      <c r="G11" s="233" t="n">
        <v>6</v>
      </c>
      <c r="H11" s="233" t="n">
        <v>7</v>
      </c>
    </row>
    <row r="12" customFormat="1" s="205">
      <c r="A12" s="264" t="inlineStr">
        <is>
          <t>Затраты труда рабочих</t>
        </is>
      </c>
      <c r="B12" s="343" t="n"/>
      <c r="C12" s="343" t="n"/>
      <c r="D12" s="343" t="n"/>
      <c r="E12" s="344" t="n"/>
      <c r="F12" s="175">
        <f>SUM(F13:F16)</f>
        <v/>
      </c>
      <c r="G12" s="10" t="n"/>
      <c r="H12" s="175">
        <f>SUM(H13:H16)</f>
        <v/>
      </c>
    </row>
    <row r="13">
      <c r="A13" s="295" t="n">
        <v>1</v>
      </c>
      <c r="B13" s="159" t="n"/>
      <c r="C13" s="172" t="inlineStr">
        <is>
          <t>1-4-2</t>
        </is>
      </c>
      <c r="D13" s="171" t="inlineStr">
        <is>
          <t>Затраты труда рабочих (средний разряд работы 4,2)</t>
        </is>
      </c>
      <c r="E13" s="295" t="inlineStr">
        <is>
          <t>чел.-ч</t>
        </is>
      </c>
      <c r="F13" s="178" t="n">
        <v>159.26</v>
      </c>
      <c r="G13" s="169" t="n">
        <v>9.92</v>
      </c>
      <c r="H13" s="169">
        <f>ROUND(F13*G13,2)</f>
        <v/>
      </c>
      <c r="M13" s="180" t="n"/>
    </row>
    <row r="14">
      <c r="A14" s="295" t="n">
        <v>2</v>
      </c>
      <c r="B14" s="159" t="n"/>
      <c r="C14" s="172" t="inlineStr">
        <is>
          <t>1-3-8</t>
        </is>
      </c>
      <c r="D14" s="171" t="inlineStr">
        <is>
          <t>Затраты труда рабочих (средний разряд работы 3,8)</t>
        </is>
      </c>
      <c r="E14" s="295" t="inlineStr">
        <is>
          <t>чел.-ч</t>
        </is>
      </c>
      <c r="F14" s="178" t="n">
        <v>38.69</v>
      </c>
      <c r="G14" s="169" t="n">
        <v>9.4</v>
      </c>
      <c r="H14" s="169">
        <f>ROUND(F14*G14,2)</f>
        <v/>
      </c>
    </row>
    <row r="15">
      <c r="A15" s="295" t="n">
        <v>3</v>
      </c>
      <c r="B15" s="159" t="n"/>
      <c r="C15" s="172" t="inlineStr">
        <is>
          <t>1-4-0</t>
        </is>
      </c>
      <c r="D15" s="171" t="inlineStr">
        <is>
          <t>Затраты труда рабочих (средний разряд работы 4,0)</t>
        </is>
      </c>
      <c r="E15" s="295" t="inlineStr">
        <is>
          <t>чел.-ч</t>
        </is>
      </c>
      <c r="F15" s="178" t="n">
        <v>18.96</v>
      </c>
      <c r="G15" s="169" t="n">
        <v>9.619999999999999</v>
      </c>
      <c r="H15" s="169">
        <f>ROUND(F15*G15,2)</f>
        <v/>
      </c>
    </row>
    <row r="16">
      <c r="A16" s="295" t="n">
        <v>4</v>
      </c>
      <c r="B16" s="159" t="n"/>
      <c r="C16" s="172" t="inlineStr">
        <is>
          <t>1-4-1</t>
        </is>
      </c>
      <c r="D16" s="171" t="inlineStr">
        <is>
          <t>Затраты труда рабочих (средний разряд работы 4,1)</t>
        </is>
      </c>
      <c r="E16" s="295" t="inlineStr">
        <is>
          <t>чел.-ч</t>
        </is>
      </c>
      <c r="F16" s="178" t="n">
        <v>0.65</v>
      </c>
      <c r="G16" s="169" t="n">
        <v>9.76</v>
      </c>
      <c r="H16" s="169">
        <f>ROUND(F16*G16,2)</f>
        <v/>
      </c>
    </row>
    <row r="17" ht="15.75" customHeight="1" s="214">
      <c r="A17" s="264" t="inlineStr">
        <is>
          <t>Затраты труда машинистов</t>
        </is>
      </c>
      <c r="B17" s="343" t="n"/>
      <c r="C17" s="343" t="n"/>
      <c r="D17" s="343" t="n"/>
      <c r="E17" s="344" t="n"/>
      <c r="F17" s="264" t="n"/>
      <c r="G17" s="157" t="n"/>
      <c r="H17" s="175">
        <f>H18</f>
        <v/>
      </c>
    </row>
    <row r="18">
      <c r="A18" s="295" t="n">
        <v>5</v>
      </c>
      <c r="B18" s="265" t="n"/>
      <c r="C18" s="172" t="n">
        <v>2</v>
      </c>
      <c r="D18" s="171" t="inlineStr">
        <is>
          <t>Затраты труда машинистов(справочно)</t>
        </is>
      </c>
      <c r="E18" s="295" t="inlineStr">
        <is>
          <t>чел.-ч</t>
        </is>
      </c>
      <c r="F18" s="178" t="n">
        <v>22.48</v>
      </c>
      <c r="G18" s="169" t="n"/>
      <c r="H18" s="177" t="n">
        <v>296.43</v>
      </c>
    </row>
    <row r="19" customFormat="1" s="205">
      <c r="A19" s="264" t="inlineStr">
        <is>
          <t>Машины и механизмы</t>
        </is>
      </c>
      <c r="B19" s="343" t="n"/>
      <c r="C19" s="343" t="n"/>
      <c r="D19" s="343" t="n"/>
      <c r="E19" s="344" t="n"/>
      <c r="F19" s="264" t="n"/>
      <c r="G19" s="157" t="n"/>
      <c r="H19" s="175">
        <f>SUM(H20:H27)</f>
        <v/>
      </c>
    </row>
    <row r="20" ht="25.5" customHeight="1" s="214">
      <c r="A20" s="295" t="n">
        <v>6</v>
      </c>
      <c r="B20" s="265" t="n"/>
      <c r="C20" s="172" t="inlineStr">
        <is>
          <t>91.05.04-010</t>
        </is>
      </c>
      <c r="D20" s="171" t="inlineStr">
        <is>
          <t>Краны мостовые электрические, грузоподъемность 50 т</t>
        </is>
      </c>
      <c r="E20" s="295" t="inlineStr">
        <is>
          <t>маш.час</t>
        </is>
      </c>
      <c r="F20" s="295" t="n">
        <v>1.15</v>
      </c>
      <c r="G20" s="176" t="n">
        <v>197.01</v>
      </c>
      <c r="H20" s="169">
        <f>ROUND(F20*G20,2)</f>
        <v/>
      </c>
      <c r="I20" s="174" t="n"/>
      <c r="J20" s="174" t="n"/>
      <c r="L20" s="174" t="n"/>
    </row>
    <row r="21" ht="25.5" customFormat="1" customHeight="1" s="205">
      <c r="A21" s="295" t="n">
        <v>7</v>
      </c>
      <c r="B21" s="265" t="n"/>
      <c r="C21" s="172" t="inlineStr">
        <is>
          <t>91.05.05-014</t>
        </is>
      </c>
      <c r="D21" s="171" t="inlineStr">
        <is>
          <t>Краны на автомобильном ходу, грузоподъемность 10 т</t>
        </is>
      </c>
      <c r="E21" s="295" t="inlineStr">
        <is>
          <t>маш.час</t>
        </is>
      </c>
      <c r="F21" s="295" t="n">
        <v>1.32</v>
      </c>
      <c r="G21" s="176" t="n">
        <v>111.99</v>
      </c>
      <c r="H21" s="169">
        <f>ROUND(F21*G21,2)</f>
        <v/>
      </c>
      <c r="I21" s="174" t="n"/>
      <c r="J21" s="174" t="n"/>
      <c r="L21" s="174" t="n"/>
    </row>
    <row r="22" ht="25.5" customHeight="1" s="214">
      <c r="A22" s="295" t="n">
        <v>8</v>
      </c>
      <c r="B22" s="265" t="n"/>
      <c r="C22" s="172" t="inlineStr">
        <is>
          <t>91.17.04-233</t>
        </is>
      </c>
      <c r="D22" s="171" t="inlineStr">
        <is>
          <t>Установки для сварки: ручной дуговой (постоянного тока)</t>
        </is>
      </c>
      <c r="E22" s="295" t="inlineStr">
        <is>
          <t>маш.час</t>
        </is>
      </c>
      <c r="F22" s="295" t="n">
        <v>17.44</v>
      </c>
      <c r="G22" s="176" t="n">
        <v>8.1</v>
      </c>
      <c r="H22" s="169">
        <f>ROUND(F22*G22,2)</f>
        <v/>
      </c>
      <c r="I22" s="174" t="n"/>
      <c r="J22" s="174" t="n"/>
      <c r="L22" s="174" t="n"/>
    </row>
    <row r="23" ht="25.5" customHeight="1" s="214">
      <c r="A23" s="295" t="n">
        <v>9</v>
      </c>
      <c r="B23" s="265" t="n"/>
      <c r="C23" s="172" t="inlineStr">
        <is>
          <t>91.14.02-001</t>
        </is>
      </c>
      <c r="D23" s="171" t="inlineStr">
        <is>
          <t>Автомобили бортовые, грузоподъемность: до 5 т</t>
        </is>
      </c>
      <c r="E23" s="295" t="inlineStr">
        <is>
          <t>маш.час</t>
        </is>
      </c>
      <c r="F23" s="295" t="n">
        <v>1.32</v>
      </c>
      <c r="G23" s="176" t="n">
        <v>65.70999999999999</v>
      </c>
      <c r="H23" s="169">
        <f>ROUND(F23*G23,2)</f>
        <v/>
      </c>
      <c r="I23" s="174" t="n"/>
      <c r="J23" s="174" t="n"/>
      <c r="L23" s="174" t="n"/>
    </row>
    <row r="24" ht="25.5" customHeight="1" s="214">
      <c r="A24" s="295" t="n">
        <v>10</v>
      </c>
      <c r="B24" s="265" t="n"/>
      <c r="C24" s="172" t="inlineStr">
        <is>
          <t>91.17.04-161</t>
        </is>
      </c>
      <c r="D24" s="171" t="inlineStr">
        <is>
          <t>Полуавтоматы сварочные номинальным сварочным током 40-500 А</t>
        </is>
      </c>
      <c r="E24" s="295" t="inlineStr">
        <is>
          <t>маш.час</t>
        </is>
      </c>
      <c r="F24" s="295" t="n">
        <v>0.36</v>
      </c>
      <c r="G24" s="176" t="n">
        <v>16.44</v>
      </c>
      <c r="H24" s="169">
        <f>ROUND(F24*G24,2)</f>
        <v/>
      </c>
      <c r="I24" s="174" t="n"/>
      <c r="J24" s="174" t="n"/>
      <c r="L24" s="174" t="n"/>
    </row>
    <row r="25">
      <c r="A25" s="295" t="n">
        <v>11</v>
      </c>
      <c r="B25" s="265" t="n"/>
      <c r="C25" s="172" t="inlineStr">
        <is>
          <t>91.06.06-042</t>
        </is>
      </c>
      <c r="D25" s="171" t="inlineStr">
        <is>
          <t>Подъемники гидравлические высотой подъема 10 м</t>
        </is>
      </c>
      <c r="E25" s="295" t="inlineStr">
        <is>
          <t>маш.час</t>
        </is>
      </c>
      <c r="F25" s="295" t="n">
        <v>0.04</v>
      </c>
      <c r="G25" s="176" t="n">
        <v>29.6</v>
      </c>
      <c r="H25" s="169">
        <f>ROUND(F25*G25,2)</f>
        <v/>
      </c>
      <c r="I25" s="174" t="n"/>
      <c r="J25" s="174" t="n"/>
      <c r="L25" s="174" t="n"/>
    </row>
    <row r="26" ht="25.5" customHeight="1" s="214">
      <c r="A26" s="295" t="n">
        <v>12</v>
      </c>
      <c r="B26" s="265" t="n"/>
      <c r="C26" s="172" t="inlineStr">
        <is>
          <t>91.06.03-061</t>
        </is>
      </c>
      <c r="D26" s="171" t="inlineStr">
        <is>
          <t>Лебедки электрические тяговым усилием: до 12,26 кН (1,25 т)</t>
        </is>
      </c>
      <c r="E26" s="295" t="inlineStr">
        <is>
          <t>маш.час</t>
        </is>
      </c>
      <c r="F26" s="295" t="n">
        <v>0.02</v>
      </c>
      <c r="G26" s="176" t="n">
        <v>3.28</v>
      </c>
      <c r="H26" s="169">
        <f>ROUND(F26*G26,2)</f>
        <v/>
      </c>
      <c r="I26" s="174" t="n"/>
      <c r="J26" s="174" t="n"/>
    </row>
    <row r="27" ht="25.5" customHeight="1" s="214">
      <c r="A27" s="295" t="n">
        <v>13</v>
      </c>
      <c r="B27" s="265" t="n"/>
      <c r="C27" s="172" t="inlineStr">
        <is>
          <t>91.06.01-003</t>
        </is>
      </c>
      <c r="D27" s="171" t="inlineStr">
        <is>
          <t>Домкраты гидравлические, грузоподъемность 63-100 т</t>
        </is>
      </c>
      <c r="E27" s="295" t="inlineStr">
        <is>
          <t>маш.час</t>
        </is>
      </c>
      <c r="F27" s="295" t="n">
        <v>0.02</v>
      </c>
      <c r="G27" s="176" t="n">
        <v>0.9</v>
      </c>
      <c r="H27" s="169">
        <f>ROUND(F27*G27,2)</f>
        <v/>
      </c>
      <c r="J27" s="174" t="n"/>
    </row>
    <row r="28" ht="15" customHeight="1" s="214">
      <c r="A28" s="264" t="inlineStr">
        <is>
          <t>Оборудование</t>
        </is>
      </c>
      <c r="B28" s="343" t="n"/>
      <c r="C28" s="343" t="n"/>
      <c r="D28" s="343" t="n"/>
      <c r="E28" s="344" t="n"/>
      <c r="F28" s="10" t="n"/>
      <c r="G28" s="10" t="n"/>
      <c r="H28" s="175">
        <f>SUM(H29:H36)</f>
        <v/>
      </c>
      <c r="J28" s="174" t="n"/>
    </row>
    <row r="29" ht="25.5" customHeight="1" s="214">
      <c r="A29" s="173" t="n">
        <v>14</v>
      </c>
      <c r="B29" s="281" t="n"/>
      <c r="C29" s="172" t="inlineStr">
        <is>
          <t>Прайс из СД ОП</t>
        </is>
      </c>
      <c r="D29" s="171" t="inlineStr">
        <is>
          <t>Комплект основных защит автотрансформатора 330-750 кВ типа ШЭТ 310.02-0</t>
        </is>
      </c>
      <c r="E29" s="295" t="inlineStr">
        <is>
          <t>шт</t>
        </is>
      </c>
      <c r="F29" s="295" t="n">
        <v>1</v>
      </c>
      <c r="G29" s="184" t="n">
        <v>690977.48</v>
      </c>
      <c r="H29" s="169">
        <f>ROUND(F29*G29,2)</f>
        <v/>
      </c>
      <c r="I29" s="166" t="n"/>
      <c r="J29" s="174" t="n"/>
    </row>
    <row r="30" ht="27" customHeight="1" s="214">
      <c r="A30" s="173" t="n">
        <v>15</v>
      </c>
      <c r="B30" s="281" t="n"/>
      <c r="C30" s="172" t="inlineStr">
        <is>
          <t>Прайс из СД ОП</t>
        </is>
      </c>
      <c r="D30" s="171" t="inlineStr">
        <is>
          <t>Комплект основных защит автотрансформатора 330-750 кВ и ошиновки 6-35 кВ типа ШЭТ 310.01-0</t>
        </is>
      </c>
      <c r="E30" s="295" t="inlineStr">
        <is>
          <t>шт</t>
        </is>
      </c>
      <c r="F30" s="295" t="n">
        <v>1</v>
      </c>
      <c r="G30" s="184" t="n">
        <v>666367.89</v>
      </c>
      <c r="H30" s="169">
        <f>ROUND(F30*G30,2)</f>
        <v/>
      </c>
      <c r="J30" s="174" t="n"/>
    </row>
    <row r="31" ht="27" customHeight="1" s="214">
      <c r="A31" s="173" t="n">
        <v>16</v>
      </c>
      <c r="B31" s="281" t="n"/>
      <c r="C31" s="172" t="inlineStr">
        <is>
          <t>Прайс из СД ОП</t>
        </is>
      </c>
      <c r="D31" s="171" t="inlineStr">
        <is>
          <t>Шкаф КИВ</t>
        </is>
      </c>
      <c r="E31" s="295" t="inlineStr">
        <is>
          <t>шт</t>
        </is>
      </c>
      <c r="F31" s="295" t="n">
        <v>1</v>
      </c>
      <c r="G31" s="184" t="n">
        <v>653162.9399999999</v>
      </c>
      <c r="H31" s="169">
        <f>ROUND(F31*G31,2)</f>
        <v/>
      </c>
      <c r="J31" s="174" t="n"/>
    </row>
    <row r="32" ht="27" customHeight="1" s="214">
      <c r="A32" s="173" t="n">
        <v>17</v>
      </c>
      <c r="B32" s="281" t="n"/>
      <c r="C32" s="172" t="inlineStr">
        <is>
          <t>Прайс из СД ОП</t>
        </is>
      </c>
      <c r="D32" s="171" t="inlineStr">
        <is>
          <t>Шкаф автоматики пожаротушения типа ШЭТ 400.01-0</t>
        </is>
      </c>
      <c r="E32" s="295" t="inlineStr">
        <is>
          <t>шт</t>
        </is>
      </c>
      <c r="F32" s="295" t="n">
        <v>1</v>
      </c>
      <c r="G32" s="184" t="n">
        <v>652555.91</v>
      </c>
      <c r="H32" s="169">
        <f>ROUND(F32*G32,2)</f>
        <v/>
      </c>
      <c r="J32" s="174" t="n"/>
    </row>
    <row r="33" ht="25.5" customHeight="1" s="214">
      <c r="A33" s="173" t="n">
        <v>14</v>
      </c>
      <c r="B33" s="281" t="n"/>
      <c r="C33" s="172" t="inlineStr">
        <is>
          <t>Прайс из СД ОП</t>
        </is>
      </c>
      <c r="D33" s="171" t="inlineStr">
        <is>
          <t>Дифференциальная защита ошиновки 6 – 750 кВ (два комплекта) типа ШЭТ 440.01-0</t>
        </is>
      </c>
      <c r="E33" s="295" t="inlineStr">
        <is>
          <t>шт</t>
        </is>
      </c>
      <c r="F33" s="295" t="n">
        <v>1</v>
      </c>
      <c r="G33" s="184" t="n">
        <v>511950.8</v>
      </c>
      <c r="H33" s="169">
        <f>ROUND(F33*G33,2)</f>
        <v/>
      </c>
      <c r="I33" s="166" t="n"/>
      <c r="J33" s="174" t="n"/>
    </row>
    <row r="34" ht="27" customHeight="1" s="214">
      <c r="A34" s="173" t="n">
        <v>15</v>
      </c>
      <c r="B34" s="281" t="n"/>
      <c r="C34" s="172" t="inlineStr">
        <is>
          <t>Прайс из СД ОП</t>
        </is>
      </c>
      <c r="D34" s="171" t="inlineStr">
        <is>
          <t>Комплект резервных защит автотрансформатора 220-750 кВ типа  ШЭТ 410.01-0</t>
        </is>
      </c>
      <c r="E34" s="295" t="inlineStr">
        <is>
          <t>шт</t>
        </is>
      </c>
      <c r="F34" s="295" t="n">
        <v>1</v>
      </c>
      <c r="G34" s="184" t="n">
        <v>325471.73</v>
      </c>
      <c r="H34" s="169">
        <f>ROUND(F34*G34,2)</f>
        <v/>
      </c>
      <c r="J34" s="174" t="n"/>
    </row>
    <row r="35" ht="27" customHeight="1" s="214">
      <c r="A35" s="173" t="n">
        <v>16</v>
      </c>
      <c r="B35" s="281" t="n"/>
      <c r="C35" s="172" t="inlineStr">
        <is>
          <t>Прайс из СД ОП</t>
        </is>
      </c>
      <c r="D35" s="171" t="inlineStr">
        <is>
          <t>Шкаф автоматики регулирования напряжения для одного автотрансформатора типа ШЭТ 410.05-0</t>
        </is>
      </c>
      <c r="E35" s="295" t="inlineStr">
        <is>
          <t>шт</t>
        </is>
      </c>
      <c r="F35" s="295" t="n">
        <v>1</v>
      </c>
      <c r="G35" s="184" t="n">
        <v>244710.38</v>
      </c>
      <c r="H35" s="169">
        <f>ROUND(F35*G35,2)</f>
        <v/>
      </c>
      <c r="J35" s="174" t="n"/>
    </row>
    <row r="36" ht="27" customHeight="1" s="214">
      <c r="A36" s="173" t="n">
        <v>17</v>
      </c>
      <c r="B36" s="281" t="n"/>
      <c r="C36" s="172" t="inlineStr">
        <is>
          <t>Прайс из СД ОП</t>
        </is>
      </c>
      <c r="D36" s="171" t="inlineStr">
        <is>
          <t>Шкаф с тремя ТПС</t>
        </is>
      </c>
      <c r="E36" s="295" t="inlineStr">
        <is>
          <t>шт</t>
        </is>
      </c>
      <c r="F36" s="295" t="n">
        <v>1</v>
      </c>
      <c r="G36" s="184" t="n">
        <v>156323.48</v>
      </c>
      <c r="H36" s="169">
        <f>ROUND(F36*G36,2)</f>
        <v/>
      </c>
      <c r="J36" s="174" t="n"/>
    </row>
    <row r="37">
      <c r="A37" s="264" t="inlineStr">
        <is>
          <t>Материалы</t>
        </is>
      </c>
      <c r="B37" s="343" t="n"/>
      <c r="C37" s="343" t="n"/>
      <c r="D37" s="343" t="n"/>
      <c r="E37" s="344" t="n"/>
      <c r="F37" s="264" t="n"/>
      <c r="G37" s="157" t="n"/>
      <c r="H37" s="175">
        <f>SUM(H38:H76)</f>
        <v/>
      </c>
    </row>
    <row r="38">
      <c r="A38" s="173" t="n">
        <v>18</v>
      </c>
      <c r="B38" s="265" t="n"/>
      <c r="C38" s="172" t="inlineStr">
        <is>
          <t>21.1.08.03-0574</t>
        </is>
      </c>
      <c r="D38" s="171" t="inlineStr">
        <is>
          <t>Кабель контрольный КВВГЭнг(A)-LS 4х2,5</t>
        </is>
      </c>
      <c r="E38" s="295" t="inlineStr">
        <is>
          <t>1000 м</t>
        </is>
      </c>
      <c r="F38" s="295" t="n">
        <v>3</v>
      </c>
      <c r="G38" s="169" t="n">
        <v>32828.83</v>
      </c>
      <c r="H38" s="169">
        <f>ROUND(F38*G38,2)</f>
        <v/>
      </c>
      <c r="I38" s="166" t="n"/>
      <c r="J38" s="174" t="n"/>
      <c r="K38" s="174" t="n"/>
    </row>
    <row r="39" ht="25.5" customHeight="1" s="214">
      <c r="A39" s="173" t="n">
        <v>19</v>
      </c>
      <c r="B39" s="265" t="n"/>
      <c r="C39" s="172" t="inlineStr">
        <is>
          <t>07.2.07.04-0007</t>
        </is>
      </c>
      <c r="D39" s="171" t="inlineStr">
        <is>
          <t>Конструкции стальные индивидуальные: решетчатые сварные массой до 0,1 т</t>
        </is>
      </c>
      <c r="E39" s="295" t="inlineStr">
        <is>
          <t>т</t>
        </is>
      </c>
      <c r="F39" s="295" t="n">
        <v>0.4616</v>
      </c>
      <c r="G39" s="169" t="n">
        <v>11500</v>
      </c>
      <c r="H39" s="169">
        <f>ROUND(F39*G39,2)</f>
        <v/>
      </c>
      <c r="I39" s="166" t="n"/>
      <c r="J39" s="174" t="n"/>
      <c r="K39" s="174" t="n"/>
    </row>
    <row r="40" ht="38.25" customHeight="1" s="214">
      <c r="A40" s="173" t="n">
        <v>20</v>
      </c>
      <c r="B40" s="265" t="n"/>
      <c r="C40" s="172" t="inlineStr">
        <is>
          <t>20.5.02.02-0001</t>
        </is>
      </c>
      <c r="D40" s="171" t="inlineStr">
        <is>
          <t>Коробка клеммная взрывозащищенная SA141410(1C10-1N-1PE- 1C2-1N-1PE-1FL3(C)-1FL2(C) 2Exel IT6, IP66</t>
        </is>
      </c>
      <c r="E40" s="295" t="inlineStr">
        <is>
          <t>шт</t>
        </is>
      </c>
      <c r="F40" s="295" t="n">
        <v>1</v>
      </c>
      <c r="G40" s="169" t="n">
        <v>2639.24</v>
      </c>
      <c r="H40" s="169">
        <f>ROUND(F40*G40,2)</f>
        <v/>
      </c>
      <c r="I40" s="166" t="n"/>
      <c r="J40" s="174" t="n"/>
      <c r="K40" s="174" t="n"/>
    </row>
    <row r="41">
      <c r="A41" s="173" t="n">
        <v>21</v>
      </c>
      <c r="B41" s="265" t="n"/>
      <c r="C41" s="172" t="inlineStr">
        <is>
          <t>14.4.02.09-0001</t>
        </is>
      </c>
      <c r="D41" s="171" t="inlineStr">
        <is>
          <t>Краска</t>
        </is>
      </c>
      <c r="E41" s="295" t="inlineStr">
        <is>
          <t>кг</t>
        </is>
      </c>
      <c r="F41" s="295" t="n">
        <v>45.78</v>
      </c>
      <c r="G41" s="169" t="n">
        <v>28.6</v>
      </c>
      <c r="H41" s="169">
        <f>ROUND(F41*G41,2)</f>
        <v/>
      </c>
      <c r="I41" s="166" t="n"/>
      <c r="J41" s="174" t="n"/>
    </row>
    <row r="42">
      <c r="A42" s="173" t="n">
        <v>22</v>
      </c>
      <c r="B42" s="265" t="n"/>
      <c r="C42" s="172" t="inlineStr">
        <is>
          <t>08.1.02.13-0005</t>
        </is>
      </c>
      <c r="D42" s="171" t="inlineStr">
        <is>
          <t>Рукава металлические диаметром 15 мм РЗ-Ц-Х</t>
        </is>
      </c>
      <c r="E42" s="295" t="inlineStr">
        <is>
          <t>м</t>
        </is>
      </c>
      <c r="F42" s="295" t="n">
        <v>90</v>
      </c>
      <c r="G42" s="169" t="n">
        <v>8.279999999999999</v>
      </c>
      <c r="H42" s="169">
        <f>ROUND(F42*G42,2)</f>
        <v/>
      </c>
      <c r="I42" s="166" t="n"/>
      <c r="J42" s="174" t="n"/>
    </row>
    <row r="43" ht="25.5" customHeight="1" s="214">
      <c r="A43" s="173" t="n">
        <v>23</v>
      </c>
      <c r="B43" s="265" t="n"/>
      <c r="C43" s="172" t="inlineStr">
        <is>
          <t>21.2.01.02-0141</t>
        </is>
      </c>
      <c r="D43" s="171" t="inlineStr">
        <is>
          <t>Провода неизолированные для воздушных линий электропередачи медные марки: М, сечением 4 мм2</t>
        </is>
      </c>
      <c r="E43" s="295" t="inlineStr">
        <is>
          <t>т</t>
        </is>
      </c>
      <c r="F43" s="295" t="n">
        <v>0.0029</v>
      </c>
      <c r="G43" s="169" t="n">
        <v>96440</v>
      </c>
      <c r="H43" s="169">
        <f>ROUND(F43*G43,2)</f>
        <v/>
      </c>
      <c r="I43" s="166" t="n"/>
      <c r="J43" s="174" t="n"/>
    </row>
    <row r="44">
      <c r="A44" s="173" t="n">
        <v>24</v>
      </c>
      <c r="B44" s="265" t="n"/>
      <c r="C44" s="172" t="inlineStr">
        <is>
          <t>18.5.08.09-0001</t>
        </is>
      </c>
      <c r="D44" s="171" t="inlineStr">
        <is>
          <t>Патрубки</t>
        </is>
      </c>
      <c r="E44" s="295" t="inlineStr">
        <is>
          <t>10 шт</t>
        </is>
      </c>
      <c r="F44" s="295" t="n">
        <v>0.9</v>
      </c>
      <c r="G44" s="169" t="n">
        <v>277.5</v>
      </c>
      <c r="H44" s="169">
        <f>ROUND(F44*G44,2)</f>
        <v/>
      </c>
      <c r="I44" s="166" t="n"/>
      <c r="J44" s="174" t="n"/>
    </row>
    <row r="45" ht="25.5" customHeight="1" s="214">
      <c r="A45" s="173" t="n">
        <v>25</v>
      </c>
      <c r="B45" s="265" t="n"/>
      <c r="C45" s="172" t="inlineStr">
        <is>
          <t>08.3.07.01-0076</t>
        </is>
      </c>
      <c r="D45" s="171" t="inlineStr">
        <is>
          <t>Сталь полосовая, марка стали: Ст3сп шириной 50-200 мм толщиной 4-5 мм</t>
        </is>
      </c>
      <c r="E45" s="295" t="inlineStr">
        <is>
          <t>т</t>
        </is>
      </c>
      <c r="F45" s="295" t="n">
        <v>0.0486</v>
      </c>
      <c r="G45" s="169" t="n">
        <v>5000</v>
      </c>
      <c r="H45" s="169">
        <f>ROUND(F45*G45,2)</f>
        <v/>
      </c>
      <c r="I45" s="166" t="n"/>
      <c r="J45" s="174" t="n"/>
    </row>
    <row r="46">
      <c r="A46" s="173" t="n">
        <v>26</v>
      </c>
      <c r="B46" s="265" t="n"/>
      <c r="C46" s="172" t="inlineStr">
        <is>
          <t>14.4.02.09-0301</t>
        </is>
      </c>
      <c r="D46" s="171" t="inlineStr">
        <is>
          <t>Краска "Цинол"</t>
        </is>
      </c>
      <c r="E46" s="295" t="inlineStr">
        <is>
          <t>кг</t>
        </is>
      </c>
      <c r="F46" s="295" t="n">
        <v>1</v>
      </c>
      <c r="G46" s="169" t="n">
        <v>238.48</v>
      </c>
      <c r="H46" s="169">
        <f>ROUND(F46*G46,2)</f>
        <v/>
      </c>
      <c r="I46" s="166" t="n"/>
      <c r="J46" s="174" t="n"/>
    </row>
    <row r="47" ht="38.25" customHeight="1" s="214">
      <c r="A47" s="173" t="n">
        <v>27</v>
      </c>
      <c r="B47" s="265" t="n"/>
      <c r="C47" s="172" t="inlineStr">
        <is>
          <t>20.2.04.04-0001</t>
        </is>
      </c>
      <c r="D47" s="171" t="inlineStr">
        <is>
          <t>Короб кабельный прямой из оцинкованный стали толщиной 1,5 мм размером 2000х150х100 мм, 1-канальный</t>
        </is>
      </c>
      <c r="E47" s="295" t="inlineStr">
        <is>
          <t>шт</t>
        </is>
      </c>
      <c r="F47" s="295" t="n">
        <v>1.5</v>
      </c>
      <c r="G47" s="169" t="n">
        <v>157.3</v>
      </c>
      <c r="H47" s="169">
        <f>ROUND(F47*G47,2)</f>
        <v/>
      </c>
      <c r="I47" s="166" t="n"/>
      <c r="J47" s="174" t="n"/>
    </row>
    <row r="48" ht="25.5" customHeight="1" s="214">
      <c r="A48" s="173" t="n">
        <v>28</v>
      </c>
      <c r="B48" s="265" t="n"/>
      <c r="C48" s="172" t="inlineStr">
        <is>
          <t>10.3.02.03-0011</t>
        </is>
      </c>
      <c r="D48" s="171" t="inlineStr">
        <is>
          <t>Припои оловянно-свинцовые бессурьмянистые марки: ПОС30</t>
        </is>
      </c>
      <c r="E48" s="295" t="inlineStr">
        <is>
          <t>кг</t>
        </is>
      </c>
      <c r="F48" s="295" t="n">
        <v>1.3026</v>
      </c>
      <c r="G48" s="169" t="n">
        <v>68.05</v>
      </c>
      <c r="H48" s="169">
        <f>ROUND(F48*G48,2)</f>
        <v/>
      </c>
      <c r="I48" s="166" t="n"/>
      <c r="J48" s="174" t="n"/>
    </row>
    <row r="49">
      <c r="A49" s="173" t="n">
        <v>29</v>
      </c>
      <c r="B49" s="265" t="n"/>
      <c r="C49" s="172" t="inlineStr">
        <is>
          <t>01.7.15.03-0042</t>
        </is>
      </c>
      <c r="D49" s="171" t="inlineStr">
        <is>
          <t>Болты с гайками и шайбами строительные</t>
        </is>
      </c>
      <c r="E49" s="295" t="inlineStr">
        <is>
          <t>кг</t>
        </is>
      </c>
      <c r="F49" s="295" t="n">
        <v>7.235</v>
      </c>
      <c r="G49" s="169" t="n">
        <v>9.039999999999999</v>
      </c>
      <c r="H49" s="169">
        <f>ROUND(F49*G49,2)</f>
        <v/>
      </c>
      <c r="I49" s="166" t="n"/>
      <c r="J49" s="174" t="n"/>
    </row>
    <row r="50">
      <c r="A50" s="173" t="n">
        <v>30</v>
      </c>
      <c r="B50" s="265" t="n"/>
      <c r="C50" s="172" t="inlineStr">
        <is>
          <t>20.1.02.06-0001</t>
        </is>
      </c>
      <c r="D50" s="171" t="inlineStr">
        <is>
          <t>Жир паяльный</t>
        </is>
      </c>
      <c r="E50" s="295" t="inlineStr">
        <is>
          <t>кг</t>
        </is>
      </c>
      <c r="F50" s="295" t="n">
        <v>0.52</v>
      </c>
      <c r="G50" s="169" t="n">
        <v>100.8</v>
      </c>
      <c r="H50" s="169">
        <f>ROUND(F50*G50,2)</f>
        <v/>
      </c>
      <c r="I50" s="166" t="n"/>
      <c r="J50" s="174" t="n"/>
    </row>
    <row r="51" customFormat="1" s="205">
      <c r="A51" s="173" t="n">
        <v>31</v>
      </c>
      <c r="B51" s="265" t="n"/>
      <c r="C51" s="172" t="inlineStr">
        <is>
          <t>20.1.02.23-0082</t>
        </is>
      </c>
      <c r="D51" s="171" t="inlineStr">
        <is>
          <t>Перемычки гибкие, тип ПГС-50</t>
        </is>
      </c>
      <c r="E51" s="295" t="inlineStr">
        <is>
          <t>10 шт</t>
        </is>
      </c>
      <c r="F51" s="295" t="n">
        <v>1.11</v>
      </c>
      <c r="G51" s="169" t="n">
        <v>39</v>
      </c>
      <c r="H51" s="169">
        <f>ROUND(F51*G51,2)</f>
        <v/>
      </c>
      <c r="I51" s="166" t="n"/>
      <c r="J51" s="174" t="n"/>
    </row>
    <row r="52" ht="25.5" customHeight="1" s="214">
      <c r="A52" s="173" t="n">
        <v>32</v>
      </c>
      <c r="B52" s="265" t="n"/>
      <c r="C52" s="172" t="inlineStr">
        <is>
          <t>999-9950</t>
        </is>
      </c>
      <c r="D52" s="171" t="inlineStr">
        <is>
          <t>Вспомогательные ненормируемые ресурсы (2% от Оплаты труда рабочих)</t>
        </is>
      </c>
      <c r="E52" s="295" t="inlineStr">
        <is>
          <t>руб.</t>
        </is>
      </c>
      <c r="F52" s="295" t="n">
        <v>37.3293</v>
      </c>
      <c r="G52" s="169" t="n">
        <v>1</v>
      </c>
      <c r="H52" s="169">
        <f>ROUND(F52*G52,2)</f>
        <v/>
      </c>
      <c r="I52" s="166" t="n"/>
      <c r="J52" s="174" t="n"/>
    </row>
    <row r="53">
      <c r="A53" s="173" t="n">
        <v>33</v>
      </c>
      <c r="B53" s="265" t="n"/>
      <c r="C53" s="172" t="inlineStr">
        <is>
          <t>01.3.01.01-0001</t>
        </is>
      </c>
      <c r="D53" s="171" t="inlineStr">
        <is>
          <t>Бензин авиационный Б-70</t>
        </is>
      </c>
      <c r="E53" s="295" t="inlineStr">
        <is>
          <t>т</t>
        </is>
      </c>
      <c r="F53" s="295" t="n">
        <v>0.008</v>
      </c>
      <c r="G53" s="169" t="n">
        <v>4488.4</v>
      </c>
      <c r="H53" s="169">
        <f>ROUND(F53*G53,2)</f>
        <v/>
      </c>
      <c r="I53" s="166" t="n"/>
      <c r="J53" s="174" t="n"/>
      <c r="K53" s="174" t="n"/>
    </row>
    <row r="54">
      <c r="A54" s="173" t="n">
        <v>34</v>
      </c>
      <c r="B54" s="265" t="n"/>
      <c r="C54" s="172" t="inlineStr">
        <is>
          <t>01.7.11.07-0034</t>
        </is>
      </c>
      <c r="D54" s="171" t="inlineStr">
        <is>
          <t>Электроды диаметром: 4 мм Э42А</t>
        </is>
      </c>
      <c r="E54" s="295" t="inlineStr">
        <is>
          <t>кг</t>
        </is>
      </c>
      <c r="F54" s="295" t="n">
        <v>2.6404</v>
      </c>
      <c r="G54" s="169" t="n">
        <v>10.57</v>
      </c>
      <c r="H54" s="169">
        <f>ROUND(F54*G54,2)</f>
        <v/>
      </c>
      <c r="I54" s="166" t="n"/>
      <c r="J54" s="174" t="n"/>
      <c r="K54" s="174" t="n"/>
    </row>
    <row r="55">
      <c r="A55" s="173" t="n">
        <v>35</v>
      </c>
      <c r="B55" s="265" t="n"/>
      <c r="C55" s="172" t="inlineStr">
        <is>
          <t>01.7.15.04-0011</t>
        </is>
      </c>
      <c r="D55" s="171" t="inlineStr">
        <is>
          <t>Винты с полукруглой головкой длиной: 50 мм</t>
        </is>
      </c>
      <c r="E55" s="295" t="inlineStr">
        <is>
          <t>т</t>
        </is>
      </c>
      <c r="F55" s="295" t="n">
        <v>0.002</v>
      </c>
      <c r="G55" s="169" t="n">
        <v>12430</v>
      </c>
      <c r="H55" s="169">
        <f>ROUND(F55*G55,2)</f>
        <v/>
      </c>
      <c r="I55" s="166" t="n"/>
      <c r="J55" s="174" t="n"/>
      <c r="K55" s="174" t="n"/>
    </row>
    <row r="56" ht="25.5" customHeight="1" s="214">
      <c r="A56" s="173" t="n">
        <v>36</v>
      </c>
      <c r="B56" s="265" t="n"/>
      <c r="C56" s="172" t="inlineStr">
        <is>
          <t>01.7.06.05-0041</t>
        </is>
      </c>
      <c r="D56" s="171" t="inlineStr">
        <is>
          <t>Лента изоляционная прорезиненная односторонняя ширина 20 мм, толщина 0,25-0,35 мм</t>
        </is>
      </c>
      <c r="E56" s="295" t="inlineStr">
        <is>
          <t>кг</t>
        </is>
      </c>
      <c r="F56" s="295" t="n">
        <v>0.5600000000000001</v>
      </c>
      <c r="G56" s="169" t="n">
        <v>30.4</v>
      </c>
      <c r="H56" s="169">
        <f>ROUND(F56*G56,2)</f>
        <v/>
      </c>
      <c r="J56" s="174" t="n"/>
    </row>
    <row r="57">
      <c r="A57" s="173" t="n">
        <v>37</v>
      </c>
      <c r="B57" s="265" t="n"/>
      <c r="C57" s="172" t="inlineStr">
        <is>
          <t>08.3.07.01-0037</t>
        </is>
      </c>
      <c r="D57" s="171" t="inlineStr">
        <is>
          <t>Сталь полосовая 30х4 мм, марка Ст3сп</t>
        </is>
      </c>
      <c r="E57" s="295" t="inlineStr">
        <is>
          <t>т</t>
        </is>
      </c>
      <c r="F57" s="295" t="n">
        <v>0.002</v>
      </c>
      <c r="G57" s="169" t="n">
        <v>6674.64</v>
      </c>
      <c r="H57" s="169">
        <f>ROUND(F57*G57,2)</f>
        <v/>
      </c>
      <c r="J57" s="174" t="n"/>
    </row>
    <row r="58">
      <c r="A58" s="173" t="n">
        <v>38</v>
      </c>
      <c r="B58" s="265" t="n"/>
      <c r="C58" s="172" t="inlineStr">
        <is>
          <t>25.2.01.01-0001</t>
        </is>
      </c>
      <c r="D58" s="171" t="inlineStr">
        <is>
          <t>Бирки-оконцеватели</t>
        </is>
      </c>
      <c r="E58" s="295" t="inlineStr">
        <is>
          <t>100 шт</t>
        </is>
      </c>
      <c r="F58" s="295" t="n">
        <v>0.2</v>
      </c>
      <c r="G58" s="169" t="n">
        <v>63</v>
      </c>
      <c r="H58" s="169">
        <f>ROUND(F58*G58,2)</f>
        <v/>
      </c>
      <c r="J58" s="174" t="n"/>
    </row>
    <row r="59">
      <c r="A59" s="173" t="n">
        <v>39</v>
      </c>
      <c r="B59" s="265" t="n"/>
      <c r="C59" s="172" t="inlineStr">
        <is>
          <t>01.3.02.09-0022</t>
        </is>
      </c>
      <c r="D59" s="171" t="inlineStr">
        <is>
          <t>Пропан-бутан, смесь техническая</t>
        </is>
      </c>
      <c r="E59" s="295" t="inlineStr">
        <is>
          <t>кг</t>
        </is>
      </c>
      <c r="F59" s="295" t="n">
        <v>1.5</v>
      </c>
      <c r="G59" s="169" t="n">
        <v>6.09</v>
      </c>
      <c r="H59" s="169">
        <f>ROUND(F59*G59,2)</f>
        <v/>
      </c>
      <c r="J59" s="174" t="n"/>
    </row>
    <row r="60">
      <c r="A60" s="173" t="n">
        <v>40</v>
      </c>
      <c r="B60" s="265" t="n"/>
      <c r="C60" s="172" t="inlineStr">
        <is>
          <t>01.3.01.05-0009</t>
        </is>
      </c>
      <c r="D60" s="171" t="inlineStr">
        <is>
          <t>Парафины нефтяные твердые марки Т-1</t>
        </is>
      </c>
      <c r="E60" s="295" t="inlineStr">
        <is>
          <t>т</t>
        </is>
      </c>
      <c r="F60" s="295" t="n">
        <v>0.0004</v>
      </c>
      <c r="G60" s="169" t="n">
        <v>8105.71</v>
      </c>
      <c r="H60" s="169">
        <f>ROUND(F60*G60,2)</f>
        <v/>
      </c>
      <c r="J60" s="174" t="n"/>
    </row>
    <row r="61">
      <c r="A61" s="173" t="n">
        <v>41</v>
      </c>
      <c r="B61" s="265" t="n"/>
      <c r="C61" s="172" t="inlineStr">
        <is>
          <t>01.7.06.07-0001</t>
        </is>
      </c>
      <c r="D61" s="171" t="inlineStr">
        <is>
          <t>Лента К226</t>
        </is>
      </c>
      <c r="E61" s="295" t="inlineStr">
        <is>
          <t>100 м</t>
        </is>
      </c>
      <c r="F61" s="295" t="n">
        <v>0.0242</v>
      </c>
      <c r="G61" s="169" t="n">
        <v>120</v>
      </c>
      <c r="H61" s="169">
        <f>ROUND(F61*G61,2)</f>
        <v/>
      </c>
      <c r="J61" s="174" t="n"/>
    </row>
    <row r="62">
      <c r="A62" s="173" t="n">
        <v>42</v>
      </c>
      <c r="B62" s="265" t="n"/>
      <c r="C62" s="172" t="inlineStr">
        <is>
          <t>20.2.02.01-0019</t>
        </is>
      </c>
      <c r="D62" s="171" t="inlineStr">
        <is>
          <t>Втулки изолирующие</t>
        </is>
      </c>
      <c r="E62" s="295" t="inlineStr">
        <is>
          <t>1000 шт</t>
        </is>
      </c>
      <c r="F62" s="295" t="n">
        <v>0.008999999999999999</v>
      </c>
      <c r="G62" s="169" t="n">
        <v>270</v>
      </c>
      <c r="H62" s="169">
        <f>ROUND(F62*G62,2)</f>
        <v/>
      </c>
      <c r="J62" s="174" t="n"/>
    </row>
    <row r="63">
      <c r="A63" s="173" t="n">
        <v>43</v>
      </c>
      <c r="B63" s="265" t="n"/>
      <c r="C63" s="172" t="inlineStr">
        <is>
          <t>01.7.15.07-0014</t>
        </is>
      </c>
      <c r="D63" s="171" t="inlineStr">
        <is>
          <t>Дюбели распорные полипропиленовые</t>
        </is>
      </c>
      <c r="E63" s="295" t="inlineStr">
        <is>
          <t>100 шт</t>
        </is>
      </c>
      <c r="F63" s="295" t="n">
        <v>0.026</v>
      </c>
      <c r="G63" s="169" t="n">
        <v>86</v>
      </c>
      <c r="H63" s="169">
        <f>ROUND(F63*G63,2)</f>
        <v/>
      </c>
      <c r="J63" s="174" t="n"/>
    </row>
    <row r="64">
      <c r="A64" s="173" t="n">
        <v>44</v>
      </c>
      <c r="B64" s="265" t="n"/>
      <c r="C64" s="172" t="inlineStr">
        <is>
          <t>25.2.01.01-0017</t>
        </is>
      </c>
      <c r="D64" s="171" t="inlineStr">
        <is>
          <t>Бирки маркировочные пластмассовые</t>
        </is>
      </c>
      <c r="E64" s="295" t="inlineStr">
        <is>
          <t>100 шт</t>
        </is>
      </c>
      <c r="F64" s="295" t="n">
        <v>0.07000000000000001</v>
      </c>
      <c r="G64" s="169" t="n">
        <v>30.74</v>
      </c>
      <c r="H64" s="169">
        <f>ROUND(F64*G64,2)</f>
        <v/>
      </c>
      <c r="J64" s="174" t="n"/>
    </row>
    <row r="65">
      <c r="A65" s="173" t="n">
        <v>45</v>
      </c>
      <c r="B65" s="265" t="n"/>
      <c r="C65" s="172" t="inlineStr">
        <is>
          <t>20.2.08.07-0033</t>
        </is>
      </c>
      <c r="D65" s="171" t="inlineStr">
        <is>
          <t>Скоба: У1078</t>
        </is>
      </c>
      <c r="E65" s="295" t="inlineStr">
        <is>
          <t>100 шт</t>
        </is>
      </c>
      <c r="F65" s="295" t="n">
        <v>0.0033</v>
      </c>
      <c r="G65" s="169" t="n">
        <v>617</v>
      </c>
      <c r="H65" s="169">
        <f>ROUND(F65*G65,2)</f>
        <v/>
      </c>
      <c r="J65" s="174" t="n"/>
    </row>
    <row r="66" customFormat="1" s="205">
      <c r="A66" s="173" t="n">
        <v>46</v>
      </c>
      <c r="B66" s="265" t="n"/>
      <c r="C66" s="172" t="inlineStr">
        <is>
          <t>01.3.01.02-0002</t>
        </is>
      </c>
      <c r="D66" s="171" t="inlineStr">
        <is>
          <t>Вазелин технический</t>
        </is>
      </c>
      <c r="E66" s="295" t="inlineStr">
        <is>
          <t>кг</t>
        </is>
      </c>
      <c r="F66" s="295" t="n">
        <v>0.02</v>
      </c>
      <c r="G66" s="169" t="n">
        <v>44.97</v>
      </c>
      <c r="H66" s="169">
        <f>ROUND(F66*G66,2)</f>
        <v/>
      </c>
      <c r="J66" s="174" t="n"/>
    </row>
    <row r="67">
      <c r="A67" s="173" t="n">
        <v>47</v>
      </c>
      <c r="B67" s="265" t="n"/>
      <c r="C67" s="172" t="inlineStr">
        <is>
          <t>14.4.03.17-0011</t>
        </is>
      </c>
      <c r="D67" s="171" t="inlineStr">
        <is>
          <t>Лак электроизоляционный 318</t>
        </is>
      </c>
      <c r="E67" s="295" t="inlineStr">
        <is>
          <t>кг</t>
        </is>
      </c>
      <c r="F67" s="295" t="n">
        <v>0.02</v>
      </c>
      <c r="G67" s="169" t="n">
        <v>35.63</v>
      </c>
      <c r="H67" s="169">
        <f>ROUND(F67*G67,2)</f>
        <v/>
      </c>
      <c r="J67" s="174" t="n"/>
    </row>
    <row r="68" ht="25.5" customHeight="1" s="214">
      <c r="A68" s="173" t="n">
        <v>48</v>
      </c>
      <c r="B68" s="265" t="n"/>
      <c r="C68" s="172" t="inlineStr">
        <is>
          <t>10.3.02.03-0013</t>
        </is>
      </c>
      <c r="D68" s="171" t="inlineStr">
        <is>
          <t>Припои оловянно-свинцовые бессурьмянистые марки: ПОС61</t>
        </is>
      </c>
      <c r="E68" s="295" t="inlineStr">
        <is>
          <t>кг</t>
        </is>
      </c>
      <c r="F68" s="295" t="n">
        <v>0.0054</v>
      </c>
      <c r="G68" s="169" t="n">
        <v>114.22</v>
      </c>
      <c r="H68" s="169">
        <f>ROUND(F68*G68,2)</f>
        <v/>
      </c>
      <c r="J68" s="174" t="n"/>
      <c r="K68" s="174" t="n"/>
    </row>
    <row r="69">
      <c r="A69" s="173" t="n">
        <v>49</v>
      </c>
      <c r="B69" s="265" t="n"/>
      <c r="C69" s="172" t="inlineStr">
        <is>
          <t>01.7.15.07-0031</t>
        </is>
      </c>
      <c r="D69" s="171" t="inlineStr">
        <is>
          <t>Дюбели распорные с гайкой</t>
        </is>
      </c>
      <c r="E69" s="295" t="inlineStr">
        <is>
          <t>100 шт</t>
        </is>
      </c>
      <c r="F69" s="295" t="n">
        <v>0.0048</v>
      </c>
      <c r="G69" s="169" t="n">
        <v>110</v>
      </c>
      <c r="H69" s="169">
        <f>ROUND(F69*G69,2)</f>
        <v/>
      </c>
      <c r="J69" s="174" t="n"/>
      <c r="K69" s="174" t="n"/>
    </row>
    <row r="70" ht="25.5" customHeight="1" s="214">
      <c r="A70" s="173" t="n">
        <v>50</v>
      </c>
      <c r="B70" s="265" t="n"/>
      <c r="C70" s="172" t="inlineStr">
        <is>
          <t>03.2.01.01-0003</t>
        </is>
      </c>
      <c r="D70" s="171" t="inlineStr">
        <is>
          <t>Портландцемент общестроительного назначения бездобавочный, марки: 500</t>
        </is>
      </c>
      <c r="E70" s="295" t="inlineStr">
        <is>
          <t>т</t>
        </is>
      </c>
      <c r="F70" s="295" t="n">
        <v>0.0011</v>
      </c>
      <c r="G70" s="169" t="n">
        <v>480</v>
      </c>
      <c r="H70" s="169">
        <f>ROUND(F70*G70,2)</f>
        <v/>
      </c>
      <c r="J70" s="174" t="n"/>
      <c r="K70" s="174" t="n"/>
    </row>
    <row r="71">
      <c r="A71" s="173" t="n">
        <v>51</v>
      </c>
      <c r="B71" s="265" t="n"/>
      <c r="C71" s="172" t="inlineStr">
        <is>
          <t>01.7.20.04-0005</t>
        </is>
      </c>
      <c r="D71" s="171" t="inlineStr">
        <is>
          <t>Нитки швейные</t>
        </is>
      </c>
      <c r="E71" s="295" t="inlineStr">
        <is>
          <t>кг</t>
        </is>
      </c>
      <c r="F71" s="295" t="n">
        <v>0.002</v>
      </c>
      <c r="G71" s="169" t="n">
        <v>133.05</v>
      </c>
      <c r="H71" s="169">
        <f>ROUND(F71*G71,2)</f>
        <v/>
      </c>
      <c r="J71" s="174" t="n"/>
    </row>
    <row r="72">
      <c r="A72" s="173" t="n">
        <v>52</v>
      </c>
      <c r="B72" s="265" t="n"/>
      <c r="C72" s="172" t="inlineStr">
        <is>
          <t>24.3.01.01-0002</t>
        </is>
      </c>
      <c r="D72" s="171" t="inlineStr">
        <is>
          <t>Трубка полихлорвиниловая</t>
        </is>
      </c>
      <c r="E72" s="295" t="inlineStr">
        <is>
          <t>кг</t>
        </is>
      </c>
      <c r="F72" s="295" t="n">
        <v>0.0028</v>
      </c>
      <c r="G72" s="169" t="n">
        <v>35.7</v>
      </c>
      <c r="H72" s="169">
        <f>ROUND(F72*G72,2)</f>
        <v/>
      </c>
      <c r="J72" s="174" t="n"/>
    </row>
    <row r="73">
      <c r="A73" s="173" t="n">
        <v>53</v>
      </c>
      <c r="B73" s="265" t="n"/>
      <c r="C73" s="172" t="inlineStr">
        <is>
          <t>01.3.01.07-0009</t>
        </is>
      </c>
      <c r="D73" s="171" t="inlineStr">
        <is>
          <t>Спирт этиловый ректификованный технический, сорт I</t>
        </is>
      </c>
      <c r="E73" s="295" t="inlineStr">
        <is>
          <t>кг</t>
        </is>
      </c>
      <c r="F73" s="295" t="n">
        <v>0.002</v>
      </c>
      <c r="G73" s="169" t="n">
        <v>38.89</v>
      </c>
      <c r="H73" s="169">
        <f>ROUND(F73*G73,2)</f>
        <v/>
      </c>
      <c r="J73" s="174" t="n"/>
    </row>
    <row r="74" ht="25.5" customHeight="1" s="214">
      <c r="A74" s="173" t="n">
        <v>54</v>
      </c>
      <c r="B74" s="265" t="n"/>
      <c r="C74" s="172" t="inlineStr">
        <is>
          <t>02.3.01.02-0020</t>
        </is>
      </c>
      <c r="D74" s="171" t="inlineStr">
        <is>
          <t>Песок природный для строительных: растворов средний</t>
        </is>
      </c>
      <c r="E74" s="295" t="inlineStr">
        <is>
          <t>м3</t>
        </is>
      </c>
      <c r="F74" s="295" t="n">
        <v>0.0009</v>
      </c>
      <c r="G74" s="169" t="n">
        <v>59.99</v>
      </c>
      <c r="H74" s="169">
        <f>ROUND(F74*G74,2)</f>
        <v/>
      </c>
      <c r="J74" s="174" t="n"/>
    </row>
    <row r="75">
      <c r="A75" s="173" t="n">
        <v>55</v>
      </c>
      <c r="B75" s="265" t="n"/>
      <c r="C75" s="172" t="inlineStr">
        <is>
          <t>01.7.02.09-0002</t>
        </is>
      </c>
      <c r="D75" s="171" t="inlineStr">
        <is>
          <t>Шпагат бумажный</t>
        </is>
      </c>
      <c r="E75" s="295" t="inlineStr">
        <is>
          <t>кг</t>
        </is>
      </c>
      <c r="F75" s="295" t="n">
        <v>0.004</v>
      </c>
      <c r="G75" s="169" t="n">
        <v>11.5</v>
      </c>
      <c r="H75" s="169">
        <f>ROUND(F75*G75,2)</f>
        <v/>
      </c>
      <c r="J75" s="174" t="n"/>
    </row>
    <row r="76">
      <c r="A76" s="173" t="n">
        <v>56</v>
      </c>
      <c r="B76" s="265" t="n"/>
      <c r="C76" s="172" t="inlineStr">
        <is>
          <t>01.3.05.17-0002</t>
        </is>
      </c>
      <c r="D76" s="171" t="inlineStr">
        <is>
          <t>Канифоль сосновая</t>
        </is>
      </c>
      <c r="E76" s="295" t="inlineStr">
        <is>
          <t>кг</t>
        </is>
      </c>
      <c r="F76" s="295" t="n">
        <v>0.0013</v>
      </c>
      <c r="G76" s="169" t="n">
        <v>27.74</v>
      </c>
      <c r="H76" s="169">
        <f>ROUND(F76*G76,2)</f>
        <v/>
      </c>
      <c r="J76" s="174" t="n"/>
    </row>
    <row r="79">
      <c r="B79" s="240" t="inlineStr">
        <is>
          <t>Составил ______________________     Е.Р. Брызгалова</t>
        </is>
      </c>
    </row>
    <row r="80">
      <c r="B80" s="145" t="inlineStr">
        <is>
          <t xml:space="preserve">                         (подпись, инициалы, фамилия)</t>
        </is>
      </c>
    </row>
    <row r="82">
      <c r="B82" s="240" t="inlineStr">
        <is>
          <t>Проверил ______________________        А.В. Костянецкая</t>
        </is>
      </c>
    </row>
    <row r="83">
      <c r="B83" s="145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E9:E10"/>
    <mergeCell ref="C5:H5"/>
    <mergeCell ref="A28:E28"/>
    <mergeCell ref="A19:E19"/>
    <mergeCell ref="A37:E37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zoomScale="86" workbookViewId="0">
      <selection activeCell="D45" sqref="D45"/>
    </sheetView>
  </sheetViews>
  <sheetFormatPr baseColWidth="8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9.140625" customWidth="1" style="214" min="8" max="11"/>
    <col width="13.5703125" customWidth="1" style="214" min="12" max="12"/>
    <col width="9.140625" customWidth="1" style="214" min="13" max="13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90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48" t="inlineStr">
        <is>
          <t>Ресурсная модель</t>
        </is>
      </c>
    </row>
    <row r="6">
      <c r="B6" s="165" t="n"/>
      <c r="C6" s="210" t="n"/>
      <c r="D6" s="210" t="n"/>
      <c r="E6" s="210" t="n"/>
    </row>
    <row r="7" ht="25.5" customHeight="1" s="214">
      <c r="B7" s="257" t="inlineStr">
        <is>
          <t>Наименование разрабатываемого показателя УНЦ — РЗА Ячейка Т500 кВ</t>
        </is>
      </c>
    </row>
    <row r="8">
      <c r="B8" s="269" t="inlineStr">
        <is>
          <t>Единица измерения  — 1 комплект</t>
        </is>
      </c>
    </row>
    <row r="9">
      <c r="B9" s="165" t="n"/>
      <c r="C9" s="210" t="n"/>
      <c r="D9" s="210" t="n"/>
      <c r="E9" s="210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ОБ'!J86</f>
        <v/>
      </c>
      <c r="D17" s="27">
        <f>C17/$C$24</f>
        <v/>
      </c>
      <c r="E17" s="27">
        <f>C17/$C$40</f>
        <v/>
      </c>
      <c r="G17" s="16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ОБ'!D90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ОБ'!D89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ОБ'!J42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7" t="n">
        <v>1394808.2702703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5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6" t="n"/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ОБ'!E93</f>
        <v/>
      </c>
      <c r="D41" s="25" t="n"/>
      <c r="E41" s="25" t="n"/>
    </row>
    <row r="42">
      <c r="B42" s="161" t="n"/>
      <c r="C42" s="210" t="n"/>
      <c r="D42" s="210" t="n"/>
      <c r="E42" s="210" t="n"/>
    </row>
    <row r="43">
      <c r="B43" s="161" t="inlineStr">
        <is>
          <t>Составил ____________________________ Е.Р. Брызгалова</t>
        </is>
      </c>
      <c r="C43" s="210" t="n"/>
      <c r="D43" s="210" t="n"/>
      <c r="E43" s="210" t="n"/>
    </row>
    <row r="44">
      <c r="B44" s="161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61" t="n"/>
      <c r="C45" s="210" t="n"/>
      <c r="D45" s="210" t="n"/>
      <c r="E45" s="210" t="n"/>
    </row>
    <row r="46">
      <c r="B46" s="161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69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9"/>
  <sheetViews>
    <sheetView view="pageBreakPreview" zoomScale="70" zoomScaleSheetLayoutView="70" workbookViewId="0">
      <selection activeCell="H164" sqref="H164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0.7109375" customWidth="1" style="211" min="4" max="4"/>
    <col width="12.7109375" customWidth="1" style="211" min="5" max="5"/>
    <col width="1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9.140625" customWidth="1" style="211" min="12" max="12"/>
  </cols>
  <sheetData>
    <row r="1">
      <c r="M1" s="211" t="n"/>
      <c r="N1" s="211" t="n"/>
    </row>
    <row r="2" ht="15.75" customHeight="1" s="214">
      <c r="H2" s="270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48" t="inlineStr">
        <is>
          <t>Расчет стоимости СМР и оборудования</t>
        </is>
      </c>
    </row>
    <row r="5" ht="12.75" customFormat="1" customHeight="1" s="210">
      <c r="A5" s="248" t="n"/>
      <c r="B5" s="248" t="n"/>
      <c r="C5" s="300" t="n"/>
      <c r="D5" s="248" t="n"/>
      <c r="E5" s="248" t="n"/>
      <c r="F5" s="248" t="n"/>
      <c r="G5" s="248" t="n"/>
      <c r="H5" s="248" t="n"/>
      <c r="I5" s="248" t="n"/>
      <c r="J5" s="248" t="n"/>
    </row>
    <row r="6" ht="12.75" customFormat="1" customHeight="1" s="210">
      <c r="A6" s="139" t="inlineStr">
        <is>
          <t>Наименование разрабатываемого показателя УНЦ</t>
        </is>
      </c>
      <c r="B6" s="138" t="n"/>
      <c r="C6" s="138" t="n"/>
      <c r="D6" s="276" t="inlineStr">
        <is>
          <t>РЗА Ячейка Т500 кВ</t>
        </is>
      </c>
    </row>
    <row r="7" ht="12.75" customFormat="1" customHeight="1" s="210">
      <c r="A7" s="251" t="inlineStr">
        <is>
          <t>Единица измерения  — 1 комплект</t>
        </is>
      </c>
      <c r="I7" s="257" t="n"/>
      <c r="J7" s="257" t="n"/>
    </row>
    <row r="8" ht="13.5" customFormat="1" customHeight="1" s="210">
      <c r="A8" s="251" t="n"/>
    </row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  <c r="M9" s="211" t="n"/>
      <c r="N9" s="211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  <c r="M10" s="211" t="n"/>
      <c r="N10" s="211" t="n"/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4" t="n">
        <v>9</v>
      </c>
      <c r="J11" s="274" t="n">
        <v>10</v>
      </c>
      <c r="M11" s="211" t="n"/>
      <c r="N11" s="211" t="n"/>
    </row>
    <row r="12">
      <c r="A12" s="273" t="n"/>
      <c r="B12" s="281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27" t="n"/>
      <c r="J12" s="127" t="n"/>
    </row>
    <row r="13" ht="25.5" customHeight="1" s="214">
      <c r="A13" s="273" t="n">
        <v>1</v>
      </c>
      <c r="B13" s="137" t="inlineStr">
        <is>
          <t>1-4-1</t>
        </is>
      </c>
      <c r="C13" s="28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128">
        <f>G13/F13</f>
        <v/>
      </c>
      <c r="F13" s="32" t="n">
        <v>9.76</v>
      </c>
      <c r="G13" s="32" t="n">
        <v>2132.29</v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11">
      <c r="A14" s="273" t="n"/>
      <c r="B14" s="273" t="n"/>
      <c r="C14" s="281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128">
        <f>SUM(E13:E13)</f>
        <v/>
      </c>
      <c r="F14" s="32" t="n"/>
      <c r="G14" s="32">
        <f>SUM(G13:G13)</f>
        <v/>
      </c>
      <c r="H14" s="285" t="n">
        <v>1</v>
      </c>
      <c r="I14" s="127" t="n"/>
      <c r="J14" s="32">
        <f>SUM(J13:J13)</f>
        <v/>
      </c>
    </row>
    <row r="15" ht="14.25" customFormat="1" customHeight="1" s="211">
      <c r="A15" s="273" t="n"/>
      <c r="B15" s="282" t="inlineStr">
        <is>
          <t>Затраты труда машинистов</t>
        </is>
      </c>
      <c r="C15" s="343" t="n"/>
      <c r="D15" s="343" t="n"/>
      <c r="E15" s="343" t="n"/>
      <c r="F15" s="343" t="n"/>
      <c r="G15" s="343" t="n"/>
      <c r="H15" s="344" t="n"/>
      <c r="I15" s="127" t="n"/>
      <c r="J15" s="127" t="n"/>
    </row>
    <row r="16" ht="14.25" customFormat="1" customHeight="1" s="211">
      <c r="A16" s="273" t="n">
        <v>2</v>
      </c>
      <c r="B16" s="273" t="n">
        <v>2</v>
      </c>
      <c r="C16" s="282" t="inlineStr">
        <is>
          <t>Затраты труда машинистов</t>
        </is>
      </c>
      <c r="D16" s="273" t="inlineStr">
        <is>
          <t>чел.-ч.</t>
        </is>
      </c>
      <c r="E16" s="128" t="n">
        <v>22.48</v>
      </c>
      <c r="F16" s="32">
        <f>G16/E16</f>
        <v/>
      </c>
      <c r="G16" s="32" t="n">
        <v>296.43</v>
      </c>
      <c r="H16" s="285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11">
      <c r="A17" s="273" t="n"/>
      <c r="B17" s="281" t="inlineStr">
        <is>
          <t>Машины и механизмы</t>
        </is>
      </c>
      <c r="C17" s="343" t="n"/>
      <c r="D17" s="343" t="n"/>
      <c r="E17" s="343" t="n"/>
      <c r="F17" s="343" t="n"/>
      <c r="G17" s="343" t="n"/>
      <c r="H17" s="344" t="n"/>
      <c r="I17" s="127" t="n"/>
      <c r="J17" s="127" t="n"/>
    </row>
    <row r="18" ht="14.25" customFormat="1" customHeight="1" s="211">
      <c r="A18" s="273" t="n"/>
      <c r="B18" s="282" t="inlineStr">
        <is>
          <t>Основные 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127" t="n"/>
      <c r="J18" s="127" t="n"/>
    </row>
    <row r="19" ht="25.5" customFormat="1" customHeight="1" s="211">
      <c r="A19" s="273" t="n">
        <v>3</v>
      </c>
      <c r="B19" s="137" t="inlineStr">
        <is>
          <t>91.05.04-010</t>
        </is>
      </c>
      <c r="C19" s="282" t="inlineStr">
        <is>
          <t>Краны мостовые электрические, грузоподъемность 50 т</t>
        </is>
      </c>
      <c r="D19" s="273" t="inlineStr">
        <is>
          <t>маш.час</t>
        </is>
      </c>
      <c r="E19" s="128" t="n">
        <v>1.15</v>
      </c>
      <c r="F19" s="284" t="n">
        <v>197.01</v>
      </c>
      <c r="G19" s="32">
        <f>ROUND(E19*F19,2)</f>
        <v/>
      </c>
      <c r="H19" s="130">
        <f>G19/$G$29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11">
      <c r="A20" s="273" t="n">
        <v>4</v>
      </c>
      <c r="B20" s="137" t="inlineStr">
        <is>
          <t>91.05.05-014</t>
        </is>
      </c>
      <c r="C20" s="282" t="inlineStr">
        <is>
          <t>Краны на автомобильном ходу, грузоподъемность 10 т</t>
        </is>
      </c>
      <c r="D20" s="273" t="inlineStr">
        <is>
          <t>маш.час</t>
        </is>
      </c>
      <c r="E20" s="128" t="n">
        <v>1.32</v>
      </c>
      <c r="F20" s="284" t="n">
        <v>111.99</v>
      </c>
      <c r="G20" s="32">
        <f>ROUND(E20*F20,2)</f>
        <v/>
      </c>
      <c r="H20" s="130">
        <f>G20/$G$29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11">
      <c r="A21" s="273" t="n">
        <v>5</v>
      </c>
      <c r="B21" s="137" t="inlineStr">
        <is>
          <t>91.17.04-233</t>
        </is>
      </c>
      <c r="C21" s="282" t="inlineStr">
        <is>
          <t>Установки для сварки: ручной дуговой (постоянного тока)</t>
        </is>
      </c>
      <c r="D21" s="273" t="inlineStr">
        <is>
          <t>маш.час</t>
        </is>
      </c>
      <c r="E21" s="128" t="n">
        <v>17.44</v>
      </c>
      <c r="F21" s="284" t="n">
        <v>8.1</v>
      </c>
      <c r="G21" s="32">
        <f>ROUND(E21*F21,2)</f>
        <v/>
      </c>
      <c r="H21" s="130">
        <f>G21/$G$29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11">
      <c r="A22" s="273" t="n">
        <v>6</v>
      </c>
      <c r="B22" s="137" t="inlineStr">
        <is>
          <t>91.14.02-001</t>
        </is>
      </c>
      <c r="C22" s="282" t="inlineStr">
        <is>
          <t>Автомобили бортовые, грузоподъемность: до 5 т</t>
        </is>
      </c>
      <c r="D22" s="273" t="inlineStr">
        <is>
          <t>маш.час</t>
        </is>
      </c>
      <c r="E22" s="128" t="n">
        <v>1.32</v>
      </c>
      <c r="F22" s="284" t="n">
        <v>65.70999999999999</v>
      </c>
      <c r="G22" s="32">
        <f>ROUND(E22*F22,2)</f>
        <v/>
      </c>
      <c r="H22" s="130">
        <f>G22/$G$29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211">
      <c r="A23" s="273" t="n"/>
      <c r="B23" s="273" t="n"/>
      <c r="C23" s="282" t="inlineStr">
        <is>
          <t>Итого основные машины и механизмы</t>
        </is>
      </c>
      <c r="D23" s="273" t="n"/>
      <c r="E23" s="128" t="n"/>
      <c r="F23" s="32" t="n"/>
      <c r="G23" s="32">
        <f>SUM(G19:G22)</f>
        <v/>
      </c>
      <c r="H23" s="285">
        <f>G23/G29</f>
        <v/>
      </c>
      <c r="I23" s="129" t="n"/>
      <c r="J23" s="32">
        <f>SUM(J19:J22)</f>
        <v/>
      </c>
    </row>
    <row r="24" hidden="1" outlineLevel="1" ht="25.5" customFormat="1" customHeight="1" s="211">
      <c r="A24" s="273" t="n">
        <v>7</v>
      </c>
      <c r="B24" s="137" t="inlineStr">
        <is>
          <t>91.17.04-161</t>
        </is>
      </c>
      <c r="C24" s="282" t="inlineStr">
        <is>
          <t>Полуавтоматы сварочные номинальным сварочным током 40-500 А</t>
        </is>
      </c>
      <c r="D24" s="273" t="inlineStr">
        <is>
          <t>маш.час</t>
        </is>
      </c>
      <c r="E24" s="128" t="n">
        <v>0.36</v>
      </c>
      <c r="F24" s="284" t="n">
        <v>16.44</v>
      </c>
      <c r="G24" s="32">
        <f>ROUND(E24*F24,2)</f>
        <v/>
      </c>
      <c r="H24" s="130">
        <f>G24/$G$29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211">
      <c r="A25" s="273" t="n">
        <v>8</v>
      </c>
      <c r="B25" s="137" t="inlineStr">
        <is>
          <t>91.06.06-042</t>
        </is>
      </c>
      <c r="C25" s="282" t="inlineStr">
        <is>
          <t>Подъемники гидравлические высотой подъема 10 м</t>
        </is>
      </c>
      <c r="D25" s="273" t="inlineStr">
        <is>
          <t>маш.час</t>
        </is>
      </c>
      <c r="E25" s="128" t="n">
        <v>0.04</v>
      </c>
      <c r="F25" s="284" t="n">
        <v>29.6</v>
      </c>
      <c r="G25" s="32">
        <f>ROUND(E25*F25,2)</f>
        <v/>
      </c>
      <c r="H25" s="130">
        <f>G25/$G$29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211">
      <c r="A26" s="273" t="n">
        <v>9</v>
      </c>
      <c r="B26" s="137" t="inlineStr">
        <is>
          <t>91.06.03-061</t>
        </is>
      </c>
      <c r="C26" s="282" t="inlineStr">
        <is>
          <t>Лебедки электрические тяговым усилием: до 12,26 кН (1,25 т)</t>
        </is>
      </c>
      <c r="D26" s="273" t="inlineStr">
        <is>
          <t>маш.час</t>
        </is>
      </c>
      <c r="E26" s="128" t="n">
        <v>0.02</v>
      </c>
      <c r="F26" s="284" t="n">
        <v>3.28</v>
      </c>
      <c r="G26" s="32">
        <f>ROUND(E26*F26,2)</f>
        <v/>
      </c>
      <c r="H26" s="130">
        <f>G26/$G$29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211">
      <c r="A27" s="273" t="n">
        <v>10</v>
      </c>
      <c r="B27" s="137" t="inlineStr">
        <is>
          <t>91.06.01-003</t>
        </is>
      </c>
      <c r="C27" s="282" t="inlineStr">
        <is>
          <t>Домкраты гидравлические, грузоподъемность 63-100 т</t>
        </is>
      </c>
      <c r="D27" s="273" t="inlineStr">
        <is>
          <t>маш.час</t>
        </is>
      </c>
      <c r="E27" s="128" t="n">
        <v>0.02</v>
      </c>
      <c r="F27" s="284" t="n">
        <v>0.9</v>
      </c>
      <c r="G27" s="32">
        <f>ROUND(E27*F27,2)</f>
        <v/>
      </c>
      <c r="H27" s="130">
        <f>G27/$G$29</f>
        <v/>
      </c>
      <c r="I27" s="32">
        <f>ROUND(F27*Прил.10!$D$12,2)</f>
        <v/>
      </c>
      <c r="J27" s="32">
        <f>ROUND(I27*E27,2)</f>
        <v/>
      </c>
    </row>
    <row r="28" collapsed="1" ht="14.25" customFormat="1" customHeight="1" s="211">
      <c r="A28" s="273" t="n"/>
      <c r="B28" s="273" t="n"/>
      <c r="C28" s="282" t="inlineStr">
        <is>
          <t>Итого прочие машины и механизмы</t>
        </is>
      </c>
      <c r="D28" s="273" t="n"/>
      <c r="E28" s="283" t="n"/>
      <c r="F28" s="32" t="n"/>
      <c r="G28" s="129">
        <f>SUM(G24:G27)</f>
        <v/>
      </c>
      <c r="H28" s="130">
        <f>G28/G29</f>
        <v/>
      </c>
      <c r="I28" s="32" t="n"/>
      <c r="J28" s="32">
        <f>SUM(J24:J27)</f>
        <v/>
      </c>
    </row>
    <row r="29" ht="25.5" customFormat="1" customHeight="1" s="211">
      <c r="A29" s="273" t="n"/>
      <c r="B29" s="273" t="n"/>
      <c r="C29" s="281" t="inlineStr">
        <is>
          <t>Итого по разделу «Машины и механизмы»</t>
        </is>
      </c>
      <c r="D29" s="273" t="n"/>
      <c r="E29" s="283" t="n"/>
      <c r="F29" s="32" t="n"/>
      <c r="G29" s="32">
        <f>G28+G23</f>
        <v/>
      </c>
      <c r="H29" s="131" t="n">
        <v>1</v>
      </c>
      <c r="I29" s="132" t="n"/>
      <c r="J29" s="133">
        <f>J28+J23</f>
        <v/>
      </c>
    </row>
    <row r="30" ht="14.25" customFormat="1" customHeight="1" s="211">
      <c r="A30" s="273" t="n"/>
      <c r="B30" s="281" t="inlineStr">
        <is>
          <t>Оборудование</t>
        </is>
      </c>
      <c r="C30" s="343" t="n"/>
      <c r="D30" s="343" t="n"/>
      <c r="E30" s="343" t="n"/>
      <c r="F30" s="343" t="n"/>
      <c r="G30" s="343" t="n"/>
      <c r="H30" s="344" t="n"/>
      <c r="I30" s="127" t="n"/>
      <c r="J30" s="127" t="n"/>
    </row>
    <row r="31">
      <c r="A31" s="273" t="n"/>
      <c r="B31" s="282" t="inlineStr">
        <is>
          <t>Основное оборудование</t>
        </is>
      </c>
      <c r="C31" s="343" t="n"/>
      <c r="D31" s="343" t="n"/>
      <c r="E31" s="343" t="n"/>
      <c r="F31" s="343" t="n"/>
      <c r="G31" s="343" t="n"/>
      <c r="H31" s="344" t="n"/>
      <c r="I31" s="127" t="n"/>
      <c r="J31" s="127" t="n"/>
    </row>
    <row r="32" ht="38.25" customFormat="1" customHeight="1" s="211">
      <c r="A32" s="188" t="n">
        <v>11</v>
      </c>
      <c r="B32" s="189" t="inlineStr">
        <is>
          <t>БЦ.30_1.47</t>
        </is>
      </c>
      <c r="C32" s="195" t="inlineStr">
        <is>
          <t>Комплект основных защит автотрансформатора 330-750 кВ типа ШЭТ 310.02-0</t>
        </is>
      </c>
      <c r="D32" s="189" t="inlineStr">
        <is>
          <t>шт</t>
        </is>
      </c>
      <c r="E32" s="191" t="n">
        <v>1</v>
      </c>
      <c r="F32" s="192">
        <f>ROUND(I32/Прил.10!$D$14,2)</f>
        <v/>
      </c>
      <c r="G32" s="193">
        <f>ROUND(E32*F32,2)</f>
        <v/>
      </c>
      <c r="H32" s="194">
        <f>G32/$G$42</f>
        <v/>
      </c>
      <c r="I32" s="193" t="n">
        <v>4325519</v>
      </c>
      <c r="J32" s="193">
        <f>ROUND(I32*E32,2)</f>
        <v/>
      </c>
    </row>
    <row r="33" ht="38.25" customFormat="1" customHeight="1" s="211">
      <c r="A33" s="188" t="n">
        <v>12</v>
      </c>
      <c r="B33" s="189" t="inlineStr">
        <is>
          <t>БЦ.30_1.46</t>
        </is>
      </c>
      <c r="C33" s="190" t="inlineStr">
        <is>
          <t>Комплект основных защит автотрансформатора 330-750 кВ и ошиновки 6-35 кВ типа ШЭТ 310.01-0</t>
        </is>
      </c>
      <c r="D33" s="189" t="inlineStr">
        <is>
          <t>шт</t>
        </is>
      </c>
      <c r="E33" s="191" t="n">
        <v>1</v>
      </c>
      <c r="F33" s="192">
        <f>ROUND(I33/Прил.10!$D$14,2)</f>
        <v/>
      </c>
      <c r="G33" s="193">
        <f>ROUND(E33*F33,2)</f>
        <v/>
      </c>
      <c r="H33" s="194">
        <f>G33/$G$42</f>
        <v/>
      </c>
      <c r="I33" s="193" t="n">
        <v>4171463</v>
      </c>
      <c r="J33" s="193">
        <f>ROUND(I33*E33,2)</f>
        <v/>
      </c>
    </row>
    <row r="34" ht="25.5" customFormat="1" customHeight="1" s="211">
      <c r="A34" s="188" t="n">
        <v>13</v>
      </c>
      <c r="B34" s="189" t="inlineStr">
        <is>
          <t>БЦ.30_1.105</t>
        </is>
      </c>
      <c r="C34" s="195" t="inlineStr">
        <is>
          <t>Шкаф КИВ</t>
        </is>
      </c>
      <c r="D34" s="189" t="inlineStr">
        <is>
          <t>шт</t>
        </is>
      </c>
      <c r="E34" s="191" t="n">
        <v>1</v>
      </c>
      <c r="F34" s="192">
        <f>ROUND(I34/Прил.10!$D$14,2)</f>
        <v/>
      </c>
      <c r="G34" s="193">
        <f>ROUND(E34*F34,2)</f>
        <v/>
      </c>
      <c r="H34" s="194">
        <f>G34/$G$42</f>
        <v/>
      </c>
      <c r="I34" s="193" t="n">
        <v>1625400</v>
      </c>
      <c r="J34" s="193">
        <f>ROUND(I34*E34,2)</f>
        <v/>
      </c>
    </row>
    <row r="35" ht="25.5" customFormat="1" customHeight="1" s="211">
      <c r="A35" s="188" t="n">
        <v>14</v>
      </c>
      <c r="B35" s="189" t="inlineStr">
        <is>
          <t>БЦ.30_1.65</t>
        </is>
      </c>
      <c r="C35" s="195" t="inlineStr">
        <is>
          <t>Шкаф автоматики пожаротушения типа ШЭТ 400.01-0</t>
        </is>
      </c>
      <c r="D35" s="189" t="inlineStr">
        <is>
          <t>шт</t>
        </is>
      </c>
      <c r="E35" s="191" t="n">
        <v>1</v>
      </c>
      <c r="F35" s="192">
        <f>ROUND(I35/Прил.10!$D$14,2)</f>
        <v/>
      </c>
      <c r="G35" s="193">
        <f>ROUND(E35*F35,2)</f>
        <v/>
      </c>
      <c r="H35" s="194">
        <f>G35/$G$42</f>
        <v/>
      </c>
      <c r="I35" s="193" t="n">
        <v>4085000</v>
      </c>
      <c r="J35" s="193">
        <f>ROUND(I35*E35,2)</f>
        <v/>
      </c>
    </row>
    <row r="36" ht="25.5" customFormat="1" customHeight="1" s="211">
      <c r="A36" s="188" t="n">
        <v>15</v>
      </c>
      <c r="B36" s="189" t="inlineStr">
        <is>
          <t>БЦ.30_1.16</t>
        </is>
      </c>
      <c r="C36" s="195" t="inlineStr">
        <is>
          <t>Дифференциальная защита ошиновки 6 – 750 кВ (два комплекта) типа ШЭТ 440.01-0</t>
        </is>
      </c>
      <c r="D36" s="189" t="inlineStr">
        <is>
          <t>шт</t>
        </is>
      </c>
      <c r="E36" s="191" t="n">
        <v>1</v>
      </c>
      <c r="F36" s="192">
        <f>ROUND(I36/Прил.10!$D$14,2)</f>
        <v/>
      </c>
      <c r="G36" s="193">
        <f>ROUND(E36*F36,2)</f>
        <v/>
      </c>
      <c r="H36" s="194">
        <f>G36/$G$42</f>
        <v/>
      </c>
      <c r="I36" s="193" t="n">
        <v>3204812</v>
      </c>
      <c r="J36" s="193">
        <f>ROUND(I36*E36,2)</f>
        <v/>
      </c>
    </row>
    <row r="37" ht="38.25" customFormat="1" customHeight="1" s="211">
      <c r="A37" s="188" t="n">
        <v>16</v>
      </c>
      <c r="B37" s="189" t="inlineStr">
        <is>
          <t>БЦ.30_1.48</t>
        </is>
      </c>
      <c r="C37" s="195" t="inlineStr">
        <is>
          <t>Комплект резервных защит автотрансформатора 220-750 кВ типа  ШЭТ 410.01-0</t>
        </is>
      </c>
      <c r="D37" s="189" t="inlineStr">
        <is>
          <t>шт</t>
        </is>
      </c>
      <c r="E37" s="191" t="n">
        <v>1</v>
      </c>
      <c r="F37" s="192">
        <f>ROUND(I37/Прил.10!$D$14,2)</f>
        <v/>
      </c>
      <c r="G37" s="193">
        <f>ROUND(E37*F37,2)</f>
        <v/>
      </c>
      <c r="H37" s="194">
        <f>G37/$G$42</f>
        <v/>
      </c>
      <c r="I37" s="193" t="n">
        <v>2037453</v>
      </c>
      <c r="J37" s="193">
        <f>ROUND(I37*E37,2)</f>
        <v/>
      </c>
    </row>
    <row r="38">
      <c r="A38" s="188" t="n"/>
      <c r="B38" s="196" t="n"/>
      <c r="C38" s="197" t="inlineStr">
        <is>
          <t>Итого основное оборудование</t>
        </is>
      </c>
      <c r="D38" s="189" t="n"/>
      <c r="E38" s="198" t="n"/>
      <c r="F38" s="199" t="n"/>
      <c r="G38" s="200">
        <f>SUM(G32:G37)</f>
        <v/>
      </c>
      <c r="H38" s="201">
        <f>G38/$G$42</f>
        <v/>
      </c>
      <c r="I38" s="202" t="n"/>
      <c r="J38" s="200">
        <f>SUM(J32:J37)</f>
        <v/>
      </c>
    </row>
    <row r="39" ht="38.25" customFormat="1" customHeight="1" s="211">
      <c r="A39" s="188" t="n">
        <v>17</v>
      </c>
      <c r="B39" s="189" t="inlineStr">
        <is>
          <t>БЦ.30_1.64</t>
        </is>
      </c>
      <c r="C39" s="195" t="inlineStr">
        <is>
          <t>Шкаф автоматики регулирования напряжения для одного автотрансформатора типа ШЭТ 410.05-0</t>
        </is>
      </c>
      <c r="D39" s="189" t="inlineStr">
        <is>
          <t>шт</t>
        </is>
      </c>
      <c r="E39" s="191" t="n">
        <v>1</v>
      </c>
      <c r="F39" s="192">
        <f>ROUND(I39/Прил.10!$D$14,2)</f>
        <v/>
      </c>
      <c r="G39" s="193">
        <f>ROUND(E39*F39,2)</f>
        <v/>
      </c>
      <c r="H39" s="194">
        <f>G39/$G$42</f>
        <v/>
      </c>
      <c r="I39" s="193" t="n">
        <v>1531887</v>
      </c>
      <c r="J39" s="193">
        <f>ROUND(I39*E39,2)</f>
        <v/>
      </c>
    </row>
    <row r="40" hidden="1" outlineLevel="1" ht="33" customFormat="1" customHeight="1" s="211">
      <c r="A40" s="188" t="n">
        <v>18</v>
      </c>
      <c r="B40" s="189" t="inlineStr">
        <is>
          <t>БЦ.30_1.79</t>
        </is>
      </c>
      <c r="C40" s="195" t="inlineStr">
        <is>
          <t>Шкаф с тремя ТПС</t>
        </is>
      </c>
      <c r="D40" s="189" t="inlineStr">
        <is>
          <t>шт</t>
        </is>
      </c>
      <c r="E40" s="191" t="n">
        <v>1</v>
      </c>
      <c r="F40" s="192">
        <f>ROUND(I40/Прил.10!$D$14,2)</f>
        <v/>
      </c>
      <c r="G40" s="193">
        <f>ROUND(E40*F40,2)</f>
        <v/>
      </c>
      <c r="H40" s="194">
        <f>G40/$G$42</f>
        <v/>
      </c>
      <c r="I40" s="193" t="n">
        <v>978585</v>
      </c>
      <c r="J40" s="193">
        <f>ROUND(I40*E40,2)</f>
        <v/>
      </c>
    </row>
    <row r="41" collapsed="1" s="214">
      <c r="A41" s="273" t="n"/>
      <c r="B41" s="273" t="n"/>
      <c r="C41" s="282" t="inlineStr">
        <is>
          <t>Итого прочее оборудование</t>
        </is>
      </c>
      <c r="D41" s="273" t="n"/>
      <c r="E41" s="128" t="n"/>
      <c r="F41" s="284" t="n"/>
      <c r="G41" s="32">
        <f>SUM(G39:G40)</f>
        <v/>
      </c>
      <c r="H41" s="130">
        <f>G41/$G$42</f>
        <v/>
      </c>
      <c r="I41" s="129" t="n"/>
      <c r="J41" s="32">
        <f>SUM(J39:J40)</f>
        <v/>
      </c>
    </row>
    <row r="42">
      <c r="A42" s="273" t="n"/>
      <c r="B42" s="273" t="n"/>
      <c r="C42" s="281" t="inlineStr">
        <is>
          <t>Итого по разделу «Оборудование»</t>
        </is>
      </c>
      <c r="D42" s="273" t="n"/>
      <c r="E42" s="283" t="n"/>
      <c r="F42" s="284" t="n"/>
      <c r="G42" s="32">
        <f>G38+G41</f>
        <v/>
      </c>
      <c r="H42" s="130">
        <f>G42/$G$42</f>
        <v/>
      </c>
      <c r="I42" s="129" t="n"/>
      <c r="J42" s="32">
        <f>J41+J38</f>
        <v/>
      </c>
    </row>
    <row r="43" ht="25.5" customHeight="1" s="214">
      <c r="A43" s="273" t="n"/>
      <c r="B43" s="273" t="n"/>
      <c r="C43" s="282" t="inlineStr">
        <is>
          <t>в том числе технологическое оборудование</t>
        </is>
      </c>
      <c r="D43" s="273" t="n"/>
      <c r="E43" s="134" t="n"/>
      <c r="F43" s="284" t="n"/>
      <c r="G43" s="32">
        <f>G42</f>
        <v/>
      </c>
      <c r="H43" s="285" t="n"/>
      <c r="I43" s="129" t="n"/>
      <c r="J43" s="32">
        <f>J42</f>
        <v/>
      </c>
    </row>
    <row r="44" ht="14.25" customFormat="1" customHeight="1" s="211">
      <c r="A44" s="273" t="n"/>
      <c r="B44" s="281" t="inlineStr">
        <is>
          <t>Материалы</t>
        </is>
      </c>
      <c r="C44" s="343" t="n"/>
      <c r="D44" s="343" t="n"/>
      <c r="E44" s="343" t="n"/>
      <c r="F44" s="343" t="n"/>
      <c r="G44" s="343" t="n"/>
      <c r="H44" s="344" t="n"/>
      <c r="I44" s="127" t="n"/>
      <c r="J44" s="127" t="n"/>
    </row>
    <row r="45" ht="14.25" customFormat="1" customHeight="1" s="211">
      <c r="A45" s="274" t="n"/>
      <c r="B45" s="277" t="inlineStr">
        <is>
          <t>Основные материалы</t>
        </is>
      </c>
      <c r="C45" s="347" t="n"/>
      <c r="D45" s="347" t="n"/>
      <c r="E45" s="347" t="n"/>
      <c r="F45" s="347" t="n"/>
      <c r="G45" s="347" t="n"/>
      <c r="H45" s="348" t="n"/>
      <c r="I45" s="140" t="n"/>
      <c r="J45" s="140" t="n"/>
    </row>
    <row r="46" ht="28.5" customFormat="1" customHeight="1" s="211">
      <c r="A46" s="273" t="n">
        <v>19</v>
      </c>
      <c r="B46" s="273" t="inlineStr">
        <is>
          <t>21.1.08.03-0574</t>
        </is>
      </c>
      <c r="C46" s="282" t="inlineStr">
        <is>
          <t>Кабель контрольный КВВГЭнг(A)-LS 4х2,5</t>
        </is>
      </c>
      <c r="D46" s="273" t="inlineStr">
        <is>
          <t>1000 м</t>
        </is>
      </c>
      <c r="E46" s="134" t="n">
        <v>3</v>
      </c>
      <c r="F46" s="284" t="n">
        <v>32828.83</v>
      </c>
      <c r="G46" s="32">
        <f>ROUND(E46*F46,2)</f>
        <v/>
      </c>
      <c r="H46" s="130">
        <f>G46/$G$87</f>
        <v/>
      </c>
      <c r="I46" s="32">
        <f>ROUND(F46*Прил.10!$D$13,2)</f>
        <v/>
      </c>
      <c r="J46" s="32">
        <f>ROUND(I46*E46,2)</f>
        <v/>
      </c>
    </row>
    <row r="47" ht="14.25" customFormat="1" customHeight="1" s="211">
      <c r="A47" s="275" t="n"/>
      <c r="B47" s="142" t="n"/>
      <c r="C47" s="143" t="inlineStr">
        <is>
          <t>Итого основные материалы</t>
        </is>
      </c>
      <c r="D47" s="275" t="n"/>
      <c r="E47" s="183" t="n"/>
      <c r="F47" s="133" t="n"/>
      <c r="G47" s="133">
        <f>SUM(G46:G46)</f>
        <v/>
      </c>
      <c r="H47" s="130">
        <f>G47/$G$87</f>
        <v/>
      </c>
      <c r="I47" s="32" t="n"/>
      <c r="J47" s="133">
        <f>SUM(J46:J46)</f>
        <v/>
      </c>
    </row>
    <row r="48" hidden="1" outlineLevel="1" ht="25.5" customFormat="1" customHeight="1" s="211">
      <c r="A48" s="273" t="n">
        <v>20</v>
      </c>
      <c r="B48" s="273" t="inlineStr">
        <is>
          <t>07.2.07.04-0007</t>
        </is>
      </c>
      <c r="C48" s="282" t="inlineStr">
        <is>
          <t>Конструкции стальные индивидуальные: решетчатые сварные массой до 0,1 т</t>
        </is>
      </c>
      <c r="D48" s="273" t="inlineStr">
        <is>
          <t>т</t>
        </is>
      </c>
      <c r="E48" s="134" t="n">
        <v>0.4616</v>
      </c>
      <c r="F48" s="284" t="n">
        <v>11500</v>
      </c>
      <c r="G48" s="32">
        <f>ROUND(E48*F48,2)</f>
        <v/>
      </c>
      <c r="H48" s="130">
        <f>G48/$G$87</f>
        <v/>
      </c>
      <c r="I48" s="32">
        <f>ROUND(F48*Прил.10!$D$13,2)</f>
        <v/>
      </c>
      <c r="J48" s="32">
        <f>ROUND(I48*E48,2)</f>
        <v/>
      </c>
    </row>
    <row r="49" hidden="1" outlineLevel="1" ht="38.25" customFormat="1" customHeight="1" s="211">
      <c r="A49" s="273" t="n">
        <v>21</v>
      </c>
      <c r="B49" s="273" t="inlineStr">
        <is>
          <t>20.5.02.02-0001</t>
        </is>
      </c>
      <c r="C49" s="282" t="inlineStr">
        <is>
          <t>Коробка клеммная взрывозащищенная SA141410(1C10-1N-1PE- 1C2-1N-1PE-1FL3(C)-1FL2(C) 2Exel IT6, IP66</t>
        </is>
      </c>
      <c r="D49" s="273" t="inlineStr">
        <is>
          <t>шт</t>
        </is>
      </c>
      <c r="E49" s="134" t="n">
        <v>1</v>
      </c>
      <c r="F49" s="284" t="n">
        <v>2639.24</v>
      </c>
      <c r="G49" s="32">
        <f>ROUND(E49*F49,2)</f>
        <v/>
      </c>
      <c r="H49" s="130">
        <f>G49/$G$87</f>
        <v/>
      </c>
      <c r="I49" s="32">
        <f>ROUND(F49*Прил.10!$D$13,2)</f>
        <v/>
      </c>
      <c r="J49" s="32">
        <f>ROUND(I49*E49,2)</f>
        <v/>
      </c>
    </row>
    <row r="50" hidden="1" outlineLevel="1" ht="14.25" customFormat="1" customHeight="1" s="211">
      <c r="A50" s="273" t="n">
        <v>22</v>
      </c>
      <c r="B50" s="273" t="inlineStr">
        <is>
          <t>14.4.02.09-0001</t>
        </is>
      </c>
      <c r="C50" s="282" t="inlineStr">
        <is>
          <t>Краска</t>
        </is>
      </c>
      <c r="D50" s="273" t="inlineStr">
        <is>
          <t>кг</t>
        </is>
      </c>
      <c r="E50" s="134" t="n">
        <v>45.78</v>
      </c>
      <c r="F50" s="284" t="n">
        <v>28.6</v>
      </c>
      <c r="G50" s="32">
        <f>ROUND(E50*F50,2)</f>
        <v/>
      </c>
      <c r="H50" s="130">
        <f>G50/$G$87</f>
        <v/>
      </c>
      <c r="I50" s="32">
        <f>ROUND(F50*Прил.10!$D$13,2)</f>
        <v/>
      </c>
      <c r="J50" s="32">
        <f>ROUND(I50*E50,2)</f>
        <v/>
      </c>
    </row>
    <row r="51" hidden="1" outlineLevel="1" ht="25.5" customFormat="1" customHeight="1" s="211">
      <c r="A51" s="273" t="n">
        <v>23</v>
      </c>
      <c r="B51" s="273" t="inlineStr">
        <is>
          <t>08.1.02.13-0005</t>
        </is>
      </c>
      <c r="C51" s="282" t="inlineStr">
        <is>
          <t>Рукава металлические диаметром 15 мм РЗ-Ц-Х</t>
        </is>
      </c>
      <c r="D51" s="273" t="inlineStr">
        <is>
          <t>м</t>
        </is>
      </c>
      <c r="E51" s="134" t="n">
        <v>90</v>
      </c>
      <c r="F51" s="284" t="n">
        <v>8.279999999999999</v>
      </c>
      <c r="G51" s="32">
        <f>ROUND(E51*F51,2)</f>
        <v/>
      </c>
      <c r="H51" s="130">
        <f>G51/$G$87</f>
        <v/>
      </c>
      <c r="I51" s="32">
        <f>ROUND(F51*Прил.10!$D$13,2)</f>
        <v/>
      </c>
      <c r="J51" s="32">
        <f>ROUND(I51*E51,2)</f>
        <v/>
      </c>
    </row>
    <row r="52" hidden="1" outlineLevel="1" ht="38.25" customFormat="1" customHeight="1" s="211">
      <c r="A52" s="273" t="n">
        <v>24</v>
      </c>
      <c r="B52" s="273" t="inlineStr">
        <is>
          <t>21.2.01.02-0141</t>
        </is>
      </c>
      <c r="C52" s="282" t="inlineStr">
        <is>
          <t>Провода неизолированные для воздушных линий электропередачи медные марки: М, сечением 4 мм2</t>
        </is>
      </c>
      <c r="D52" s="273" t="inlineStr">
        <is>
          <t>т</t>
        </is>
      </c>
      <c r="E52" s="134" t="n">
        <v>0.0029</v>
      </c>
      <c r="F52" s="284" t="n">
        <v>96440</v>
      </c>
      <c r="G52" s="32">
        <f>ROUND(E52*F52,2)</f>
        <v/>
      </c>
      <c r="H52" s="130">
        <f>G52/$G$87</f>
        <v/>
      </c>
      <c r="I52" s="32">
        <f>ROUND(F52*Прил.10!$D$13,2)</f>
        <v/>
      </c>
      <c r="J52" s="32">
        <f>ROUND(I52*E52,2)</f>
        <v/>
      </c>
    </row>
    <row r="53" hidden="1" outlineLevel="1" ht="14.25" customFormat="1" customHeight="1" s="211">
      <c r="A53" s="273" t="n">
        <v>25</v>
      </c>
      <c r="B53" s="273" t="inlineStr">
        <is>
          <t>18.5.08.09-0001</t>
        </is>
      </c>
      <c r="C53" s="282" t="inlineStr">
        <is>
          <t>Патрубки</t>
        </is>
      </c>
      <c r="D53" s="273" t="inlineStr">
        <is>
          <t>10 шт</t>
        </is>
      </c>
      <c r="E53" s="134" t="n">
        <v>0.9</v>
      </c>
      <c r="F53" s="284" t="n">
        <v>277.5</v>
      </c>
      <c r="G53" s="32">
        <f>ROUND(E53*F53,2)</f>
        <v/>
      </c>
      <c r="H53" s="130">
        <f>G53/$G$87</f>
        <v/>
      </c>
      <c r="I53" s="32">
        <f>ROUND(F53*Прил.10!$D$13,2)</f>
        <v/>
      </c>
      <c r="J53" s="32">
        <f>ROUND(I53*E53,2)</f>
        <v/>
      </c>
    </row>
    <row r="54" hidden="1" outlineLevel="1" ht="25.5" customFormat="1" customHeight="1" s="211">
      <c r="A54" s="273" t="n">
        <v>26</v>
      </c>
      <c r="B54" s="273" t="inlineStr">
        <is>
          <t>08.3.07.01-0076</t>
        </is>
      </c>
      <c r="C54" s="282" t="inlineStr">
        <is>
          <t>Сталь полосовая, марка стали: Ст3сп шириной 50-200 мм толщиной 4-5 мм</t>
        </is>
      </c>
      <c r="D54" s="273" t="inlineStr">
        <is>
          <t>т</t>
        </is>
      </c>
      <c r="E54" s="134" t="n">
        <v>0.0486</v>
      </c>
      <c r="F54" s="284" t="n">
        <v>5000</v>
      </c>
      <c r="G54" s="32">
        <f>ROUND(E54*F54,2)</f>
        <v/>
      </c>
      <c r="H54" s="130">
        <f>G54/$G$87</f>
        <v/>
      </c>
      <c r="I54" s="32">
        <f>ROUND(F54*Прил.10!$D$13,2)</f>
        <v/>
      </c>
      <c r="J54" s="32">
        <f>ROUND(I54*E54,2)</f>
        <v/>
      </c>
    </row>
    <row r="55" hidden="1" outlineLevel="1" ht="14.25" customFormat="1" customHeight="1" s="211">
      <c r="A55" s="273" t="n">
        <v>27</v>
      </c>
      <c r="B55" s="273" t="inlineStr">
        <is>
          <t>14.4.02.09-0301</t>
        </is>
      </c>
      <c r="C55" s="282" t="inlineStr">
        <is>
          <t>Краска "Цинол"</t>
        </is>
      </c>
      <c r="D55" s="273" t="inlineStr">
        <is>
          <t>кг</t>
        </is>
      </c>
      <c r="E55" s="134" t="n">
        <v>1</v>
      </c>
      <c r="F55" s="284" t="n">
        <v>238.48</v>
      </c>
      <c r="G55" s="32">
        <f>ROUND(E55*F55,2)</f>
        <v/>
      </c>
      <c r="H55" s="130">
        <f>G55/$G$87</f>
        <v/>
      </c>
      <c r="I55" s="32">
        <f>ROUND(F55*Прил.10!$D$13,2)</f>
        <v/>
      </c>
      <c r="J55" s="32">
        <f>ROUND(I55*E55,2)</f>
        <v/>
      </c>
    </row>
    <row r="56" hidden="1" outlineLevel="1" ht="38.25" customFormat="1" customHeight="1" s="211">
      <c r="A56" s="273" t="n">
        <v>28</v>
      </c>
      <c r="B56" s="273" t="inlineStr">
        <is>
          <t>20.2.04.04-0001</t>
        </is>
      </c>
      <c r="C56" s="282" t="inlineStr">
        <is>
          <t>Короб кабельный прямой из оцинкованный стали толщиной 1,5 мм размером 2000х150х100 мм, 1-канальный</t>
        </is>
      </c>
      <c r="D56" s="273" t="inlineStr">
        <is>
          <t>шт</t>
        </is>
      </c>
      <c r="E56" s="134" t="n">
        <v>1.5</v>
      </c>
      <c r="F56" s="284" t="n">
        <v>157.3</v>
      </c>
      <c r="G56" s="32">
        <f>ROUND(E56*F56,2)</f>
        <v/>
      </c>
      <c r="H56" s="130">
        <f>G56/$G$87</f>
        <v/>
      </c>
      <c r="I56" s="32">
        <f>ROUND(F56*Прил.10!$D$13,2)</f>
        <v/>
      </c>
      <c r="J56" s="32">
        <f>ROUND(I56*E56,2)</f>
        <v/>
      </c>
    </row>
    <row r="57" hidden="1" outlineLevel="1" ht="25.5" customFormat="1" customHeight="1" s="211">
      <c r="A57" s="273" t="n">
        <v>29</v>
      </c>
      <c r="B57" s="273" t="inlineStr">
        <is>
          <t>10.3.02.03-0011</t>
        </is>
      </c>
      <c r="C57" s="282" t="inlineStr">
        <is>
          <t>Припои оловянно-свинцовые бессурьмянистые марки: ПОС30</t>
        </is>
      </c>
      <c r="D57" s="273" t="inlineStr">
        <is>
          <t>кг</t>
        </is>
      </c>
      <c r="E57" s="134" t="n">
        <v>1.3026</v>
      </c>
      <c r="F57" s="284" t="n">
        <v>68.05</v>
      </c>
      <c r="G57" s="32">
        <f>ROUND(E57*F57,2)</f>
        <v/>
      </c>
      <c r="H57" s="130">
        <f>G57/$G$87</f>
        <v/>
      </c>
      <c r="I57" s="32">
        <f>ROUND(F57*Прил.10!$D$13,2)</f>
        <v/>
      </c>
      <c r="J57" s="32">
        <f>ROUND(I57*E57,2)</f>
        <v/>
      </c>
    </row>
    <row r="58" hidden="1" outlineLevel="1" ht="14.25" customFormat="1" customHeight="1" s="211">
      <c r="A58" s="273" t="n">
        <v>30</v>
      </c>
      <c r="B58" s="273" t="inlineStr">
        <is>
          <t>01.7.15.03-0042</t>
        </is>
      </c>
      <c r="C58" s="282" t="inlineStr">
        <is>
          <t>Болты с гайками и шайбами строительные</t>
        </is>
      </c>
      <c r="D58" s="273" t="inlineStr">
        <is>
          <t>кг</t>
        </is>
      </c>
      <c r="E58" s="134" t="n">
        <v>7.235</v>
      </c>
      <c r="F58" s="284" t="n">
        <v>9.039999999999999</v>
      </c>
      <c r="G58" s="32">
        <f>ROUND(E58*F58,2)</f>
        <v/>
      </c>
      <c r="H58" s="130">
        <f>G58/$G$87</f>
        <v/>
      </c>
      <c r="I58" s="32">
        <f>ROUND(F58*Прил.10!$D$13,2)</f>
        <v/>
      </c>
      <c r="J58" s="32">
        <f>ROUND(I58*E58,2)</f>
        <v/>
      </c>
    </row>
    <row r="59" hidden="1" outlineLevel="1" ht="14.25" customFormat="1" customHeight="1" s="211">
      <c r="A59" s="273" t="n">
        <v>31</v>
      </c>
      <c r="B59" s="273" t="inlineStr">
        <is>
          <t>20.1.02.06-0001</t>
        </is>
      </c>
      <c r="C59" s="282" t="inlineStr">
        <is>
          <t>Жир паяльный</t>
        </is>
      </c>
      <c r="D59" s="273" t="inlineStr">
        <is>
          <t>кг</t>
        </is>
      </c>
      <c r="E59" s="134" t="n">
        <v>0.52</v>
      </c>
      <c r="F59" s="284" t="n">
        <v>100.8</v>
      </c>
      <c r="G59" s="32">
        <f>ROUND(E59*F59,2)</f>
        <v/>
      </c>
      <c r="H59" s="130">
        <f>G59/$G$87</f>
        <v/>
      </c>
      <c r="I59" s="32">
        <f>ROUND(F59*Прил.10!$D$13,2)</f>
        <v/>
      </c>
      <c r="J59" s="32">
        <f>ROUND(I59*E59,2)</f>
        <v/>
      </c>
    </row>
    <row r="60" hidden="1" outlineLevel="1" ht="14.25" customFormat="1" customHeight="1" s="211">
      <c r="A60" s="273" t="n">
        <v>32</v>
      </c>
      <c r="B60" s="273" t="inlineStr">
        <is>
          <t>20.1.02.23-0082</t>
        </is>
      </c>
      <c r="C60" s="282" t="inlineStr">
        <is>
          <t>Перемычки гибкие, тип ПГС-50</t>
        </is>
      </c>
      <c r="D60" s="273" t="inlineStr">
        <is>
          <t>10 шт</t>
        </is>
      </c>
      <c r="E60" s="134" t="n">
        <v>1.11</v>
      </c>
      <c r="F60" s="284" t="n">
        <v>39</v>
      </c>
      <c r="G60" s="32">
        <f>ROUND(E60*F60,2)</f>
        <v/>
      </c>
      <c r="H60" s="130">
        <f>G60/$G$87</f>
        <v/>
      </c>
      <c r="I60" s="32">
        <f>ROUND(F60*Прил.10!$D$13,2)</f>
        <v/>
      </c>
      <c r="J60" s="32">
        <f>ROUND(I60*E60,2)</f>
        <v/>
      </c>
    </row>
    <row r="61" hidden="1" outlineLevel="1" ht="25.5" customFormat="1" customHeight="1" s="211">
      <c r="A61" s="273" t="n">
        <v>33</v>
      </c>
      <c r="B61" s="273" t="inlineStr">
        <is>
          <t>999-9950</t>
        </is>
      </c>
      <c r="C61" s="282" t="inlineStr">
        <is>
          <t>Вспомогательные ненормируемые ресурсы (2% от Оплаты труда рабочих)</t>
        </is>
      </c>
      <c r="D61" s="273" t="inlineStr">
        <is>
          <t>руб.</t>
        </is>
      </c>
      <c r="E61" s="134" t="n">
        <v>37.3293</v>
      </c>
      <c r="F61" s="284" t="n">
        <v>1</v>
      </c>
      <c r="G61" s="32">
        <f>ROUND(E61*F61,2)</f>
        <v/>
      </c>
      <c r="H61" s="130">
        <f>G61/$G$87</f>
        <v/>
      </c>
      <c r="I61" s="32">
        <f>ROUND(F61*Прил.10!$D$13,2)</f>
        <v/>
      </c>
      <c r="J61" s="32">
        <f>ROUND(I61*E61,2)</f>
        <v/>
      </c>
    </row>
    <row r="62" hidden="1" outlineLevel="1" ht="14.25" customFormat="1" customHeight="1" s="211">
      <c r="A62" s="273" t="n">
        <v>34</v>
      </c>
      <c r="B62" s="273" t="inlineStr">
        <is>
          <t>01.3.01.01-0001</t>
        </is>
      </c>
      <c r="C62" s="282" t="inlineStr">
        <is>
          <t>Бензин авиационный Б-70</t>
        </is>
      </c>
      <c r="D62" s="273" t="inlineStr">
        <is>
          <t>т</t>
        </is>
      </c>
      <c r="E62" s="134" t="n">
        <v>0.008</v>
      </c>
      <c r="F62" s="284" t="n">
        <v>4488.4</v>
      </c>
      <c r="G62" s="32">
        <f>ROUND(E62*F62,2)</f>
        <v/>
      </c>
      <c r="H62" s="130">
        <f>G62/$G$87</f>
        <v/>
      </c>
      <c r="I62" s="32">
        <f>ROUND(F62*Прил.10!$D$13,2)</f>
        <v/>
      </c>
      <c r="J62" s="32">
        <f>ROUND(I62*E62,2)</f>
        <v/>
      </c>
    </row>
    <row r="63" hidden="1" outlineLevel="1" ht="14.25" customFormat="1" customHeight="1" s="211">
      <c r="A63" s="273" t="n">
        <v>35</v>
      </c>
      <c r="B63" s="273" t="inlineStr">
        <is>
          <t>01.7.11.07-0034</t>
        </is>
      </c>
      <c r="C63" s="282" t="inlineStr">
        <is>
          <t>Электроды диаметром: 4 мм Э42А</t>
        </is>
      </c>
      <c r="D63" s="273" t="inlineStr">
        <is>
          <t>кг</t>
        </is>
      </c>
      <c r="E63" s="134" t="n">
        <v>2.6404</v>
      </c>
      <c r="F63" s="284" t="n">
        <v>10.57</v>
      </c>
      <c r="G63" s="32">
        <f>ROUND(E63*F63,2)</f>
        <v/>
      </c>
      <c r="H63" s="130">
        <f>G63/$G$87</f>
        <v/>
      </c>
      <c r="I63" s="32">
        <f>ROUND(F63*Прил.10!$D$13,2)</f>
        <v/>
      </c>
      <c r="J63" s="32">
        <f>ROUND(I63*E63,2)</f>
        <v/>
      </c>
    </row>
    <row r="64" hidden="1" outlineLevel="1" ht="25.5" customFormat="1" customHeight="1" s="211">
      <c r="A64" s="273" t="n">
        <v>36</v>
      </c>
      <c r="B64" s="273" t="inlineStr">
        <is>
          <t>01.7.15.04-0011</t>
        </is>
      </c>
      <c r="C64" s="282" t="inlineStr">
        <is>
          <t>Винты с полукруглой головкой длиной: 50 мм</t>
        </is>
      </c>
      <c r="D64" s="273" t="inlineStr">
        <is>
          <t>т</t>
        </is>
      </c>
      <c r="E64" s="134" t="n">
        <v>0.002</v>
      </c>
      <c r="F64" s="284" t="n">
        <v>12430</v>
      </c>
      <c r="G64" s="32">
        <f>ROUND(E64*F64,2)</f>
        <v/>
      </c>
      <c r="H64" s="130">
        <f>G64/$G$87</f>
        <v/>
      </c>
      <c r="I64" s="32">
        <f>ROUND(F64*Прил.10!$D$13,2)</f>
        <v/>
      </c>
      <c r="J64" s="32">
        <f>ROUND(I64*E64,2)</f>
        <v/>
      </c>
    </row>
    <row r="65" hidden="1" outlineLevel="1" ht="38.25" customFormat="1" customHeight="1" s="211">
      <c r="A65" s="273" t="n">
        <v>37</v>
      </c>
      <c r="B65" s="273" t="inlineStr">
        <is>
          <t>01.7.06.05-0041</t>
        </is>
      </c>
      <c r="C65" s="282" t="inlineStr">
        <is>
          <t>Лента изоляционная прорезиненная односторонняя ширина 20 мм, толщина 0,25-0,35 мм</t>
        </is>
      </c>
      <c r="D65" s="273" t="inlineStr">
        <is>
          <t>кг</t>
        </is>
      </c>
      <c r="E65" s="134" t="n">
        <v>0.5600000000000001</v>
      </c>
      <c r="F65" s="284" t="n">
        <v>30.4</v>
      </c>
      <c r="G65" s="32">
        <f>ROUND(E65*F65,2)</f>
        <v/>
      </c>
      <c r="H65" s="130">
        <f>G65/$G$87</f>
        <v/>
      </c>
      <c r="I65" s="32">
        <f>ROUND(F65*Прил.10!$D$13,2)</f>
        <v/>
      </c>
      <c r="J65" s="32">
        <f>ROUND(I65*E65,2)</f>
        <v/>
      </c>
    </row>
    <row r="66" hidden="1" outlineLevel="1" ht="14.25" customFormat="1" customHeight="1" s="211">
      <c r="A66" s="273" t="n">
        <v>38</v>
      </c>
      <c r="B66" s="273" t="inlineStr">
        <is>
          <t>08.3.07.01-0037</t>
        </is>
      </c>
      <c r="C66" s="282" t="inlineStr">
        <is>
          <t>Сталь полосовая 30х4 мм, марка Ст3сп</t>
        </is>
      </c>
      <c r="D66" s="273" t="inlineStr">
        <is>
          <t>т</t>
        </is>
      </c>
      <c r="E66" s="134" t="n">
        <v>0.002</v>
      </c>
      <c r="F66" s="284" t="n">
        <v>6674.64</v>
      </c>
      <c r="G66" s="32">
        <f>ROUND(E66*F66,2)</f>
        <v/>
      </c>
      <c r="H66" s="130">
        <f>G66/$G$87</f>
        <v/>
      </c>
      <c r="I66" s="32">
        <f>ROUND(F66*Прил.10!$D$13,2)</f>
        <v/>
      </c>
      <c r="J66" s="32">
        <f>ROUND(I66*E66,2)</f>
        <v/>
      </c>
    </row>
    <row r="67" hidden="1" outlineLevel="1" ht="14.25" customFormat="1" customHeight="1" s="211">
      <c r="A67" s="273" t="n">
        <v>39</v>
      </c>
      <c r="B67" s="273" t="inlineStr">
        <is>
          <t>25.2.01.01-0001</t>
        </is>
      </c>
      <c r="C67" s="282" t="inlineStr">
        <is>
          <t>Бирки-оконцеватели</t>
        </is>
      </c>
      <c r="D67" s="273" t="inlineStr">
        <is>
          <t>100 шт</t>
        </is>
      </c>
      <c r="E67" s="134" t="n">
        <v>0.2</v>
      </c>
      <c r="F67" s="284" t="n">
        <v>63</v>
      </c>
      <c r="G67" s="32">
        <f>ROUND(E67*F67,2)</f>
        <v/>
      </c>
      <c r="H67" s="130">
        <f>G67/$G$87</f>
        <v/>
      </c>
      <c r="I67" s="32">
        <f>ROUND(F67*Прил.10!$D$13,2)</f>
        <v/>
      </c>
      <c r="J67" s="32">
        <f>ROUND(I67*E67,2)</f>
        <v/>
      </c>
    </row>
    <row r="68" hidden="1" outlineLevel="1" ht="14.25" customFormat="1" customHeight="1" s="211">
      <c r="A68" s="273" t="n">
        <v>40</v>
      </c>
      <c r="B68" s="273" t="inlineStr">
        <is>
          <t>01.3.02.09-0022</t>
        </is>
      </c>
      <c r="C68" s="282" t="inlineStr">
        <is>
          <t>Пропан-бутан, смесь техническая</t>
        </is>
      </c>
      <c r="D68" s="273" t="inlineStr">
        <is>
          <t>кг</t>
        </is>
      </c>
      <c r="E68" s="134" t="n">
        <v>1.5</v>
      </c>
      <c r="F68" s="284" t="n">
        <v>6.09</v>
      </c>
      <c r="G68" s="32">
        <f>ROUND(E68*F68,2)</f>
        <v/>
      </c>
      <c r="H68" s="130">
        <f>G68/$G$87</f>
        <v/>
      </c>
      <c r="I68" s="32">
        <f>ROUND(F68*Прил.10!$D$13,2)</f>
        <v/>
      </c>
      <c r="J68" s="32">
        <f>ROUND(I68*E68,2)</f>
        <v/>
      </c>
    </row>
    <row r="69" hidden="1" outlineLevel="1" ht="14.25" customFormat="1" customHeight="1" s="211">
      <c r="A69" s="273" t="n">
        <v>41</v>
      </c>
      <c r="B69" s="273" t="inlineStr">
        <is>
          <t>01.3.01.05-0009</t>
        </is>
      </c>
      <c r="C69" s="282" t="inlineStr">
        <is>
          <t>Парафины нефтяные твердые марки Т-1</t>
        </is>
      </c>
      <c r="D69" s="273" t="inlineStr">
        <is>
          <t>т</t>
        </is>
      </c>
      <c r="E69" s="134" t="n">
        <v>0.0004</v>
      </c>
      <c r="F69" s="284" t="n">
        <v>8105.71</v>
      </c>
      <c r="G69" s="32">
        <f>ROUND(E69*F69,2)</f>
        <v/>
      </c>
      <c r="H69" s="130">
        <f>G69/$G$87</f>
        <v/>
      </c>
      <c r="I69" s="32">
        <f>ROUND(F69*Прил.10!$D$13,2)</f>
        <v/>
      </c>
      <c r="J69" s="32">
        <f>ROUND(I69*E69,2)</f>
        <v/>
      </c>
    </row>
    <row r="70" hidden="1" outlineLevel="1" ht="14.25" customFormat="1" customHeight="1" s="211">
      <c r="A70" s="273" t="n">
        <v>42</v>
      </c>
      <c r="B70" s="273" t="inlineStr">
        <is>
          <t>01.7.06.07-0001</t>
        </is>
      </c>
      <c r="C70" s="282" t="inlineStr">
        <is>
          <t>Лента К226</t>
        </is>
      </c>
      <c r="D70" s="273" t="inlineStr">
        <is>
          <t>100 м</t>
        </is>
      </c>
      <c r="E70" s="134" t="n">
        <v>0.0242</v>
      </c>
      <c r="F70" s="284" t="n">
        <v>120</v>
      </c>
      <c r="G70" s="32">
        <f>ROUND(E70*F70,2)</f>
        <v/>
      </c>
      <c r="H70" s="130">
        <f>G70/$G$87</f>
        <v/>
      </c>
      <c r="I70" s="32">
        <f>ROUND(F70*Прил.10!$D$13,2)</f>
        <v/>
      </c>
      <c r="J70" s="32">
        <f>ROUND(I70*E70,2)</f>
        <v/>
      </c>
    </row>
    <row r="71" hidden="1" outlineLevel="1" ht="14.25" customFormat="1" customHeight="1" s="211">
      <c r="A71" s="273" t="n">
        <v>43</v>
      </c>
      <c r="B71" s="273" t="inlineStr">
        <is>
          <t>20.2.02.01-0019</t>
        </is>
      </c>
      <c r="C71" s="282" t="inlineStr">
        <is>
          <t>Втулки изолирующие</t>
        </is>
      </c>
      <c r="D71" s="273" t="inlineStr">
        <is>
          <t>1000 шт</t>
        </is>
      </c>
      <c r="E71" s="134" t="n">
        <v>0.008999999999999999</v>
      </c>
      <c r="F71" s="284" t="n">
        <v>270</v>
      </c>
      <c r="G71" s="32">
        <f>ROUND(E71*F71,2)</f>
        <v/>
      </c>
      <c r="H71" s="130">
        <f>G71/$G$87</f>
        <v/>
      </c>
      <c r="I71" s="32">
        <f>ROUND(F71*Прил.10!$D$13,2)</f>
        <v/>
      </c>
      <c r="J71" s="32">
        <f>ROUND(I71*E71,2)</f>
        <v/>
      </c>
    </row>
    <row r="72" hidden="1" outlineLevel="1" ht="14.25" customFormat="1" customHeight="1" s="211">
      <c r="A72" s="273" t="n">
        <v>44</v>
      </c>
      <c r="B72" s="273" t="inlineStr">
        <is>
          <t>01.7.15.07-0014</t>
        </is>
      </c>
      <c r="C72" s="282" t="inlineStr">
        <is>
          <t>Дюбели распорные полипропиленовые</t>
        </is>
      </c>
      <c r="D72" s="273" t="inlineStr">
        <is>
          <t>100 шт</t>
        </is>
      </c>
      <c r="E72" s="134" t="n">
        <v>0.026</v>
      </c>
      <c r="F72" s="284" t="n">
        <v>86</v>
      </c>
      <c r="G72" s="32">
        <f>ROUND(E72*F72,2)</f>
        <v/>
      </c>
      <c r="H72" s="130">
        <f>G72/$G$87</f>
        <v/>
      </c>
      <c r="I72" s="32">
        <f>ROUND(F72*Прил.10!$D$13,2)</f>
        <v/>
      </c>
      <c r="J72" s="32">
        <f>ROUND(I72*E72,2)</f>
        <v/>
      </c>
    </row>
    <row r="73" hidden="1" outlineLevel="1" ht="14.25" customFormat="1" customHeight="1" s="211">
      <c r="A73" s="273" t="n">
        <v>45</v>
      </c>
      <c r="B73" s="273" t="inlineStr">
        <is>
          <t>25.2.01.01-0017</t>
        </is>
      </c>
      <c r="C73" s="282" t="inlineStr">
        <is>
          <t>Бирки маркировочные пластмассовые</t>
        </is>
      </c>
      <c r="D73" s="273" t="inlineStr">
        <is>
          <t>100 шт</t>
        </is>
      </c>
      <c r="E73" s="134" t="n">
        <v>0.07000000000000001</v>
      </c>
      <c r="F73" s="284" t="n">
        <v>30.74</v>
      </c>
      <c r="G73" s="32">
        <f>ROUND(E73*F73,2)</f>
        <v/>
      </c>
      <c r="H73" s="130">
        <f>G73/$G$87</f>
        <v/>
      </c>
      <c r="I73" s="32">
        <f>ROUND(F73*Прил.10!$D$13,2)</f>
        <v/>
      </c>
      <c r="J73" s="32">
        <f>ROUND(I73*E73,2)</f>
        <v/>
      </c>
    </row>
    <row r="74" hidden="1" outlineLevel="1" ht="14.25" customFormat="1" customHeight="1" s="211">
      <c r="A74" s="273" t="n">
        <v>46</v>
      </c>
      <c r="B74" s="273" t="inlineStr">
        <is>
          <t>20.2.08.07-0033</t>
        </is>
      </c>
      <c r="C74" s="282" t="inlineStr">
        <is>
          <t>Скоба: У1078</t>
        </is>
      </c>
      <c r="D74" s="273" t="inlineStr">
        <is>
          <t>100 шт</t>
        </is>
      </c>
      <c r="E74" s="134" t="n">
        <v>0.0033</v>
      </c>
      <c r="F74" s="284" t="n">
        <v>617</v>
      </c>
      <c r="G74" s="32">
        <f>ROUND(E74*F74,2)</f>
        <v/>
      </c>
      <c r="H74" s="130">
        <f>G74/$G$87</f>
        <v/>
      </c>
      <c r="I74" s="32">
        <f>ROUND(F74*Прил.10!$D$13,2)</f>
        <v/>
      </c>
      <c r="J74" s="32">
        <f>ROUND(I74*E74,2)</f>
        <v/>
      </c>
    </row>
    <row r="75" hidden="1" outlineLevel="1" ht="14.25" customFormat="1" customHeight="1" s="211">
      <c r="A75" s="273" t="n">
        <v>47</v>
      </c>
      <c r="B75" s="273" t="inlineStr">
        <is>
          <t>01.3.01.02-0002</t>
        </is>
      </c>
      <c r="C75" s="282" t="inlineStr">
        <is>
          <t>Вазелин технический</t>
        </is>
      </c>
      <c r="D75" s="273" t="inlineStr">
        <is>
          <t>кг</t>
        </is>
      </c>
      <c r="E75" s="134" t="n">
        <v>0.02</v>
      </c>
      <c r="F75" s="284" t="n">
        <v>44.97</v>
      </c>
      <c r="G75" s="32">
        <f>ROUND(E75*F75,2)</f>
        <v/>
      </c>
      <c r="H75" s="130">
        <f>G75/$G$87</f>
        <v/>
      </c>
      <c r="I75" s="32">
        <f>ROUND(F75*Прил.10!$D$13,2)</f>
        <v/>
      </c>
      <c r="J75" s="32">
        <f>ROUND(I75*E75,2)</f>
        <v/>
      </c>
    </row>
    <row r="76" hidden="1" outlineLevel="1" ht="14.25" customFormat="1" customHeight="1" s="211">
      <c r="A76" s="273" t="n">
        <v>48</v>
      </c>
      <c r="B76" s="273" t="inlineStr">
        <is>
          <t>14.4.03.17-0011</t>
        </is>
      </c>
      <c r="C76" s="282" t="inlineStr">
        <is>
          <t>Лак электроизоляционный 318</t>
        </is>
      </c>
      <c r="D76" s="273" t="inlineStr">
        <is>
          <t>кг</t>
        </is>
      </c>
      <c r="E76" s="134" t="n">
        <v>0.02</v>
      </c>
      <c r="F76" s="284" t="n">
        <v>35.63</v>
      </c>
      <c r="G76" s="32">
        <f>ROUND(E76*F76,2)</f>
        <v/>
      </c>
      <c r="H76" s="130">
        <f>G76/$G$87</f>
        <v/>
      </c>
      <c r="I76" s="32">
        <f>ROUND(F76*Прил.10!$D$13,2)</f>
        <v/>
      </c>
      <c r="J76" s="32">
        <f>ROUND(I76*E76,2)</f>
        <v/>
      </c>
    </row>
    <row r="77" hidden="1" outlineLevel="1" ht="25.5" customFormat="1" customHeight="1" s="211">
      <c r="A77" s="273" t="n">
        <v>49</v>
      </c>
      <c r="B77" s="273" t="inlineStr">
        <is>
          <t>10.3.02.03-0013</t>
        </is>
      </c>
      <c r="C77" s="282" t="inlineStr">
        <is>
          <t>Припои оловянно-свинцовые бессурьмянистые марки: ПОС61</t>
        </is>
      </c>
      <c r="D77" s="273" t="inlineStr">
        <is>
          <t>кг</t>
        </is>
      </c>
      <c r="E77" s="134" t="n">
        <v>0.0054</v>
      </c>
      <c r="F77" s="284" t="n">
        <v>114.22</v>
      </c>
      <c r="G77" s="32">
        <f>ROUND(E77*F77,2)</f>
        <v/>
      </c>
      <c r="H77" s="130">
        <f>G77/$G$87</f>
        <v/>
      </c>
      <c r="I77" s="32">
        <f>ROUND(F77*Прил.10!$D$13,2)</f>
        <v/>
      </c>
      <c r="J77" s="32">
        <f>ROUND(I77*E77,2)</f>
        <v/>
      </c>
    </row>
    <row r="78" hidden="1" outlineLevel="1" ht="14.25" customFormat="1" customHeight="1" s="211">
      <c r="A78" s="273" t="n">
        <v>50</v>
      </c>
      <c r="B78" s="273" t="inlineStr">
        <is>
          <t>01.7.15.07-0031</t>
        </is>
      </c>
      <c r="C78" s="282" t="inlineStr">
        <is>
          <t>Дюбели распорные с гайкой</t>
        </is>
      </c>
      <c r="D78" s="273" t="inlineStr">
        <is>
          <t>100 шт</t>
        </is>
      </c>
      <c r="E78" s="134" t="n">
        <v>0.0048</v>
      </c>
      <c r="F78" s="284" t="n">
        <v>110</v>
      </c>
      <c r="G78" s="32">
        <f>ROUND(E78*F78,2)</f>
        <v/>
      </c>
      <c r="H78" s="130">
        <f>G78/$G$87</f>
        <v/>
      </c>
      <c r="I78" s="32">
        <f>ROUND(F78*Прил.10!$D$13,2)</f>
        <v/>
      </c>
      <c r="J78" s="32">
        <f>ROUND(I78*E78,2)</f>
        <v/>
      </c>
    </row>
    <row r="79" hidden="1" outlineLevel="1" ht="25.5" customFormat="1" customHeight="1" s="211">
      <c r="A79" s="273" t="n">
        <v>51</v>
      </c>
      <c r="B79" s="273" t="inlineStr">
        <is>
          <t>03.2.01.01-0003</t>
        </is>
      </c>
      <c r="C79" s="282" t="inlineStr">
        <is>
          <t>Портландцемент общестроительного назначения бездобавочный, марки: 500</t>
        </is>
      </c>
      <c r="D79" s="273" t="inlineStr">
        <is>
          <t>т</t>
        </is>
      </c>
      <c r="E79" s="134" t="n">
        <v>0.0011</v>
      </c>
      <c r="F79" s="284" t="n">
        <v>480</v>
      </c>
      <c r="G79" s="32">
        <f>ROUND(E79*F79,2)</f>
        <v/>
      </c>
      <c r="H79" s="130">
        <f>G79/$G$87</f>
        <v/>
      </c>
      <c r="I79" s="32">
        <f>ROUND(F79*Прил.10!$D$13,2)</f>
        <v/>
      </c>
      <c r="J79" s="32">
        <f>ROUND(I79*E79,2)</f>
        <v/>
      </c>
    </row>
    <row r="80" hidden="1" outlineLevel="1" ht="14.25" customFormat="1" customHeight="1" s="211">
      <c r="A80" s="273" t="n">
        <v>52</v>
      </c>
      <c r="B80" s="273" t="inlineStr">
        <is>
          <t>01.7.20.04-0005</t>
        </is>
      </c>
      <c r="C80" s="282" t="inlineStr">
        <is>
          <t>Нитки швейные</t>
        </is>
      </c>
      <c r="D80" s="273" t="inlineStr">
        <is>
          <t>кг</t>
        </is>
      </c>
      <c r="E80" s="134" t="n">
        <v>0.002</v>
      </c>
      <c r="F80" s="284" t="n">
        <v>133.05</v>
      </c>
      <c r="G80" s="32">
        <f>ROUND(E80*F80,2)</f>
        <v/>
      </c>
      <c r="H80" s="130">
        <f>G80/$G$87</f>
        <v/>
      </c>
      <c r="I80" s="32">
        <f>ROUND(F80*Прил.10!$D$13,2)</f>
        <v/>
      </c>
      <c r="J80" s="32">
        <f>ROUND(I80*E80,2)</f>
        <v/>
      </c>
    </row>
    <row r="81" hidden="1" outlineLevel="1" ht="14.25" customFormat="1" customHeight="1" s="211">
      <c r="A81" s="273" t="n">
        <v>53</v>
      </c>
      <c r="B81" s="273" t="inlineStr">
        <is>
          <t>24.3.01.01-0002</t>
        </is>
      </c>
      <c r="C81" s="282" t="inlineStr">
        <is>
          <t>Трубка полихлорвиниловая</t>
        </is>
      </c>
      <c r="D81" s="273" t="inlineStr">
        <is>
          <t>кг</t>
        </is>
      </c>
      <c r="E81" s="134" t="n">
        <v>0.0028</v>
      </c>
      <c r="F81" s="284" t="n">
        <v>35.7</v>
      </c>
      <c r="G81" s="32">
        <f>ROUND(E81*F81,2)</f>
        <v/>
      </c>
      <c r="H81" s="130">
        <f>G81/$G$87</f>
        <v/>
      </c>
      <c r="I81" s="32">
        <f>ROUND(F81*Прил.10!$D$13,2)</f>
        <v/>
      </c>
      <c r="J81" s="32">
        <f>ROUND(I81*E81,2)</f>
        <v/>
      </c>
    </row>
    <row r="82" hidden="1" outlineLevel="1" ht="25.5" customFormat="1" customHeight="1" s="211">
      <c r="A82" s="273" t="n">
        <v>54</v>
      </c>
      <c r="B82" s="273" t="inlineStr">
        <is>
          <t>01.3.01.07-0009</t>
        </is>
      </c>
      <c r="C82" s="282" t="inlineStr">
        <is>
          <t>Спирт этиловый ректификованный технический, сорт I</t>
        </is>
      </c>
      <c r="D82" s="273" t="inlineStr">
        <is>
          <t>кг</t>
        </is>
      </c>
      <c r="E82" s="134" t="n">
        <v>0.002</v>
      </c>
      <c r="F82" s="284" t="n">
        <v>38.89</v>
      </c>
      <c r="G82" s="32">
        <f>ROUND(E82*F82,2)</f>
        <v/>
      </c>
      <c r="H82" s="130">
        <f>G82/$G$87</f>
        <v/>
      </c>
      <c r="I82" s="32">
        <f>ROUND(F82*Прил.10!$D$13,2)</f>
        <v/>
      </c>
      <c r="J82" s="32">
        <f>ROUND(I82*E82,2)</f>
        <v/>
      </c>
    </row>
    <row r="83" hidden="1" outlineLevel="1" ht="25.5" customFormat="1" customHeight="1" s="211">
      <c r="A83" s="273" t="n">
        <v>55</v>
      </c>
      <c r="B83" s="273" t="inlineStr">
        <is>
          <t>02.3.01.02-0020</t>
        </is>
      </c>
      <c r="C83" s="282" t="inlineStr">
        <is>
          <t>Песок природный для строительных: растворов средний</t>
        </is>
      </c>
      <c r="D83" s="273" t="inlineStr">
        <is>
          <t>м3</t>
        </is>
      </c>
      <c r="E83" s="134" t="n">
        <v>0.0009</v>
      </c>
      <c r="F83" s="284" t="n">
        <v>59.99</v>
      </c>
      <c r="G83" s="32">
        <f>ROUND(E83*F83,2)</f>
        <v/>
      </c>
      <c r="H83" s="130">
        <f>G83/$G$87</f>
        <v/>
      </c>
      <c r="I83" s="32">
        <f>ROUND(F83*Прил.10!$D$13,2)</f>
        <v/>
      </c>
      <c r="J83" s="32">
        <f>ROUND(I83*E83,2)</f>
        <v/>
      </c>
    </row>
    <row r="84" hidden="1" outlineLevel="1" ht="14.25" customFormat="1" customHeight="1" s="211">
      <c r="A84" s="273" t="n">
        <v>56</v>
      </c>
      <c r="B84" s="273" t="inlineStr">
        <is>
          <t>01.7.02.09-0002</t>
        </is>
      </c>
      <c r="C84" s="282" t="inlineStr">
        <is>
          <t>Шпагат бумажный</t>
        </is>
      </c>
      <c r="D84" s="273" t="inlineStr">
        <is>
          <t>кг</t>
        </is>
      </c>
      <c r="E84" s="134" t="n">
        <v>0.004</v>
      </c>
      <c r="F84" s="284" t="n">
        <v>11.5</v>
      </c>
      <c r="G84" s="32">
        <f>ROUND(E84*F84,2)</f>
        <v/>
      </c>
      <c r="H84" s="130">
        <f>G84/$G$87</f>
        <v/>
      </c>
      <c r="I84" s="32">
        <f>ROUND(F84*Прил.10!$D$13,2)</f>
        <v/>
      </c>
      <c r="J84" s="32">
        <f>ROUND(I84*E84,2)</f>
        <v/>
      </c>
    </row>
    <row r="85" hidden="1" outlineLevel="1" ht="14.25" customFormat="1" customHeight="1" s="211">
      <c r="A85" s="273" t="n">
        <v>57</v>
      </c>
      <c r="B85" s="273" t="inlineStr">
        <is>
          <t>01.3.05.17-0002</t>
        </is>
      </c>
      <c r="C85" s="282" t="inlineStr">
        <is>
          <t>Канифоль сосновая</t>
        </is>
      </c>
      <c r="D85" s="273" t="inlineStr">
        <is>
          <t>кг</t>
        </is>
      </c>
      <c r="E85" s="134" t="n">
        <v>0.0013</v>
      </c>
      <c r="F85" s="284" t="n">
        <v>27.74</v>
      </c>
      <c r="G85" s="32">
        <f>ROUND(E85*F85,2)</f>
        <v/>
      </c>
      <c r="H85" s="130">
        <f>G85/$G$87</f>
        <v/>
      </c>
      <c r="I85" s="32">
        <f>ROUND(F85*Прил.10!$D$13,2)</f>
        <v/>
      </c>
      <c r="J85" s="32">
        <f>ROUND(I85*E85,2)</f>
        <v/>
      </c>
    </row>
    <row r="86" collapsed="1" ht="14.25" customFormat="1" customHeight="1" s="211">
      <c r="A86" s="273" t="n"/>
      <c r="B86" s="273" t="n"/>
      <c r="C86" s="282" t="inlineStr">
        <is>
          <t>Итого прочие материалы</t>
        </is>
      </c>
      <c r="D86" s="273" t="n"/>
      <c r="E86" s="134" t="n"/>
      <c r="F86" s="284" t="n"/>
      <c r="G86" s="32">
        <f>SUM(G48:G85)</f>
        <v/>
      </c>
      <c r="H86" s="130">
        <f>G86/$G$87</f>
        <v/>
      </c>
      <c r="I86" s="32" t="n"/>
      <c r="J86" s="32">
        <f>SUM(J48:J85)</f>
        <v/>
      </c>
    </row>
    <row r="87" ht="14.25" customFormat="1" customHeight="1" s="211">
      <c r="A87" s="273" t="n"/>
      <c r="B87" s="273" t="n"/>
      <c r="C87" s="281" t="inlineStr">
        <is>
          <t>Итого по разделу «Материалы»</t>
        </is>
      </c>
      <c r="D87" s="273" t="n"/>
      <c r="E87" s="283" t="n"/>
      <c r="F87" s="284" t="n"/>
      <c r="G87" s="32">
        <f>G47+G86</f>
        <v/>
      </c>
      <c r="H87" s="285">
        <f>G87/$G$87</f>
        <v/>
      </c>
      <c r="I87" s="32" t="n"/>
      <c r="J87" s="32">
        <f>J47+J86</f>
        <v/>
      </c>
    </row>
    <row r="88" ht="14.25" customFormat="1" customHeight="1" s="211">
      <c r="A88" s="273" t="n"/>
      <c r="B88" s="273" t="n"/>
      <c r="C88" s="282" t="inlineStr">
        <is>
          <t>ИТОГО ПО РМ</t>
        </is>
      </c>
      <c r="D88" s="273" t="n"/>
      <c r="E88" s="283" t="n"/>
      <c r="F88" s="284" t="n"/>
      <c r="G88" s="32">
        <f>G14+G29+G87</f>
        <v/>
      </c>
      <c r="H88" s="285" t="n"/>
      <c r="I88" s="32" t="n"/>
      <c r="J88" s="32">
        <f>J14+J29+J87</f>
        <v/>
      </c>
    </row>
    <row r="89" ht="14.25" customFormat="1" customHeight="1" s="211">
      <c r="A89" s="273" t="n"/>
      <c r="B89" s="273" t="n"/>
      <c r="C89" s="282" t="inlineStr">
        <is>
          <t>Накладные расходы</t>
        </is>
      </c>
      <c r="D89" s="135">
        <f>ROUND(G89/(G$16+$G$14),2)</f>
        <v/>
      </c>
      <c r="E89" s="283" t="n"/>
      <c r="F89" s="284" t="n"/>
      <c r="G89" s="32" t="n">
        <v>2307</v>
      </c>
      <c r="H89" s="285" t="n"/>
      <c r="I89" s="32" t="n"/>
      <c r="J89" s="32">
        <f>ROUND(D89*(J14+J16),2)</f>
        <v/>
      </c>
    </row>
    <row r="90" ht="14.25" customFormat="1" customHeight="1" s="211">
      <c r="A90" s="273" t="n"/>
      <c r="B90" s="273" t="n"/>
      <c r="C90" s="282" t="inlineStr">
        <is>
          <t>Сметная прибыль</t>
        </is>
      </c>
      <c r="D90" s="135">
        <f>ROUND(G90/(G$14+G$16),2)</f>
        <v/>
      </c>
      <c r="E90" s="283" t="n"/>
      <c r="F90" s="284" t="n"/>
      <c r="G90" s="32" t="n">
        <v>1579</v>
      </c>
      <c r="H90" s="285" t="n"/>
      <c r="I90" s="32" t="n"/>
      <c r="J90" s="32">
        <f>ROUND(D90*(J14+J16),2)</f>
        <v/>
      </c>
    </row>
    <row r="91" ht="14.25" customFormat="1" customHeight="1" s="211">
      <c r="A91" s="273" t="n"/>
      <c r="B91" s="273" t="n"/>
      <c r="C91" s="282" t="inlineStr">
        <is>
          <t>Итого СМР (с НР и СП)</t>
        </is>
      </c>
      <c r="D91" s="273" t="n"/>
      <c r="E91" s="283" t="n"/>
      <c r="F91" s="284" t="n"/>
      <c r="G91" s="32">
        <f>G14+G29+G87+G89+G90</f>
        <v/>
      </c>
      <c r="H91" s="285" t="n"/>
      <c r="I91" s="32" t="n"/>
      <c r="J91" s="32">
        <f>J14+J29+J87+J89+J90</f>
        <v/>
      </c>
    </row>
    <row r="92" ht="14.25" customFormat="1" customHeight="1" s="211">
      <c r="A92" s="273" t="n"/>
      <c r="B92" s="273" t="n"/>
      <c r="C92" s="282" t="inlineStr">
        <is>
          <t>ВСЕГО СМР + ОБОРУДОВАНИЕ</t>
        </is>
      </c>
      <c r="D92" s="273" t="n"/>
      <c r="E92" s="283" t="n"/>
      <c r="F92" s="284" t="n"/>
      <c r="G92" s="32">
        <f>G91+G42</f>
        <v/>
      </c>
      <c r="H92" s="285" t="n"/>
      <c r="I92" s="32" t="n"/>
      <c r="J92" s="32">
        <f>J91+J42</f>
        <v/>
      </c>
    </row>
    <row r="93" ht="34.5" customFormat="1" customHeight="1" s="211">
      <c r="A93" s="273" t="n"/>
      <c r="B93" s="273" t="n"/>
      <c r="C93" s="282" t="inlineStr">
        <is>
          <t>ИТОГО ПОКАЗАТЕЛЬ НА ЕД. ИЗМ.</t>
        </is>
      </c>
      <c r="D93" s="273" t="inlineStr">
        <is>
          <t>1 комплект</t>
        </is>
      </c>
      <c r="E93" s="283" t="n">
        <v>1</v>
      </c>
      <c r="F93" s="284" t="n"/>
      <c r="G93" s="32">
        <f>G92/E93</f>
        <v/>
      </c>
      <c r="H93" s="285" t="n"/>
      <c r="I93" s="32" t="n"/>
      <c r="J93" s="32">
        <f>J92/E93</f>
        <v/>
      </c>
    </row>
    <row r="95" ht="14.25" customFormat="1" customHeight="1" s="211">
      <c r="A95" s="210" t="inlineStr">
        <is>
          <t>Составил ______________________    Е.Р. Брызгалова</t>
        </is>
      </c>
    </row>
    <row r="96" ht="14.25" customFormat="1" customHeight="1" s="211">
      <c r="A96" s="213" t="inlineStr">
        <is>
          <t xml:space="preserve">                         (подпись, инициалы, фамилия)</t>
        </is>
      </c>
    </row>
    <row r="97" ht="14.25" customFormat="1" customHeight="1" s="211">
      <c r="A97" s="210" t="n"/>
    </row>
    <row r="98" ht="14.25" customFormat="1" customHeight="1" s="211">
      <c r="A98" s="210" t="inlineStr">
        <is>
          <t>Проверил ______________________        А.В. Костянецкая</t>
        </is>
      </c>
    </row>
    <row r="99" ht="14.25" customFormat="1" customHeight="1" s="211">
      <c r="A99" s="213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45:H45"/>
    <mergeCell ref="C9:C10"/>
    <mergeCell ref="E9:E10"/>
    <mergeCell ref="A7:H7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44:H4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7"/>
  <sheetViews>
    <sheetView view="pageBreakPreview" topLeftCell="A16" workbookViewId="0">
      <selection activeCell="E26" sqref="E26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90" t="inlineStr">
        <is>
          <t>Приложение №6</t>
        </is>
      </c>
    </row>
    <row r="2" ht="21.75" customHeight="1" s="214">
      <c r="A2" s="290" t="n"/>
      <c r="B2" s="290" t="n"/>
      <c r="C2" s="290" t="n"/>
      <c r="D2" s="290" t="n"/>
      <c r="E2" s="290" t="n"/>
      <c r="F2" s="290" t="n"/>
      <c r="G2" s="290" t="n"/>
    </row>
    <row r="3">
      <c r="A3" s="248" t="inlineStr">
        <is>
          <t>Расчет стоимости оборудования</t>
        </is>
      </c>
    </row>
    <row r="4" ht="25.5" customHeight="1" s="214">
      <c r="A4" s="251" t="inlineStr">
        <is>
          <t>Наименование разрабатываемого показателя УНЦ — РЗА Ячейка Т500 кВ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" customHeight="1" s="214">
      <c r="A6" s="295" t="inlineStr">
        <is>
          <t>№ пп.</t>
        </is>
      </c>
      <c r="B6" s="295" t="inlineStr">
        <is>
          <t>Код ресурса</t>
        </is>
      </c>
      <c r="C6" s="295" t="inlineStr">
        <is>
          <t>Наименование</t>
        </is>
      </c>
      <c r="D6" s="295" t="inlineStr">
        <is>
          <t>Ед. изм.</t>
        </is>
      </c>
      <c r="E6" s="273" t="inlineStr">
        <is>
          <t>Кол-во единиц по проектным данным</t>
        </is>
      </c>
      <c r="F6" s="295" t="inlineStr">
        <is>
          <t>Сметная стоимость в ценах на 01.01.2000 (руб.)</t>
        </is>
      </c>
      <c r="G6" s="344" t="n"/>
    </row>
    <row r="7">
      <c r="A7" s="346" t="n"/>
      <c r="B7" s="346" t="n"/>
      <c r="C7" s="346" t="n"/>
      <c r="D7" s="346" t="n"/>
      <c r="E7" s="346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14">
      <c r="A9" s="25" t="n"/>
      <c r="B9" s="282" t="inlineStr">
        <is>
          <t>ИНЖЕНЕРНОЕ ОБОРУДОВАНИЕ</t>
        </is>
      </c>
      <c r="C9" s="343" t="n"/>
      <c r="D9" s="343" t="n"/>
      <c r="E9" s="343" t="n"/>
      <c r="F9" s="343" t="n"/>
      <c r="G9" s="344" t="n"/>
    </row>
    <row r="10" ht="27" customHeight="1" s="214">
      <c r="A10" s="273" t="n"/>
      <c r="B10" s="281" t="n"/>
      <c r="C10" s="282" t="inlineStr">
        <is>
          <t>ИТОГО ИНЖЕНЕРНОЕ ОБОРУДОВАНИЕ</t>
        </is>
      </c>
      <c r="D10" s="281" t="n"/>
      <c r="E10" s="105" t="n"/>
      <c r="F10" s="284" t="n"/>
      <c r="G10" s="284" t="n">
        <v>0</v>
      </c>
    </row>
    <row r="11">
      <c r="A11" s="273" t="n"/>
      <c r="B11" s="282" t="inlineStr">
        <is>
          <t>ТЕХНОЛОГИЧЕСКОЕ ОБОРУДОВАНИЕ</t>
        </is>
      </c>
      <c r="C11" s="343" t="n"/>
      <c r="D11" s="343" t="n"/>
      <c r="E11" s="343" t="n"/>
      <c r="F11" s="343" t="n"/>
      <c r="G11" s="344" t="n"/>
    </row>
    <row r="12" ht="38.25" customHeight="1" s="214">
      <c r="A12" s="273" t="n">
        <v>1</v>
      </c>
      <c r="B12" s="195">
        <f>'Прил.5 Расчет СМР и ОБ'!B32</f>
        <v/>
      </c>
      <c r="C12" s="195">
        <f>'Прил.5 Расчет СМР и ОБ'!C32</f>
        <v/>
      </c>
      <c r="D12" s="189">
        <f>'Прил.5 Расчет СМР и ОБ'!D32</f>
        <v/>
      </c>
      <c r="E12" s="191">
        <f>'Прил.5 Расчет СМР и ОБ'!E32</f>
        <v/>
      </c>
      <c r="F12" s="192">
        <f>'Прил.5 Расчет СМР и ОБ'!F32</f>
        <v/>
      </c>
      <c r="G12" s="193">
        <f>ROUND(E12*F12,2)</f>
        <v/>
      </c>
    </row>
    <row r="13" ht="38.25" customHeight="1" s="214">
      <c r="A13" s="273" t="n">
        <v>2</v>
      </c>
      <c r="B13" s="195">
        <f>'Прил.5 Расчет СМР и ОБ'!B33</f>
        <v/>
      </c>
      <c r="C13" s="195">
        <f>'Прил.5 Расчет СМР и ОБ'!C33</f>
        <v/>
      </c>
      <c r="D13" s="189">
        <f>'Прил.5 Расчет СМР и ОБ'!D33</f>
        <v/>
      </c>
      <c r="E13" s="191">
        <f>'Прил.5 Расчет СМР и ОБ'!E33</f>
        <v/>
      </c>
      <c r="F13" s="192">
        <f>'Прил.5 Расчет СМР и ОБ'!F33</f>
        <v/>
      </c>
      <c r="G13" s="193">
        <f>ROUND(E13*F13,2)</f>
        <v/>
      </c>
    </row>
    <row r="14" ht="38.25" customHeight="1" s="214">
      <c r="A14" s="273" t="n">
        <v>3</v>
      </c>
      <c r="B14" s="195">
        <f>'Прил.5 Расчет СМР и ОБ'!B34</f>
        <v/>
      </c>
      <c r="C14" s="195">
        <f>'Прил.5 Расчет СМР и ОБ'!C34</f>
        <v/>
      </c>
      <c r="D14" s="189">
        <f>'Прил.5 Расчет СМР и ОБ'!D34</f>
        <v/>
      </c>
      <c r="E14" s="191">
        <f>'Прил.5 Расчет СМР и ОБ'!E34</f>
        <v/>
      </c>
      <c r="F14" s="192">
        <f>'Прил.5 Расчет СМР и ОБ'!F34</f>
        <v/>
      </c>
      <c r="G14" s="193">
        <f>ROUND(E14*F14,2)</f>
        <v/>
      </c>
    </row>
    <row r="15" ht="33" customHeight="1" s="214">
      <c r="A15" s="273" t="n">
        <v>4</v>
      </c>
      <c r="B15" s="195">
        <f>'Прил.5 Расчет СМР и ОБ'!B35</f>
        <v/>
      </c>
      <c r="C15" s="195">
        <f>'Прил.5 Расчет СМР и ОБ'!C35</f>
        <v/>
      </c>
      <c r="D15" s="189">
        <f>'Прил.5 Расчет СМР и ОБ'!D35</f>
        <v/>
      </c>
      <c r="E15" s="191">
        <f>'Прил.5 Расчет СМР и ОБ'!E35</f>
        <v/>
      </c>
      <c r="F15" s="192">
        <f>'Прил.5 Расчет СМР и ОБ'!F35</f>
        <v/>
      </c>
      <c r="G15" s="193">
        <f>ROUND(E15*F15,2)</f>
        <v/>
      </c>
    </row>
    <row r="16" ht="33" customHeight="1" s="214">
      <c r="A16" s="273" t="n">
        <v>5</v>
      </c>
      <c r="B16" s="195">
        <f>'Прил.5 Расчет СМР и ОБ'!B36</f>
        <v/>
      </c>
      <c r="C16" s="195">
        <f>'Прил.5 Расчет СМР и ОБ'!C36</f>
        <v/>
      </c>
      <c r="D16" s="189">
        <f>'Прил.5 Расчет СМР и ОБ'!D36</f>
        <v/>
      </c>
      <c r="E16" s="191">
        <f>'Прил.5 Расчет СМР и ОБ'!E36</f>
        <v/>
      </c>
      <c r="F16" s="192">
        <f>'Прил.5 Расчет СМР и ОБ'!F36</f>
        <v/>
      </c>
      <c r="G16" s="193">
        <f>ROUND(E16*F16,2)</f>
        <v/>
      </c>
    </row>
    <row r="17" ht="45" customHeight="1" s="214">
      <c r="A17" s="273" t="n">
        <v>6</v>
      </c>
      <c r="B17" s="195">
        <f>'Прил.5 Расчет СМР и ОБ'!B37</f>
        <v/>
      </c>
      <c r="C17" s="195">
        <f>'Прил.5 Расчет СМР и ОБ'!C37</f>
        <v/>
      </c>
      <c r="D17" s="189">
        <f>'Прил.5 Расчет СМР и ОБ'!D37</f>
        <v/>
      </c>
      <c r="E17" s="191">
        <f>'Прил.5 Расчет СМР и ОБ'!E37</f>
        <v/>
      </c>
      <c r="F17" s="192">
        <f>'Прил.5 Расчет СМР и ОБ'!F37</f>
        <v/>
      </c>
      <c r="G17" s="193">
        <f>ROUND(E17*F17,2)</f>
        <v/>
      </c>
    </row>
    <row r="18" ht="36.75" customHeight="1" s="214">
      <c r="A18" s="273" t="n">
        <v>7</v>
      </c>
      <c r="B18" s="195">
        <f>'Прил.5 Расчет СМР и ОБ'!B40</f>
        <v/>
      </c>
      <c r="C18" s="195">
        <f>'Прил.5 Расчет СМР и ОБ'!C39</f>
        <v/>
      </c>
      <c r="D18" s="189">
        <f>'Прил.5 Расчет СМР и ОБ'!D39</f>
        <v/>
      </c>
      <c r="E18" s="191">
        <f>'Прил.5 Расчет СМР и ОБ'!E39</f>
        <v/>
      </c>
      <c r="F18" s="192">
        <f>'Прил.5 Расчет СМР и ОБ'!F39</f>
        <v/>
      </c>
      <c r="G18" s="193">
        <f>ROUND(E18*F18,2)</f>
        <v/>
      </c>
    </row>
    <row r="19" ht="33" customHeight="1" s="214">
      <c r="A19" s="273" t="n">
        <v>8</v>
      </c>
      <c r="B19" s="195">
        <f>'Прил.5 Расчет СМР и ОБ'!B40</f>
        <v/>
      </c>
      <c r="C19" s="195">
        <f>'Прил.5 Расчет СМР и ОБ'!C40</f>
        <v/>
      </c>
      <c r="D19" s="189">
        <f>'Прил.5 Расчет СМР и ОБ'!D40</f>
        <v/>
      </c>
      <c r="E19" s="191">
        <f>'Прил.5 Расчет СМР и ОБ'!E40</f>
        <v/>
      </c>
      <c r="F19" s="192">
        <f>'Прил.5 Расчет СМР и ОБ'!F40</f>
        <v/>
      </c>
      <c r="G19" s="193">
        <f>ROUND(E19*F19,2)</f>
        <v/>
      </c>
    </row>
    <row r="20" ht="25.5" customHeight="1" s="214">
      <c r="A20" s="273" t="n"/>
      <c r="B20" s="282" t="n"/>
      <c r="C20" s="282" t="inlineStr">
        <is>
          <t>ИТОГО ТЕХНОЛОГИЧЕСКОЕ ОБОРУДОВАНИЕ</t>
        </is>
      </c>
      <c r="D20" s="282" t="n"/>
      <c r="E20" s="294" t="n"/>
      <c r="F20" s="284" t="n"/>
      <c r="G20" s="32">
        <f>SUM(G12:G19)</f>
        <v/>
      </c>
    </row>
    <row r="21" ht="19.5" customHeight="1" s="214">
      <c r="A21" s="273" t="n"/>
      <c r="B21" s="282" t="n"/>
      <c r="C21" s="282" t="inlineStr">
        <is>
          <t>Всего по разделу «Оборудование»</t>
        </is>
      </c>
      <c r="D21" s="282" t="n"/>
      <c r="E21" s="294" t="n"/>
      <c r="F21" s="284" t="n"/>
      <c r="G21" s="32">
        <f>G10+G20</f>
        <v/>
      </c>
    </row>
    <row r="22">
      <c r="A22" s="212" t="n"/>
      <c r="B22" s="106" t="n"/>
      <c r="C22" s="212" t="n"/>
      <c r="D22" s="212" t="n"/>
      <c r="E22" s="212" t="n"/>
      <c r="F22" s="212" t="n"/>
      <c r="G22" s="212" t="n"/>
    </row>
    <row r="23">
      <c r="A23" s="210" t="inlineStr">
        <is>
          <t>Составил ______________________    Е.Р. Брызгалова</t>
        </is>
      </c>
      <c r="B23" s="211" t="n"/>
      <c r="C23" s="211" t="n"/>
      <c r="D23" s="212" t="n"/>
      <c r="E23" s="212" t="n"/>
      <c r="F23" s="212" t="n"/>
      <c r="G23" s="212" t="n"/>
    </row>
    <row r="24">
      <c r="A24" s="213" t="inlineStr">
        <is>
          <t xml:space="preserve">                         (подпись, инициалы, фамилия)</t>
        </is>
      </c>
      <c r="B24" s="211" t="n"/>
      <c r="C24" s="211" t="n"/>
      <c r="D24" s="212" t="n"/>
      <c r="E24" s="212" t="n"/>
      <c r="F24" s="212" t="n"/>
      <c r="G24" s="212" t="n"/>
    </row>
    <row r="25">
      <c r="A25" s="210" t="n"/>
      <c r="B25" s="211" t="n"/>
      <c r="C25" s="211" t="n"/>
      <c r="D25" s="212" t="n"/>
      <c r="E25" s="212" t="n"/>
      <c r="F25" s="212" t="n"/>
      <c r="G25" s="212" t="n"/>
    </row>
    <row r="26">
      <c r="A26" s="210" t="inlineStr">
        <is>
          <t>Проверил ______________________        А.В. Костянецкая</t>
        </is>
      </c>
      <c r="B26" s="211" t="n"/>
      <c r="C26" s="211" t="n"/>
      <c r="D26" s="212" t="n"/>
      <c r="E26" s="212" t="n"/>
      <c r="F26" s="212" t="n"/>
      <c r="G26" s="212" t="n"/>
    </row>
    <row r="27">
      <c r="A27" s="213" t="inlineStr">
        <is>
          <t xml:space="preserve">                        (подпись, инициалы, фамилия)</t>
        </is>
      </c>
      <c r="B27" s="211" t="n"/>
      <c r="C27" s="211" t="n"/>
      <c r="D27" s="212" t="n"/>
      <c r="E27" s="212" t="n"/>
      <c r="F27" s="212" t="n"/>
      <c r="G27" s="2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14" min="1" max="1"/>
    <col width="16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40" t="n"/>
      <c r="B1" s="240" t="n"/>
      <c r="C1" s="240" t="n"/>
      <c r="D1" s="240" t="inlineStr">
        <is>
          <t>Приложение №7</t>
        </is>
      </c>
    </row>
    <row r="2" ht="15.75" customHeight="1" s="214">
      <c r="A2" s="240" t="n"/>
      <c r="B2" s="240" t="n"/>
      <c r="C2" s="240" t="n"/>
      <c r="D2" s="240" t="n"/>
    </row>
    <row r="3" ht="15.75" customHeight="1" s="214">
      <c r="A3" s="240" t="n"/>
      <c r="B3" s="205" t="inlineStr">
        <is>
          <t>Расчет показателя УНЦ</t>
        </is>
      </c>
      <c r="C3" s="240" t="n"/>
      <c r="D3" s="240" t="n"/>
    </row>
    <row r="4" ht="15.75" customHeight="1" s="214">
      <c r="A4" s="240" t="n"/>
      <c r="B4" s="240" t="n"/>
      <c r="C4" s="240" t="n"/>
      <c r="D4" s="240" t="n"/>
    </row>
    <row r="5" ht="15.75" customHeight="1" s="214">
      <c r="A5" s="296" t="inlineStr">
        <is>
          <t xml:space="preserve">Наименование разрабатываемого показателя УНЦ - </t>
        </is>
      </c>
      <c r="D5" s="296">
        <f>'Прил.5 Расчет СМР и ОБ'!D6:J6</f>
        <v/>
      </c>
    </row>
    <row r="6" ht="15.75" customHeight="1" s="214">
      <c r="A6" s="240" t="inlineStr">
        <is>
          <t>Единица измерения  — 1 ячейка</t>
        </is>
      </c>
      <c r="B6" s="240" t="n"/>
      <c r="C6" s="240" t="n"/>
      <c r="D6" s="240" t="n"/>
    </row>
    <row r="7" ht="15.75" customHeight="1" s="214">
      <c r="A7" s="240" t="n"/>
      <c r="B7" s="240" t="n"/>
      <c r="C7" s="240" t="n"/>
      <c r="D7" s="240" t="n"/>
    </row>
    <row r="8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>
      <c r="A9" s="346" t="n"/>
      <c r="B9" s="346" t="n"/>
      <c r="C9" s="346" t="n"/>
      <c r="D9" s="346" t="n"/>
    </row>
    <row r="10" ht="15.75" customHeight="1" s="214">
      <c r="A10" s="263" t="n">
        <v>1</v>
      </c>
      <c r="B10" s="263" t="n">
        <v>2</v>
      </c>
      <c r="C10" s="263" t="n">
        <v>3</v>
      </c>
      <c r="D10" s="263" t="n">
        <v>4</v>
      </c>
    </row>
    <row r="11" ht="47.25" customHeight="1" s="214">
      <c r="A11" s="263" t="inlineStr">
        <is>
          <t>М9-07-14</t>
        </is>
      </c>
      <c r="B11" s="263" t="inlineStr">
        <is>
          <t xml:space="preserve">УНЦ ячейки трансформатора 35 - 500 кВ </t>
        </is>
      </c>
      <c r="C11" s="208">
        <f>D5</f>
        <v/>
      </c>
      <c r="D11" s="222">
        <f>'Прил.4 РМ'!C41/1000</f>
        <v/>
      </c>
    </row>
    <row r="13">
      <c r="A13" s="210" t="inlineStr">
        <is>
          <t>Составил ______________________    Е.Р. Брызгалова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 ht="20.25" customHeight="1" s="214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T41" sqref="S41:T41"/>
    </sheetView>
  </sheetViews>
  <sheetFormatPr baseColWidth="8" defaultRowHeight="15"/>
  <cols>
    <col width="9.140625" customWidth="1" style="214" min="1" max="1"/>
    <col width="40.7109375" customWidth="1" style="214" min="2" max="2"/>
    <col width="37" customWidth="1" style="214" min="3" max="3"/>
    <col width="32" customWidth="1" style="214" min="4" max="4"/>
    <col width="9.140625" customWidth="1" style="214" min="5" max="5"/>
  </cols>
  <sheetData>
    <row r="4" ht="15.75" customHeight="1" s="214">
      <c r="B4" s="258" t="inlineStr">
        <is>
          <t>Приложение № 10</t>
        </is>
      </c>
    </row>
    <row r="5" ht="18.75" customHeight="1" s="214">
      <c r="B5" s="120" t="n"/>
    </row>
    <row r="6" ht="15.75" customHeight="1" s="214">
      <c r="B6" s="259" t="inlineStr">
        <is>
          <t>Используемые индексы изменений сметной стоимости и нормы сопутствующих затрат</t>
        </is>
      </c>
    </row>
    <row r="7">
      <c r="B7" s="297" t="n"/>
    </row>
    <row r="8">
      <c r="B8" s="297" t="n"/>
      <c r="C8" s="297" t="n"/>
      <c r="D8" s="297" t="n"/>
      <c r="E8" s="297" t="n"/>
    </row>
    <row r="9" ht="47.25" customHeight="1" s="214">
      <c r="B9" s="263" t="inlineStr">
        <is>
          <t>Наименование индекса / норм сопутствующих затрат</t>
        </is>
      </c>
      <c r="C9" s="263" t="inlineStr">
        <is>
          <t>Дата применения и обоснование индекса / норм сопутствующих затрат</t>
        </is>
      </c>
      <c r="D9" s="263" t="inlineStr">
        <is>
          <t>Размер индекса / норма сопутствующих затрат</t>
        </is>
      </c>
    </row>
    <row r="10" ht="15.75" customHeight="1" s="214">
      <c r="B10" s="263" t="n">
        <v>1</v>
      </c>
      <c r="C10" s="263" t="n">
        <v>2</v>
      </c>
      <c r="D10" s="263" t="n">
        <v>3</v>
      </c>
    </row>
    <row r="11" ht="45" customHeight="1" s="214">
      <c r="B11" s="263" t="inlineStr">
        <is>
          <t xml:space="preserve">Индекс изменения сметной стоимости на 1 квартал 2023 года. ОЗП </t>
        </is>
      </c>
      <c r="C11" s="263" t="inlineStr">
        <is>
          <t>Письмо Минстроя России от 30.03.2023г. №17106-ИФ/09  прил.1</t>
        </is>
      </c>
      <c r="D11" s="263" t="n">
        <v>44.29</v>
      </c>
    </row>
    <row r="12" ht="29.25" customHeight="1" s="214">
      <c r="B12" s="263" t="inlineStr">
        <is>
          <t>Индекс изменения сметной стоимости на 1 квартал 2023 года. ЭМ</t>
        </is>
      </c>
      <c r="C12" s="263" t="inlineStr">
        <is>
          <t>Письмо Минстроя России от 30.03.2023г. №17106-ИФ/09  прил.1</t>
        </is>
      </c>
      <c r="D12" s="263" t="n">
        <v>13.47</v>
      </c>
    </row>
    <row r="13" ht="29.25" customHeight="1" s="214">
      <c r="B13" s="263" t="inlineStr">
        <is>
          <t>Индекс изменения сметной стоимости на 1 квартал 2023 года. МАТ</t>
        </is>
      </c>
      <c r="C13" s="263" t="inlineStr">
        <is>
          <t>Письмо Минстроя России от 30.03.2023г. №17106-ИФ/09  прил.1</t>
        </is>
      </c>
      <c r="D13" s="263" t="n">
        <v>8.039999999999999</v>
      </c>
    </row>
    <row r="14" ht="30.75" customHeight="1" s="214">
      <c r="B14" s="26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3" t="n">
        <v>6.26</v>
      </c>
    </row>
    <row r="15" ht="89.25" customHeight="1" s="214">
      <c r="B15" s="263" t="inlineStr">
        <is>
          <t>Временные здания и сооружения</t>
        </is>
      </c>
      <c r="C15" s="2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4">
      <c r="B16" s="263" t="inlineStr">
        <is>
          <t>Дополнительные затраты при производстве строительно-монтажных работ в зимнее время</t>
        </is>
      </c>
      <c r="C16" s="2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63" t="inlineStr">
        <is>
          <t>Строительный контроль</t>
        </is>
      </c>
      <c r="C17" s="26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63" t="inlineStr">
        <is>
          <t>Авторский надзор - 0,2%</t>
        </is>
      </c>
      <c r="C18" s="263" t="inlineStr">
        <is>
          <t>Приказ от 4.08.2020 № 421/пр п.173</t>
        </is>
      </c>
      <c r="D18" s="122" t="n">
        <v>0.002</v>
      </c>
    </row>
    <row r="19" ht="24" customHeight="1" s="214">
      <c r="B19" s="263" t="inlineStr">
        <is>
          <t>Непредвиденные расходы</t>
        </is>
      </c>
      <c r="C19" s="263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210" t="inlineStr">
        <is>
          <t>Составил ______________________        Е.А. Князева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J53"/>
  <sheetViews>
    <sheetView tabSelected="1" view="pageBreakPreview" workbookViewId="0">
      <selection activeCell="L11" sqref="L11"/>
    </sheetView>
  </sheetViews>
  <sheetFormatPr baseColWidth="8" defaultColWidth="9.140625" defaultRowHeight="15"/>
  <cols>
    <col width="9.140625" customWidth="1" style="214" min="1" max="1"/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  <col width="9.140625" customWidth="1" style="214" min="7" max="7"/>
  </cols>
  <sheetData>
    <row r="2" ht="17.25" customHeight="1" s="214">
      <c r="A2" s="25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215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14">
      <c r="A5" s="242" t="inlineStr">
        <is>
          <t>№ пп.</t>
        </is>
      </c>
      <c r="B5" s="242" t="inlineStr">
        <is>
          <t>Наименование элемента</t>
        </is>
      </c>
      <c r="C5" s="242" t="inlineStr">
        <is>
          <t>Обозначение</t>
        </is>
      </c>
      <c r="D5" s="242" t="inlineStr">
        <is>
          <t>Формула</t>
        </is>
      </c>
      <c r="E5" s="242" t="inlineStr">
        <is>
          <t>Величина элемента</t>
        </is>
      </c>
      <c r="F5" s="242" t="inlineStr">
        <is>
          <t>Наименования обосновывающих документов</t>
        </is>
      </c>
      <c r="G5" s="240" t="n"/>
    </row>
    <row r="6" ht="15.75" customHeight="1" s="214">
      <c r="A6" s="242" t="n">
        <v>1</v>
      </c>
      <c r="B6" s="242" t="n">
        <v>2</v>
      </c>
      <c r="C6" s="242" t="n">
        <v>3</v>
      </c>
      <c r="D6" s="242" t="n">
        <v>4</v>
      </c>
      <c r="E6" s="242" t="n">
        <v>5</v>
      </c>
      <c r="F6" s="242" t="n">
        <v>6</v>
      </c>
      <c r="G6" s="240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3" t="inlineStr">
        <is>
          <t>С1ср</t>
        </is>
      </c>
      <c r="D7" s="263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3" t="inlineStr">
        <is>
          <t>tср</t>
        </is>
      </c>
      <c r="D8" s="263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  <c r="J8" t="inlineStr">
        <is>
          <t> </t>
        </is>
      </c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3" t="inlineStr">
        <is>
          <t>Кув</t>
        </is>
      </c>
      <c r="D9" s="263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3" t="n"/>
      <c r="D10" s="263" t="n"/>
      <c r="E10" s="226" t="n">
        <v>4.1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3" t="inlineStr">
        <is>
          <t>КТ</t>
        </is>
      </c>
      <c r="D11" s="263" t="inlineStr">
        <is>
          <t>-</t>
        </is>
      </c>
      <c r="E11" s="227" t="n">
        <v>1.359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14">
      <c r="A12" s="21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63" t="inlineStr">
        <is>
          <t>Кинф</t>
        </is>
      </c>
      <c r="D12" s="263" t="inlineStr">
        <is>
          <t>-</t>
        </is>
      </c>
      <c r="E12" s="229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33" t="inlineStr">
        <is>
          <t>ФОТр.тек.</t>
        </is>
      </c>
      <c r="D13" s="233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  <row r="14" ht="14.45" customHeight="1" s="214">
      <c r="A14" s="236" t="n"/>
      <c r="B14" s="299" t="inlineStr">
        <is>
          <t>Ведущий инженер</t>
        </is>
      </c>
      <c r="C14" s="343" t="n"/>
      <c r="D14" s="343" t="n"/>
      <c r="E14" s="343" t="n"/>
      <c r="F14" s="344" t="n"/>
    </row>
    <row r="15" ht="110.25" customHeight="1" s="214">
      <c r="A15" s="218" t="inlineStr">
        <is>
          <t>1.1</t>
        </is>
      </c>
      <c r="B15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3" t="inlineStr">
        <is>
          <t>С1ср</t>
        </is>
      </c>
      <c r="D15" s="263" t="inlineStr">
        <is>
          <t>-</t>
        </is>
      </c>
      <c r="E15" s="221" t="n">
        <v>47872.94</v>
      </c>
      <c r="F15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0" t="n"/>
    </row>
    <row r="16" ht="31.5" customHeight="1" s="214">
      <c r="A16" s="218" t="inlineStr">
        <is>
          <t>1.2</t>
        </is>
      </c>
      <c r="B16" s="223" t="inlineStr">
        <is>
          <t>Среднегодовое нормативное число часов работы одного рабочего в месяц, часы (ч.)</t>
        </is>
      </c>
      <c r="C16" s="263" t="inlineStr">
        <is>
          <t>tср</t>
        </is>
      </c>
      <c r="D16" s="263" t="inlineStr">
        <is>
          <t>1973ч/12мес.</t>
        </is>
      </c>
      <c r="E16" s="222">
        <f>1973/12</f>
        <v/>
      </c>
      <c r="F16" s="223" t="inlineStr">
        <is>
          <t>Производственный календарь 2023 год
(40-часов.неделя)</t>
        </is>
      </c>
      <c r="G16" s="225" t="n"/>
    </row>
    <row r="17" ht="15.75" customHeight="1" s="214">
      <c r="A17" s="218" t="inlineStr">
        <is>
          <t>1.3</t>
        </is>
      </c>
      <c r="B17" s="223" t="inlineStr">
        <is>
          <t>Коэффициент увеличения</t>
        </is>
      </c>
      <c r="C17" s="263" t="inlineStr">
        <is>
          <t>Кув</t>
        </is>
      </c>
      <c r="D17" s="263" t="inlineStr">
        <is>
          <t>-</t>
        </is>
      </c>
      <c r="E17" s="222" t="n">
        <v>1</v>
      </c>
      <c r="F17" s="223" t="n"/>
      <c r="G17" s="225" t="n"/>
    </row>
    <row r="18" ht="15.75" customHeight="1" s="214">
      <c r="A18" s="218" t="inlineStr">
        <is>
          <t>1.4</t>
        </is>
      </c>
      <c r="B18" s="223" t="inlineStr">
        <is>
          <t>Средний разряд работ</t>
        </is>
      </c>
      <c r="C18" s="263" t="n"/>
      <c r="D18" s="263" t="n"/>
      <c r="E18" s="226" t="n"/>
      <c r="F18" s="223" t="inlineStr">
        <is>
          <t>РТМ</t>
        </is>
      </c>
      <c r="G18" s="225" t="n"/>
    </row>
    <row r="19" ht="78.75" customHeight="1" s="214">
      <c r="A19" s="231" t="inlineStr">
        <is>
          <t>1.5</t>
        </is>
      </c>
      <c r="B19" s="235" t="inlineStr">
        <is>
          <t>Тарифный коэффициент среднего разряда работ</t>
        </is>
      </c>
      <c r="C19" s="233" t="inlineStr">
        <is>
          <t>КТ</t>
        </is>
      </c>
      <c r="D19" s="233" t="inlineStr">
        <is>
          <t>-</t>
        </is>
      </c>
      <c r="E19" s="237" t="n">
        <v>2.35</v>
      </c>
      <c r="F19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0" t="n"/>
    </row>
    <row r="20" ht="78.75" customHeight="1" s="214">
      <c r="A20" s="218" t="inlineStr">
        <is>
          <t>1.6</t>
        </is>
      </c>
      <c r="B20" s="228" t="inlineStr">
        <is>
          <t>Коэффициент инфляции, определяемый поквартально</t>
        </is>
      </c>
      <c r="C20" s="263" t="inlineStr">
        <is>
          <t>Кинф</t>
        </is>
      </c>
      <c r="D20" s="263" t="inlineStr">
        <is>
          <t>-</t>
        </is>
      </c>
      <c r="E20" s="229" t="n">
        <v>1.139</v>
      </c>
      <c r="F20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25" t="n"/>
    </row>
    <row r="21" ht="63" customHeight="1" s="214">
      <c r="A21" s="218" t="inlineStr">
        <is>
          <t>1.7</t>
        </is>
      </c>
      <c r="B21" s="238" t="inlineStr">
        <is>
          <t>Размер средств на оплату труда рабочих-строителей в текущем уровне цен (ФОТр.тек.), руб/чел.-ч</t>
        </is>
      </c>
      <c r="C21" s="263" t="inlineStr">
        <is>
          <t>ФОТр.тек.</t>
        </is>
      </c>
      <c r="D21" s="263" t="inlineStr">
        <is>
          <t>(С1ср/tср*КТ*Т*Кув)*Кинф</t>
        </is>
      </c>
      <c r="E21" s="239">
        <f>((E15*E17/E16)*E19)*E20</f>
        <v/>
      </c>
      <c r="F21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0" t="n"/>
    </row>
    <row r="22" ht="15.75" customHeight="1" s="214">
      <c r="A22" s="236" t="n"/>
      <c r="B22" s="299" t="inlineStr">
        <is>
          <t>Инженер I категории</t>
        </is>
      </c>
      <c r="C22" s="343" t="n"/>
      <c r="D22" s="343" t="n"/>
      <c r="E22" s="343" t="n"/>
      <c r="F22" s="344" t="n"/>
    </row>
    <row r="23" ht="110.25" customHeight="1" s="214">
      <c r="A23" s="218" t="inlineStr">
        <is>
          <t>1.1</t>
        </is>
      </c>
      <c r="B23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3" t="inlineStr">
        <is>
          <t>С1ср</t>
        </is>
      </c>
      <c r="D23" s="263" t="inlineStr">
        <is>
          <t>-</t>
        </is>
      </c>
      <c r="E23" s="221" t="n">
        <v>47872.94</v>
      </c>
      <c r="F23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0" t="n"/>
    </row>
    <row r="24" ht="31.5" customHeight="1" s="214">
      <c r="A24" s="218" t="inlineStr">
        <is>
          <t>1.2</t>
        </is>
      </c>
      <c r="B24" s="223" t="inlineStr">
        <is>
          <t>Среднегодовое нормативное число часов работы одного рабочего в месяц, часы (ч.)</t>
        </is>
      </c>
      <c r="C24" s="263" t="inlineStr">
        <is>
          <t>tср</t>
        </is>
      </c>
      <c r="D24" s="263" t="inlineStr">
        <is>
          <t>1973ч/12мес.</t>
        </is>
      </c>
      <c r="E24" s="222">
        <f>1973/12</f>
        <v/>
      </c>
      <c r="F24" s="223" t="inlineStr">
        <is>
          <t>Производственный календарь 2023 год
(40-часов.неделя)</t>
        </is>
      </c>
      <c r="G24" s="225" t="n"/>
    </row>
    <row r="25" ht="15.75" customHeight="1" s="214">
      <c r="A25" s="218" t="inlineStr">
        <is>
          <t>1.3</t>
        </is>
      </c>
      <c r="B25" s="223" t="inlineStr">
        <is>
          <t>Коэффициент увеличения</t>
        </is>
      </c>
      <c r="C25" s="263" t="inlineStr">
        <is>
          <t>Кув</t>
        </is>
      </c>
      <c r="D25" s="263" t="inlineStr">
        <is>
          <t>-</t>
        </is>
      </c>
      <c r="E25" s="222" t="n">
        <v>1</v>
      </c>
      <c r="F25" s="223" t="n"/>
      <c r="G25" s="225" t="n"/>
    </row>
    <row r="26" ht="15.75" customHeight="1" s="214">
      <c r="A26" s="218" t="inlineStr">
        <is>
          <t>1.4</t>
        </is>
      </c>
      <c r="B26" s="223" t="inlineStr">
        <is>
          <t>Средний разряд работ</t>
        </is>
      </c>
      <c r="C26" s="263" t="n"/>
      <c r="D26" s="263" t="n"/>
      <c r="E26" s="226" t="n">
        <v>1</v>
      </c>
      <c r="F26" s="223" t="inlineStr">
        <is>
          <t>РТМ</t>
        </is>
      </c>
      <c r="G26" s="225" t="n"/>
    </row>
    <row r="27" ht="78.75" customHeight="1" s="214">
      <c r="A27" s="231" t="inlineStr">
        <is>
          <t>1.5</t>
        </is>
      </c>
      <c r="B27" s="235" t="inlineStr">
        <is>
          <t>Тарифный коэффициент среднего разряда работ</t>
        </is>
      </c>
      <c r="C27" s="233" t="inlineStr">
        <is>
          <t>КТ</t>
        </is>
      </c>
      <c r="D27" s="233" t="inlineStr">
        <is>
          <t>-</t>
        </is>
      </c>
      <c r="E27" s="237" t="n">
        <v>2.15</v>
      </c>
      <c r="F27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0" t="n"/>
    </row>
    <row r="28" ht="78.75" customHeight="1" s="214">
      <c r="A28" s="218" t="inlineStr">
        <is>
          <t>1.6</t>
        </is>
      </c>
      <c r="B28" s="228" t="inlineStr">
        <is>
          <t>Коэффициент инфляции, определяемый поквартально</t>
        </is>
      </c>
      <c r="C28" s="263" t="inlineStr">
        <is>
          <t>Кинф</t>
        </is>
      </c>
      <c r="D28" s="263" t="inlineStr">
        <is>
          <t>-</t>
        </is>
      </c>
      <c r="E28" s="229" t="n">
        <v>1.139</v>
      </c>
      <c r="F28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25" t="n"/>
    </row>
    <row r="29" ht="63" customHeight="1" s="214">
      <c r="A29" s="218" t="inlineStr">
        <is>
          <t>1.7</t>
        </is>
      </c>
      <c r="B29" s="238" t="inlineStr">
        <is>
          <t>Размер средств на оплату труда рабочих-строителей в текущем уровне цен (ФОТр.тек.), руб/чел.-ч</t>
        </is>
      </c>
      <c r="C29" s="263" t="inlineStr">
        <is>
          <t>ФОТр.тек.</t>
        </is>
      </c>
      <c r="D29" s="263" t="inlineStr">
        <is>
          <t>(С1ср/tср*КТ*Т*Кув)*Кинф</t>
        </is>
      </c>
      <c r="E29" s="239">
        <f>((E23*E25/E24)*E27)*E28</f>
        <v/>
      </c>
      <c r="F29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0" t="n"/>
    </row>
    <row r="30" ht="15.75" customHeight="1" s="214">
      <c r="A30" s="236" t="n"/>
      <c r="B30" s="299" t="inlineStr">
        <is>
          <t>Инженер II категории</t>
        </is>
      </c>
      <c r="C30" s="343" t="n"/>
      <c r="D30" s="343" t="n"/>
      <c r="E30" s="343" t="n"/>
      <c r="F30" s="344" t="n"/>
    </row>
    <row r="31" ht="110.25" customHeight="1" s="214">
      <c r="A31" s="218" t="inlineStr">
        <is>
          <t>1.1</t>
        </is>
      </c>
      <c r="B31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63" t="inlineStr">
        <is>
          <t>С1ср</t>
        </is>
      </c>
      <c r="D31" s="263" t="inlineStr">
        <is>
          <t>-</t>
        </is>
      </c>
      <c r="E31" s="221" t="n">
        <v>47872.94</v>
      </c>
      <c r="F31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40" t="n"/>
    </row>
    <row r="32" ht="31.5" customHeight="1" s="214">
      <c r="A32" s="218" t="inlineStr">
        <is>
          <t>1.2</t>
        </is>
      </c>
      <c r="B32" s="223" t="inlineStr">
        <is>
          <t>Среднегодовое нормативное число часов работы одного рабочего в месяц, часы (ч.)</t>
        </is>
      </c>
      <c r="C32" s="263" t="inlineStr">
        <is>
          <t>tср</t>
        </is>
      </c>
      <c r="D32" s="263" t="inlineStr">
        <is>
          <t>1973ч/12мес.</t>
        </is>
      </c>
      <c r="E32" s="222">
        <f>1973/12</f>
        <v/>
      </c>
      <c r="F32" s="223" t="inlineStr">
        <is>
          <t>Производственный календарь 2023 год
(40-часов.неделя)</t>
        </is>
      </c>
      <c r="G32" s="225" t="n"/>
    </row>
    <row r="33" ht="15.75" customHeight="1" s="214">
      <c r="A33" s="218" t="inlineStr">
        <is>
          <t>1.3</t>
        </is>
      </c>
      <c r="B33" s="223" t="inlineStr">
        <is>
          <t>Коэффициент увеличения</t>
        </is>
      </c>
      <c r="C33" s="263" t="inlineStr">
        <is>
          <t>Кув</t>
        </is>
      </c>
      <c r="D33" s="263" t="inlineStr">
        <is>
          <t>-</t>
        </is>
      </c>
      <c r="E33" s="222" t="n">
        <v>1</v>
      </c>
      <c r="F33" s="223" t="n"/>
      <c r="G33" s="225" t="n"/>
    </row>
    <row r="34" ht="15.75" customHeight="1" s="214">
      <c r="A34" s="218" t="inlineStr">
        <is>
          <t>1.4</t>
        </is>
      </c>
      <c r="B34" s="223" t="inlineStr">
        <is>
          <t>Средний разряд работ</t>
        </is>
      </c>
      <c r="C34" s="263" t="n"/>
      <c r="D34" s="263" t="n"/>
      <c r="E34" s="226" t="n">
        <v>2</v>
      </c>
      <c r="F34" s="223" t="inlineStr">
        <is>
          <t>РТМ</t>
        </is>
      </c>
      <c r="G34" s="225" t="n"/>
    </row>
    <row r="35" ht="78.75" customHeight="1" s="214">
      <c r="A35" s="231" t="inlineStr">
        <is>
          <t>1.5</t>
        </is>
      </c>
      <c r="B35" s="235" t="inlineStr">
        <is>
          <t>Тарифный коэффициент среднего разряда работ</t>
        </is>
      </c>
      <c r="C35" s="233" t="inlineStr">
        <is>
          <t>КТ</t>
        </is>
      </c>
      <c r="D35" s="233" t="inlineStr">
        <is>
          <t>-</t>
        </is>
      </c>
      <c r="E35" s="237" t="n">
        <v>1.96</v>
      </c>
      <c r="F35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40" t="n"/>
    </row>
    <row r="36" ht="78.75" customHeight="1" s="214">
      <c r="A36" s="218" t="inlineStr">
        <is>
          <t>1.6</t>
        </is>
      </c>
      <c r="B36" s="228" t="inlineStr">
        <is>
          <t>Коэффициент инфляции, определяемый поквартально</t>
        </is>
      </c>
      <c r="C36" s="263" t="inlineStr">
        <is>
          <t>Кинф</t>
        </is>
      </c>
      <c r="D36" s="263" t="inlineStr">
        <is>
          <t>-</t>
        </is>
      </c>
      <c r="E36" s="229" t="n">
        <v>1.139</v>
      </c>
      <c r="F36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25" t="n"/>
    </row>
    <row r="37" ht="63" customHeight="1" s="214">
      <c r="A37" s="218" t="inlineStr">
        <is>
          <t>1.7</t>
        </is>
      </c>
      <c r="B37" s="238" t="inlineStr">
        <is>
          <t>Размер средств на оплату труда рабочих-строителей в текущем уровне цен (ФОТр.тек.), руб/чел.-ч</t>
        </is>
      </c>
      <c r="C37" s="263" t="inlineStr">
        <is>
          <t>ФОТр.тек.</t>
        </is>
      </c>
      <c r="D37" s="263" t="inlineStr">
        <is>
          <t>(С1ср/tср*КТ*Т*Кув)*Кинф</t>
        </is>
      </c>
      <c r="E37" s="239">
        <f>((E31*E33/E32)*E35)*E36</f>
        <v/>
      </c>
      <c r="F37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40" t="n"/>
    </row>
    <row r="38" ht="15.75" customHeight="1" s="214">
      <c r="A38" s="236" t="n"/>
      <c r="B38" s="299" t="inlineStr">
        <is>
          <t>Инженер III категории</t>
        </is>
      </c>
      <c r="C38" s="343" t="n"/>
      <c r="D38" s="343" t="n"/>
      <c r="E38" s="343" t="n"/>
      <c r="F38" s="344" t="n"/>
    </row>
    <row r="39" ht="110.25" customHeight="1" s="214">
      <c r="A39" s="218" t="inlineStr">
        <is>
          <t>1.1</t>
        </is>
      </c>
      <c r="B39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63" t="inlineStr">
        <is>
          <t>С1ср</t>
        </is>
      </c>
      <c r="D39" s="263" t="inlineStr">
        <is>
          <t>-</t>
        </is>
      </c>
      <c r="E39" s="221" t="n">
        <v>47872.94</v>
      </c>
      <c r="F39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40" t="n"/>
    </row>
    <row r="40" ht="31.5" customHeight="1" s="214">
      <c r="A40" s="218" t="inlineStr">
        <is>
          <t>1.2</t>
        </is>
      </c>
      <c r="B40" s="223" t="inlineStr">
        <is>
          <t>Среднегодовое нормативное число часов работы одного рабочего в месяц, часы (ч.)</t>
        </is>
      </c>
      <c r="C40" s="263" t="inlineStr">
        <is>
          <t>tср</t>
        </is>
      </c>
      <c r="D40" s="263" t="inlineStr">
        <is>
          <t>1973ч/12мес.</t>
        </is>
      </c>
      <c r="E40" s="222">
        <f>1973/12</f>
        <v/>
      </c>
      <c r="F40" s="223" t="inlineStr">
        <is>
          <t>Производственный календарь 2023 год
(40-часов.неделя)</t>
        </is>
      </c>
      <c r="G40" s="225" t="n"/>
    </row>
    <row r="41" ht="15.75" customHeight="1" s="214">
      <c r="A41" s="218" t="inlineStr">
        <is>
          <t>1.3</t>
        </is>
      </c>
      <c r="B41" s="223" t="inlineStr">
        <is>
          <t>Коэффициент увеличения</t>
        </is>
      </c>
      <c r="C41" s="263" t="inlineStr">
        <is>
          <t>Кув</t>
        </is>
      </c>
      <c r="D41" s="263" t="inlineStr">
        <is>
          <t>-</t>
        </is>
      </c>
      <c r="E41" s="222" t="n">
        <v>1</v>
      </c>
      <c r="F41" s="223" t="n"/>
      <c r="G41" s="225" t="n"/>
    </row>
    <row r="42" ht="15.75" customHeight="1" s="214">
      <c r="A42" s="218" t="inlineStr">
        <is>
          <t>1.4</t>
        </is>
      </c>
      <c r="B42" s="223" t="inlineStr">
        <is>
          <t>Средний разряд работ</t>
        </is>
      </c>
      <c r="C42" s="263" t="n"/>
      <c r="D42" s="263" t="n"/>
      <c r="E42" s="226" t="n">
        <v>3</v>
      </c>
      <c r="F42" s="223" t="inlineStr">
        <is>
          <t>РТМ</t>
        </is>
      </c>
      <c r="G42" s="225" t="n"/>
    </row>
    <row r="43" ht="78.75" customHeight="1" s="214">
      <c r="A43" s="231" t="inlineStr">
        <is>
          <t>1.5</t>
        </is>
      </c>
      <c r="B43" s="235" t="inlineStr">
        <is>
          <t>Тарифный коэффициент среднего разряда работ</t>
        </is>
      </c>
      <c r="C43" s="233" t="inlineStr">
        <is>
          <t>КТ</t>
        </is>
      </c>
      <c r="D43" s="233" t="inlineStr">
        <is>
          <t>-</t>
        </is>
      </c>
      <c r="E43" s="237" t="n">
        <v>1.76</v>
      </c>
      <c r="F43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40" t="n"/>
    </row>
    <row r="44" ht="78.75" customHeight="1" s="214">
      <c r="A44" s="218" t="inlineStr">
        <is>
          <t>1.6</t>
        </is>
      </c>
      <c r="B44" s="228" t="inlineStr">
        <is>
          <t>Коэффициент инфляции, определяемый поквартально</t>
        </is>
      </c>
      <c r="C44" s="263" t="inlineStr">
        <is>
          <t>Кинф</t>
        </is>
      </c>
      <c r="D44" s="263" t="inlineStr">
        <is>
          <t>-</t>
        </is>
      </c>
      <c r="E44" s="229" t="n">
        <v>1.139</v>
      </c>
      <c r="F44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25" t="n"/>
    </row>
    <row r="45" ht="63" customHeight="1" s="214">
      <c r="A45" s="218" t="inlineStr">
        <is>
          <t>1.7</t>
        </is>
      </c>
      <c r="B45" s="238" t="inlineStr">
        <is>
          <t>Размер средств на оплату труда рабочих-строителей в текущем уровне цен (ФОТр.тек.), руб/чел.-ч</t>
        </is>
      </c>
      <c r="C45" s="263" t="inlineStr">
        <is>
          <t>ФОТр.тек.</t>
        </is>
      </c>
      <c r="D45" s="263" t="inlineStr">
        <is>
          <t>(С1ср/tср*КТ*Т*Кув)*Кинф</t>
        </is>
      </c>
      <c r="E45" s="239">
        <f>((E39*E41/E40)*E43)*E44</f>
        <v/>
      </c>
      <c r="F45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40" t="n"/>
    </row>
    <row r="46" ht="15.75" customHeight="1" s="214">
      <c r="A46" s="236" t="n"/>
      <c r="B46" s="299" t="inlineStr">
        <is>
          <t>Техник I категории</t>
        </is>
      </c>
      <c r="C46" s="343" t="n"/>
      <c r="D46" s="343" t="n"/>
      <c r="E46" s="343" t="n"/>
      <c r="F46" s="344" t="n"/>
    </row>
    <row r="47" ht="110.25" customHeight="1" s="214">
      <c r="A47" s="218" t="inlineStr">
        <is>
          <t>1.1</t>
        </is>
      </c>
      <c r="B4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63" t="inlineStr">
        <is>
          <t>С1ср</t>
        </is>
      </c>
      <c r="D47" s="263" t="inlineStr">
        <is>
          <t>-</t>
        </is>
      </c>
      <c r="E47" s="221" t="n">
        <v>47872.94</v>
      </c>
      <c r="F4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40" t="n"/>
    </row>
    <row r="48" ht="31.5" customHeight="1" s="214">
      <c r="A48" s="218" t="inlineStr">
        <is>
          <t>1.2</t>
        </is>
      </c>
      <c r="B48" s="223" t="inlineStr">
        <is>
          <t>Среднегодовое нормативное число часов работы одного рабочего в месяц, часы (ч.)</t>
        </is>
      </c>
      <c r="C48" s="263" t="inlineStr">
        <is>
          <t>tср</t>
        </is>
      </c>
      <c r="D48" s="263" t="inlineStr">
        <is>
          <t>1973ч/12мес.</t>
        </is>
      </c>
      <c r="E48" s="222">
        <f>1973/12</f>
        <v/>
      </c>
      <c r="F48" s="223" t="inlineStr">
        <is>
          <t>Производственный календарь 2023 год
(40-часов.неделя)</t>
        </is>
      </c>
      <c r="G48" s="225" t="n"/>
    </row>
    <row r="49" ht="15.75" customHeight="1" s="214">
      <c r="A49" s="218" t="inlineStr">
        <is>
          <t>1.3</t>
        </is>
      </c>
      <c r="B49" s="223" t="inlineStr">
        <is>
          <t>Коэффициент увеличения</t>
        </is>
      </c>
      <c r="C49" s="263" t="inlineStr">
        <is>
          <t>Кув</t>
        </is>
      </c>
      <c r="D49" s="263" t="inlineStr">
        <is>
          <t>-</t>
        </is>
      </c>
      <c r="E49" s="222" t="n">
        <v>1</v>
      </c>
      <c r="F49" s="223" t="n"/>
      <c r="G49" s="225" t="n"/>
    </row>
    <row r="50" ht="15.75" customHeight="1" s="214">
      <c r="A50" s="218" t="inlineStr">
        <is>
          <t>1.4</t>
        </is>
      </c>
      <c r="B50" s="223" t="inlineStr">
        <is>
          <t>Средний разряд работ</t>
        </is>
      </c>
      <c r="C50" s="263" t="n"/>
      <c r="D50" s="263" t="n"/>
      <c r="E50" s="226" t="n">
        <v>1</v>
      </c>
      <c r="F50" s="223" t="inlineStr">
        <is>
          <t>РТМ</t>
        </is>
      </c>
      <c r="G50" s="225" t="n"/>
    </row>
    <row r="51" ht="78.75" customHeight="1" s="214">
      <c r="A51" s="231" t="inlineStr">
        <is>
          <t>1.5</t>
        </is>
      </c>
      <c r="B51" s="235" t="inlineStr">
        <is>
          <t>Тарифный коэффициент среднего разряда работ</t>
        </is>
      </c>
      <c r="C51" s="233" t="inlineStr">
        <is>
          <t>КТ</t>
        </is>
      </c>
      <c r="D51" s="233" t="inlineStr">
        <is>
          <t>-</t>
        </is>
      </c>
      <c r="E51" s="237" t="n">
        <v>1.42</v>
      </c>
      <c r="F51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40" t="n"/>
    </row>
    <row r="52" ht="78.75" customHeight="1" s="214">
      <c r="A52" s="218" t="inlineStr">
        <is>
          <t>1.6</t>
        </is>
      </c>
      <c r="B52" s="228" t="inlineStr">
        <is>
          <t>Коэффициент инфляции, определяемый поквартально</t>
        </is>
      </c>
      <c r="C52" s="263" t="inlineStr">
        <is>
          <t>Кинф</t>
        </is>
      </c>
      <c r="D52" s="263" t="inlineStr">
        <is>
          <t>-</t>
        </is>
      </c>
      <c r="E52" s="229" t="n">
        <v>1.139</v>
      </c>
      <c r="F5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25" t="n"/>
    </row>
    <row r="53" ht="63" customHeight="1" s="214">
      <c r="A53" s="218" t="inlineStr">
        <is>
          <t>1.7</t>
        </is>
      </c>
      <c r="B53" s="238" t="inlineStr">
        <is>
          <t>Размер средств на оплату труда рабочих-строителей в текущем уровне цен (ФОТр.тек.), руб/чел.-ч</t>
        </is>
      </c>
      <c r="C53" s="263" t="inlineStr">
        <is>
          <t>ФОТр.тек.</t>
        </is>
      </c>
      <c r="D53" s="263" t="inlineStr">
        <is>
          <t>(С1ср/tср*КТ*Т*Кув)*Кинф</t>
        </is>
      </c>
      <c r="E53" s="239">
        <f>((E47*E49/E48)*E51)*E52</f>
        <v/>
      </c>
      <c r="F5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40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2025-01-24T12:16:41Z</dcterms:modified>
  <cp:lastModifiedBy>REDMIBOOK</cp:lastModifiedBy>
  <cp:lastPrinted>2023-11-28T08:35:49Z</cp:lastPrinted>
</cp:coreProperties>
</file>