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924" firstSheet="3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er2">{"glc1",#N/A,FALSE,"GLC";"glc2",#N/A,FALSE,"GLC";"glc3",#N/A,FALSE,"GLC";"glc4",#N/A,FALSE,"GLC";"glc5",#N/A,FALSE,"GLC"}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'Прил.3'!$A$1:$H$81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ОБ'!$A$1:$J$96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\AUTOEXEC" localSheetId="8">#REF!</definedName>
    <definedName name="_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_xlnm.Primt_Area_3" localSheetId="8">#REF!</definedName>
    <definedName name="__IntlFixup" localSheetId="8">TRUE</definedName>
    <definedName name="_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_xlnm.Primt_Area_3" localSheetId="8">#REF!</definedName>
    <definedName name="_02121" localSheetId="8">#REF!</definedName>
    <definedName name="_er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Fill" localSheetId="8">#REF!</definedName>
    <definedName name="_Hlt440565644_1" localSheetId="8">#REF!</definedName>
    <definedName name="_wrn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wrn222" localSheetId="8">{"'ФОТр.тек. '!glc1",#N/A,FALSE,"GLC";"'ФОТр.тек. '!glc2",#N/A,FALSE,"GLC";"'ФОТр.тек. '!glc3",#N/A,FALSE,"GLC";"'ФОТр.тек. '!glc4",#N/A,FALSE,"GLC";"'ФОТр.тек. '!glc5",#N/A,FALSE,"GLC"}</definedName>
    <definedName name="_z" localSheetId="8">#REF!</definedName>
    <definedName name="_Восемь" localSheetId="8">#REF!</definedName>
    <definedName name="_два_1" localSheetId="8">#REF!</definedName>
    <definedName name="_два_2" localSheetId="8">#REF!</definedName>
    <definedName name="_Девять" localSheetId="8">#REF!</definedName>
    <definedName name="_пять" localSheetId="8">#REF!</definedName>
    <definedName name="_Раз" localSheetId="8">#REF!</definedName>
    <definedName name="_семь_1" localSheetId="8">#REF!</definedName>
    <definedName name="_семь_2" localSheetId="8">#REF!</definedName>
    <definedName name="_три" localSheetId="8">#REF!</definedName>
    <definedName name="_четыре" localSheetId="8">#REF!</definedName>
    <definedName name="_шесть_1" localSheetId="8">#REF!</definedName>
    <definedName name="_шесть_2" localSheetId="8">#REF!</definedName>
    <definedName name="asd" localSheetId="8">#REF!</definedName>
    <definedName name="curs" localSheetId="8">#REF!</definedName>
    <definedName name="Excel_BuiltIn_Print_Area_10_1" localSheetId="8">#REF!</definedName>
    <definedName name="Excel_BuiltIn_Print_Area_15" localSheetId="8">#REF!</definedName>
    <definedName name="Excel_BuiltIn_Print_Area_2_1" localSheetId="8">#REF!</definedName>
    <definedName name="Excel_BuiltIn_Print_Area_3_1" localSheetId="8">#REF!</definedName>
    <definedName name="Excel_BuiltIn_Print_Area_4" localSheetId="8">#REF!</definedName>
    <definedName name="Excel_BuiltIn_Print_Area_5" localSheetId="8">#REF!</definedName>
    <definedName name="Excel_BuiltIn_Print_Area_7_1" localSheetId="8">#REF!</definedName>
    <definedName name="Excel_BuiltIn_Print_Area_8_1" localSheetId="8">#REF!</definedName>
    <definedName name="Excel_BuiltIn_Print_Area_9_1" localSheetId="8">#REF!</definedName>
    <definedName name="Iквартал2014" localSheetId="8">#REF!</definedName>
    <definedName name="Jkz" localSheetId="8">#REF!</definedName>
    <definedName name="kinf09_08" localSheetId="8">#REF!</definedName>
    <definedName name="kinf10_09" localSheetId="8">#REF!</definedName>
    <definedName name="kinf11_10" localSheetId="8">#REF!</definedName>
    <definedName name="kinf12_11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8">#REF!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Nalog" localSheetId="8">#REF!</definedName>
    <definedName name="opmes" localSheetId="8">#REF!</definedName>
    <definedName name="rrr" localSheetId="8">#REF!</definedName>
    <definedName name="SD_DC" localSheetId="8">#REF!</definedName>
    <definedName name="title" localSheetId="8">#REF!</definedName>
    <definedName name="wrn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glcpromonte." localSheetId="8">{"'ФОТр.тек. '!glc1",#N/A,FALSE,"GLC";"'ФОТр.тек. '!glc2",#N/A,FALSE,"GLC";"'ФОТр.тек. '!glc3",#N/A,FALSE,"GLC";"'ФОТр.тек. '!glc4",#N/A,FALSE,"GLC";"'ФОТр.тек. '!glc5",#N/A,FALSE,"GLC"}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8">#REF!</definedName>
    <definedName name="АКСТ" localSheetId="8">#REF!</definedName>
    <definedName name="аолрмб" localSheetId="8">#REF!</definedName>
    <definedName name="Богат" localSheetId="8">#REF!</definedName>
    <definedName name="быч" localSheetId="8">#REF!</definedName>
    <definedName name="вб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8">#REF!</definedName>
    <definedName name="ветер" localSheetId="8">#REF!</definedName>
    <definedName name="ВЛ110" localSheetId="8">#REF!</definedName>
    <definedName name="Воздушные_линии" localSheetId="8">#REF!</definedName>
    <definedName name="Восстановление_покрытий" localSheetId="8">#REF!</definedName>
    <definedName name="вс" localSheetId="8">{#N/A,#N/A,FALSE,"Aging Summary";#N/A,#N/A,FALSE,"Ratio Analysis";#N/A,#N/A,FALSE,"Test 120 Day Accts";#N/A,#N/A,FALSE,"Tickmarks"}</definedName>
    <definedName name="Всего_по_смете" localSheetId="8">#REF!</definedName>
    <definedName name="ВсегоРучБур" localSheetId="8">#REF!</definedName>
    <definedName name="Выключатели" localSheetId="8">#REF!</definedName>
    <definedName name="Вып_ОФ_с_пц" localSheetId="8">#REF!</definedName>
    <definedName name="Вып_с_новых_ОФ" localSheetId="8">#REF!</definedName>
    <definedName name="газ" localSheetId="8">#REF!</definedName>
    <definedName name="ГИП" localSheetId="8">#REF!</definedName>
    <definedName name="ГИП2" localSheetId="8">#REF!</definedName>
    <definedName name="гк" localSheetId="8">#REF!</definedName>
    <definedName name="го" localSheetId="8">#REF!</definedName>
    <definedName name="гш" localSheetId="8">#REF!</definedName>
    <definedName name="д" localSheetId="8">#REF!</definedName>
    <definedName name="Демонтаж_ВЛ" localSheetId="8">#REF!</definedName>
    <definedName name="Демонтаж_ВЛ_0_4_10_кВ_поопорно" localSheetId="8">#REF!</definedName>
    <definedName name="Демонтаж_ж_б_опор_ВЛ_35_220_кВ__тыс._руб._за_1_м3" localSheetId="8">#REF!</definedName>
    <definedName name="Демонтаж_оборудования_ПС" localSheetId="8">#REF!</definedName>
    <definedName name="Демонтаж_стальных_опор_ВЛ_35_220_кВ__тыс._руб._за_1_т" localSheetId="8">#REF!</definedName>
    <definedName name="Дефл_ц_пред_год" localSheetId="8">#REF!</definedName>
    <definedName name="Дефлятор_годовой" localSheetId="8">#REF!</definedName>
    <definedName name="Дефлятор_цепной" localSheetId="8">#REF!</definedName>
    <definedName name="дж" localSheetId="8">#REF!</definedName>
    <definedName name="дж1" localSheetId="8">#REF!</definedName>
    <definedName name="дир" localSheetId="8">#REF!</definedName>
    <definedName name="ДМС_АУП" localSheetId="8">#REF!</definedName>
    <definedName name="ДМС_ПЭЭ" localSheetId="8">#REF!</definedName>
    <definedName name="ДМС_ТП" localSheetId="8">#REF!</definedName>
    <definedName name="док" localSheetId="8">#REF!</definedName>
    <definedName name="Должность" localSheetId="8">#REF!</definedName>
    <definedName name="дтс" localSheetId="8">#REF!</definedName>
    <definedName name="ЕВР" localSheetId="8">#REF!</definedName>
    <definedName name="жж" localSheetId="8">#REF!</definedName>
    <definedName name="ЗаказДолжность" localSheetId="8">#REF!</definedName>
    <definedName name="ЗаказИмя" localSheetId="8">#REF!</definedName>
    <definedName name="Закрытые_подстанции_в_целом" localSheetId="8">#REF!</definedName>
    <definedName name="Затраты_на_вырубку_просеки" localSheetId="8">#REF!</definedName>
    <definedName name="Затраты_на_устройство_лежневых_дорог" localSheetId="8">#REF!</definedName>
    <definedName name="Здания_КРУЭ__ЗРУ__укомплектованных_оборудованием" localSheetId="8">#REF!</definedName>
    <definedName name="Зел" localSheetId="8">#REF!</definedName>
    <definedName name="зит" localSheetId="8">#REF!</definedName>
    <definedName name="Зоны" localSheetId="8">#REF!</definedName>
    <definedName name="ис" localSheetId="8">#REF!</definedName>
    <definedName name="йцу" localSheetId="8">#REF!</definedName>
    <definedName name="Кабельные_линии" localSheetId="8">#REF!</definedName>
    <definedName name="КВАРТАЛ" localSheetId="8">#REF!</definedName>
    <definedName name="Кварталы" localSheetId="8">#REF!</definedName>
    <definedName name="КиП_АУП" localSheetId="8">#REF!</definedName>
    <definedName name="КиП_ПЭЭ" localSheetId="8">#REF!</definedName>
    <definedName name="КиП_ТП" localSheetId="8">#REF!</definedName>
    <definedName name="Количество_листов" localSheetId="8">#REF!</definedName>
    <definedName name="Колп" localSheetId="8">#REF!</definedName>
    <definedName name="Компенсаторы" localSheetId="8">#REF!</definedName>
    <definedName name="Комплектные_трансформаторные_устройства" localSheetId="8">#REF!</definedName>
    <definedName name="КонПериода" localSheetId="8">#REF!</definedName>
    <definedName name="Контрагент" localSheetId="8">#REF!</definedName>
    <definedName name="корр" localSheetId="8">{#N/A,#N/A,FALSE,"Шаблон_Спец1"}</definedName>
    <definedName name="Костромская_область" localSheetId="8">#REF!</definedName>
    <definedName name="КОЭФ4" localSheetId="8">#REF!</definedName>
    <definedName name="КоэфГорЗаказ" localSheetId="8">#REF!</definedName>
    <definedName name="КоэфУдорожания" localSheetId="8">#REF!</definedName>
    <definedName name="КОЭФФ1" localSheetId="8">#REF!</definedName>
    <definedName name="Кра" localSheetId="8">#REF!</definedName>
    <definedName name="Крек" localSheetId="8">#REF!</definedName>
    <definedName name="Крп" localSheetId="8">#REF!</definedName>
    <definedName name="Курс_доллара" localSheetId="8">#REF!</definedName>
    <definedName name="Кэл" localSheetId="8">#REF!</definedName>
    <definedName name="ЛенЗина" localSheetId="8">#REF!</definedName>
    <definedName name="лес" localSheetId="8">#REF!</definedName>
    <definedName name="Мак" localSheetId="8">#REF!</definedName>
    <definedName name="мж1" localSheetId="8">#REF!</definedName>
    <definedName name="мил" localSheetId="8">{0,"овz";1,"z";2,"аz";5,"овz"}</definedName>
    <definedName name="мин" localSheetId="8">#REF!</definedName>
    <definedName name="мичм" localSheetId="8">#REF!</definedName>
    <definedName name="муж" localSheetId="8">#REF!</definedName>
    <definedName name="наз" localSheetId="8">#REF!</definedName>
    <definedName name="назв" localSheetId="8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8">#REF!</definedName>
    <definedName name="НачПериода" localSheetId="8">#REF!</definedName>
    <definedName name="нес2" localSheetId="8">#REF!</definedName>
    <definedName name="НК" localSheetId="8">#REF!</definedName>
    <definedName name="новые_ОФ_2003" localSheetId="8">#REF!</definedName>
    <definedName name="новые_ОФ_2004" localSheetId="8">#REF!</definedName>
    <definedName name="новые_ОФ_а_всего" localSheetId="8">#REF!</definedName>
    <definedName name="новые_ОФ_всего" localSheetId="8">#REF!</definedName>
    <definedName name="новые_ОФ_п_всего" localSheetId="8">#REF!</definedName>
    <definedName name="Номер_Сметы" localSheetId="8">#REF!</definedName>
    <definedName name="НомерДоговора" localSheetId="8">#REF!</definedName>
    <definedName name="НомерПериода" localSheetId="8">#REF!</definedName>
    <definedName name="НПФ_АУП" localSheetId="8">#REF!</definedName>
    <definedName name="НПФ_ПЭЭ" localSheetId="8">#REF!</definedName>
    <definedName name="НПФ_ТП" localSheetId="8">#REF!</definedName>
    <definedName name="нр" localSheetId="8">#REF!</definedName>
    <definedName name="Нсапк" localSheetId="8">#REF!</definedName>
    <definedName name="Нсстр" localSheetId="8">#REF!</definedName>
    <definedName name="обл" localSheetId="8">#REF!</definedName>
    <definedName name="Область_печати_ИМ" localSheetId="8">#REF!</definedName>
    <definedName name="Обучение_АУП" localSheetId="8">#REF!</definedName>
    <definedName name="Обучение_ПЭЭ" localSheetId="8">#REF!</definedName>
    <definedName name="Обучение_ТП" localSheetId="8">#REF!</definedName>
    <definedName name="ОБЪЕКТ" localSheetId="8">#REF!</definedName>
    <definedName name="ОбъектАдрес" localSheetId="8">#REF!</definedName>
    <definedName name="Объекты" localSheetId="8">#REF!</definedName>
    <definedName name="объем___0" localSheetId="8">#REF!</definedName>
    <definedName name="объем___10___0___0" localSheetId="8">#REF!</definedName>
    <definedName name="объем___11" localSheetId="8">#REF!</definedName>
    <definedName name="объем___11___10" localSheetId="8">#REF!</definedName>
    <definedName name="объем___2" localSheetId="8">#REF!</definedName>
    <definedName name="объем___3___10" localSheetId="8">#REF!</definedName>
    <definedName name="объем___4___0___0" localSheetId="8">#REF!</definedName>
    <definedName name="объем___5___0" localSheetId="8">#REF!</definedName>
    <definedName name="объем___6___0" localSheetId="8">#REF!</definedName>
    <definedName name="ок" localSheetId="8">#REF!</definedName>
    <definedName name="окраска_05" localSheetId="8">#REF!</definedName>
    <definedName name="окраска_06" localSheetId="8">#REF!</definedName>
    <definedName name="окраска_07" localSheetId="8">#REF!</definedName>
    <definedName name="окраска_08" localSheetId="8">#REF!</definedName>
    <definedName name="окраска_09" localSheetId="8">#REF!</definedName>
    <definedName name="окраска_10" localSheetId="8">#REF!</definedName>
    <definedName name="окраска_11" localSheetId="8">#REF!</definedName>
    <definedName name="окраска_12" localSheetId="8">#REF!</definedName>
    <definedName name="окраска_13" localSheetId="8">#REF!</definedName>
    <definedName name="окраска_14" localSheetId="8">#REF!</definedName>
    <definedName name="окраска_15" localSheetId="8">#REF!</definedName>
    <definedName name="Организация" localSheetId="8">#REF!</definedName>
    <definedName name="ОРУ_по_блочным_и_мостиковым_схемам" localSheetId="8">#REF!</definedName>
    <definedName name="Отвод_земель_ПС_20" localSheetId="8">#REF!</definedName>
    <definedName name="Отвод_земель_ПС_35_220" localSheetId="8">#REF!</definedName>
    <definedName name="Открытые_подстанции_35_220_кВ_в_целом__элегазовое_и_зарубежное_оборудование" localSheetId="8">#REF!</definedName>
    <definedName name="Открытые_подстанции_в_целом" localSheetId="8">#REF!</definedName>
    <definedName name="ОФ_а_с_пц" localSheetId="8">#REF!</definedName>
    <definedName name="оч" localSheetId="8">#REF!</definedName>
    <definedName name="пет" localSheetId="8">#REF!</definedName>
    <definedName name="Пкр" localSheetId="8">#REF!</definedName>
    <definedName name="Побв" localSheetId="8">#REF!</definedName>
    <definedName name="Под_напр_ВЛ" localSheetId="8">#REF!</definedName>
    <definedName name="Под_напр_КЛ" localSheetId="8">#REF!</definedName>
    <definedName name="Подвеска_ВОЛС_на_существующих_опорах" localSheetId="8">#REF!</definedName>
    <definedName name="ПодрядДолжн" localSheetId="8">#REF!</definedName>
    <definedName name="ПодрядИмя" localSheetId="8">#REF!</definedName>
    <definedName name="Подрядчик" localSheetId="8">#REF!</definedName>
    <definedName name="Поправочные_коэффициенты_по_письму_Госстроя_от_25.12.90___0" localSheetId="8">#REF!</definedName>
    <definedName name="Поправочные_коэффициенты_по_письму_Госстроя_от_25.12.90___10___0___0" localSheetId="8">#REF!</definedName>
    <definedName name="Поправочные_коэффициенты_по_письму_Госстроя_от_25.12.90___11" localSheetId="8">#REF!</definedName>
    <definedName name="Поправочные_коэффициенты_по_письму_Госстроя_от_25.12.90___11___10" localSheetId="8">#REF!</definedName>
    <definedName name="Поправочные_коэффициенты_по_письму_Госстроя_от_25.12.90___2" localSheetId="8">#REF!</definedName>
    <definedName name="Поправочные_коэффициенты_по_письму_Госстроя_от_25.12.90___3___0___2" localSheetId="8">#REF!</definedName>
    <definedName name="Поправочные_коэффициенты_по_письму_Госстроя_от_25.12.90___3___10" localSheetId="8">#REF!</definedName>
    <definedName name="Поправочные_коэффициенты_по_письму_Госстроя_от_25.12.90___4___0___0" localSheetId="8">#REF!</definedName>
    <definedName name="Поправочные_коэффициенты_по_письму_Госстроя_от_25.12.90___5___0" localSheetId="8">#REF!</definedName>
    <definedName name="Поправочные_коэффициенты_по_письму_Госстроя_от_25.12.90___6___0" localSheetId="8">#REF!</definedName>
    <definedName name="Постоянная_часть_закрытых_ПС" localSheetId="8">#REF!</definedName>
    <definedName name="Постоянная_часть_открытых_ПС" localSheetId="8">#REF!</definedName>
    <definedName name="Постоянный_отвод_земель_ВЛ" localSheetId="8">#REF!</definedName>
    <definedName name="Постоянный_отвод_земель_под_КЛ" localSheetId="8">#REF!</definedName>
    <definedName name="пппппп" localSheetId="8">#REF!</definedName>
    <definedName name="прайс" localSheetId="8">#REF!</definedName>
    <definedName name="приб" localSheetId="8">#REF!</definedName>
    <definedName name="прибл" localSheetId="8">#REF!</definedName>
    <definedName name="прим" localSheetId="8">#REF!</definedName>
    <definedName name="Прогноз_Вып_пц" localSheetId="8">#REF!</definedName>
    <definedName name="Прокладка_ВОЛС_в_траншее" localSheetId="8">#REF!</definedName>
    <definedName name="Прот" localSheetId="8">#REF!</definedName>
    <definedName name="Противоаварийная_автоматика_ПС" localSheetId="8">#REF!</definedName>
    <definedName name="псков" localSheetId="8">#REF!</definedName>
    <definedName name="пус" localSheetId="8">#REF!</definedName>
    <definedName name="пуш" localSheetId="8">#REF!</definedName>
    <definedName name="рабдень" localSheetId="8">#REF!</definedName>
    <definedName name="Разработка_проекта__Строительство_подземного_пешеходного_перехода_у_ст._метро__Гражданский_проспект" localSheetId="8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8">#REF!</definedName>
    <definedName name="Расчет_реконструкции" localSheetId="8">#REF!</definedName>
    <definedName name="расчет1" localSheetId="8">#REF!</definedName>
    <definedName name="Расчёт1" localSheetId="8">#REF!</definedName>
    <definedName name="Расширение_ПС" localSheetId="8">#REF!</definedName>
    <definedName name="Реакторы" localSheetId="8">#REF!</definedName>
    <definedName name="Регион__вводит_пользователь_программы_из_контекстного_списка" localSheetId="8">#REF!</definedName>
    <definedName name="Регионы" localSheetId="8">#REF!</definedName>
    <definedName name="рига" localSheetId="8">#REF!</definedName>
    <definedName name="РПР" localSheetId="8">#REF!</definedName>
    <definedName name="С" localSheetId="8">{#N/A,#N/A,FALSE,"Шаблон_Спец1"}</definedName>
    <definedName name="с1" localSheetId="8">#REF!</definedName>
    <definedName name="СВсм" localSheetId="8">#REF!</definedName>
    <definedName name="СДП" localSheetId="8">#REF!</definedName>
    <definedName name="се" localSheetId="8">#REF!</definedName>
    <definedName name="Сегменты" localSheetId="8">#REF!</definedName>
    <definedName name="Сейсмика_зданий" localSheetId="8">#REF!</definedName>
    <definedName name="Сейсмика_линий" localSheetId="8">#REF!</definedName>
    <definedName name="СЗИТ" localSheetId="8">#REF!</definedName>
    <definedName name="СлБуд" localSheetId="8">#REF!</definedName>
    <definedName name="слон" localSheetId="8">#REF!</definedName>
    <definedName name="См6" localSheetId="8">#REF!</definedName>
    <definedName name="Смета_2" localSheetId="8">#REF!</definedName>
    <definedName name="Смета11" localSheetId="8">#REF!</definedName>
    <definedName name="Смета21" localSheetId="8">#REF!</definedName>
    <definedName name="Смета3" localSheetId="8">#REF!</definedName>
    <definedName name="Составил" localSheetId="8">#REF!</definedName>
    <definedName name="СоцРасходы_АУП" localSheetId="8">#REF!</definedName>
    <definedName name="СоцРАсходы_ПЭЭ" localSheetId="8">#REF!</definedName>
    <definedName name="СоцРАсходы_ТП" localSheetId="8">#REF!</definedName>
    <definedName name="Ст" localSheetId="8">#REF!</definedName>
    <definedName name="СтавкаWACC" localSheetId="8">#REF!</definedName>
    <definedName name="СТАД" localSheetId="8">#REF!</definedName>
    <definedName name="Станц10" localSheetId="8">#REF!</definedName>
    <definedName name="СТЕП" localSheetId="8">#REF!</definedName>
    <definedName name="Стоимость_специальных_переходов" localSheetId="8">#REF!</definedName>
    <definedName name="стороны" localSheetId="8">#REF!</definedName>
    <definedName name="Стр10" localSheetId="8">#REF!</definedName>
    <definedName name="СтрАУ" localSheetId="8">#REF!</definedName>
    <definedName name="СтрДУ" localSheetId="8">#REF!</definedName>
    <definedName name="Стрелки" localSheetId="8">#REF!</definedName>
    <definedName name="сумм" localSheetId="8">#REF!</definedName>
    <definedName name="сумт" localSheetId="8">#REF!</definedName>
    <definedName name="т" localSheetId="8">#REF!</definedName>
    <definedName name="Таблица_индексов" localSheetId="8">#REF!</definedName>
    <definedName name="Тип_ПС" localSheetId="8">#REF!</definedName>
    <definedName name="титул" localSheetId="8">#REF!</definedName>
    <definedName name="ТолькоРучЛаб" localSheetId="8">#REF!</definedName>
    <definedName name="Трансформаторы" localSheetId="8">#REF!</definedName>
    <definedName name="тыс" localSheetId="8">{0,"тысячz";1,"тысячаz";2,"тысячиz";5,"тысячz"}</definedName>
    <definedName name="тьбю" localSheetId="8">#REF!</definedName>
    <definedName name="Условия_ВЛ" localSheetId="8">#REF!</definedName>
    <definedName name="Условия_КЛ" localSheetId="8">#REF!</definedName>
    <definedName name="Ф10" localSheetId="8">#REF!</definedName>
    <definedName name="Ф100" localSheetId="8">#REF!</definedName>
    <definedName name="Ф2" localSheetId="8">#REF!</definedName>
    <definedName name="Ф5" localSheetId="8">#REF!</definedName>
    <definedName name="Ф51" localSheetId="8">#REF!</definedName>
    <definedName name="Ф6" localSheetId="8">#REF!</definedName>
    <definedName name="Ф7" localSheetId="8">#REF!</definedName>
    <definedName name="Ф8" localSheetId="8">#REF!</definedName>
    <definedName name="Ф9" localSheetId="8">#REF!</definedName>
    <definedName name="Ф90" localSheetId="8">#REF!</definedName>
    <definedName name="фед" localSheetId="8">#REF!</definedName>
    <definedName name="фо_а_н_пц" localSheetId="8">#REF!</definedName>
    <definedName name="фо_а_с_пц" localSheetId="8">#REF!</definedName>
    <definedName name="фо_н_03" localSheetId="8">#REF!</definedName>
    <definedName name="фо_н_04" localSheetId="8">#REF!</definedName>
    <definedName name="ФОТ_АУП" localSheetId="8">#REF!</definedName>
    <definedName name="ФОТ_ПЭЭ" localSheetId="8">#REF!</definedName>
    <definedName name="ФОТ_ТП" localSheetId="8">#REF!</definedName>
    <definedName name="цена___0" localSheetId="8">#REF!</definedName>
    <definedName name="цена___10___0___0" localSheetId="8">#REF!</definedName>
    <definedName name="цена___11" localSheetId="8">#REF!</definedName>
    <definedName name="цена___11___10" localSheetId="8">#REF!</definedName>
    <definedName name="цена___2" localSheetId="8">#REF!</definedName>
    <definedName name="цена___3___10" localSheetId="8">#REF!</definedName>
    <definedName name="цена___4___0___0" localSheetId="8">#REF!</definedName>
    <definedName name="цена___5___0" localSheetId="8">#REF!</definedName>
    <definedName name="цена___6___0" localSheetId="8">#REF!</definedName>
    <definedName name="ЦенаОбслед" localSheetId="8">#REF!</definedName>
    <definedName name="Численность_АУПИА" localSheetId="8">#REF!</definedName>
    <definedName name="Численность_АУПФ" localSheetId="8">#REF!</definedName>
    <definedName name="Численность_ПЭЭ" localSheetId="8">#REF!</definedName>
    <definedName name="Численность_ТП" localSheetId="8">#REF!</definedName>
    <definedName name="ЭКСПО" localSheetId="8">#REF!</definedName>
    <definedName name="ЭКСПОФОРУМ" localSheetId="8">#REF!</definedName>
    <definedName name="экт" localSheetId="8">#REF!</definedName>
    <definedName name="ЭлеСи" localSheetId="8">#REF!</definedName>
    <definedName name="я" localSheetId="8">#REF!</definedName>
    <definedName name="_xlnm.Print_Area" localSheetId="8">'ФОТр.тек.'!$A$1:$F$53</definedName>
  </definedNames>
  <calcPr calcId="191029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_-* #,##0.00_-;\-* #,##0.00_-;_-* &quot;-&quot;??_-;_-@_-"/>
    <numFmt numFmtId="166" formatCode="#,##0.0000"/>
    <numFmt numFmtId="167" formatCode="0.0000"/>
    <numFmt numFmtId="168" formatCode="0.000"/>
    <numFmt numFmtId="169" formatCode="_-* #,##0.0\ _₽_-;\-* #,##0.0\ _₽_-;_-* &quot;-&quot;??\ _₽_-;_-@_-"/>
    <numFmt numFmtId="170" formatCode="#,##0.0"/>
    <numFmt numFmtId="171" formatCode="#,##0.000"/>
  </numFmts>
  <fonts count="31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Calibri"/>
      <b val="1"/>
      <color rgb="FF000000"/>
      <sz val="12"/>
    </font>
    <font>
      <name val="Arial"/>
      <color rgb="FF000000"/>
      <sz val="10"/>
      <u val="single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textRotation="90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4" fontId="14" fillId="2" borderId="1" applyAlignment="1" pivotButton="0" quotePrefix="0" xfId="0">
      <alignment horizontal="center" vertical="center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165" fontId="6" fillId="0" borderId="0" applyAlignment="1" pivotButton="0" quotePrefix="0" xfId="0">
      <alignment vertical="center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8" fillId="0" borderId="0" applyAlignment="1" pivotButton="0" quotePrefix="0" xfId="0">
      <alignment horizontal="right"/>
    </xf>
    <xf numFmtId="0" fontId="1" fillId="0" borderId="5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5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0" fontId="16" fillId="0" borderId="1" applyAlignment="1" pivotButton="0" quotePrefix="0" xfId="0">
      <alignment horizontal="justify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10" fontId="16" fillId="0" borderId="1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1" fillId="0" borderId="5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6" fontId="1" fillId="0" borderId="1" applyAlignment="1" pivotButton="0" quotePrefix="0" xfId="0">
      <alignment horizontal="center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167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9" fontId="1" fillId="0" borderId="1" applyAlignment="1" pivotButton="0" quotePrefix="0" xfId="0">
      <alignment horizontal="center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applyAlignment="1" pivotButton="0" quotePrefix="0" xfId="0">
      <alignment vertical="center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165" fontId="0" fillId="0" borderId="0" pivotButton="0" quotePrefix="0" xfId="0"/>
    <xf numFmtId="0" fontId="1" fillId="0" borderId="0" applyAlignment="1" pivotButton="0" quotePrefix="0" xfId="0">
      <alignment horizontal="justify" vertical="center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49" fontId="1" fillId="0" borderId="1" applyAlignment="1" pivotButton="0" quotePrefix="0" xfId="0">
      <alignment horizontal="center" vertical="top" wrapText="1"/>
    </xf>
    <xf numFmtId="1" fontId="1" fillId="0" borderId="1" applyAlignment="1" pivotButton="0" quotePrefix="0" xfId="0">
      <alignment horizontal="center" vertical="top" wrapText="1"/>
    </xf>
    <xf numFmtId="10" fontId="16" fillId="0" borderId="0" pivotButton="0" quotePrefix="0" xfId="0"/>
    <xf numFmtId="165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right" vertical="top" wrapText="1"/>
    </xf>
    <xf numFmtId="165" fontId="1" fillId="0" borderId="1" applyAlignment="1" pivotButton="0" quotePrefix="0" xfId="0">
      <alignment horizontal="right" vertical="top" wrapText="1"/>
    </xf>
    <xf numFmtId="168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169" fontId="16" fillId="0" borderId="0" pivotButton="0" quotePrefix="0" xfId="0"/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167" fontId="1" fillId="0" borderId="4" applyAlignment="1" pivotButton="0" quotePrefix="0" xfId="0">
      <alignment horizontal="center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0" fontId="1" fillId="4" borderId="1" applyAlignment="1" pivotButton="0" quotePrefix="0" xfId="0">
      <alignment horizontal="left" vertical="center" wrapText="1"/>
    </xf>
    <xf numFmtId="0" fontId="1" fillId="4" borderId="1" applyAlignment="1" pivotButton="0" quotePrefix="0" xfId="0">
      <alignment horizontal="center" vertical="center" wrapText="1"/>
    </xf>
    <xf numFmtId="167" fontId="1" fillId="4" borderId="1" applyAlignment="1" pivotButton="0" quotePrefix="0" xfId="0">
      <alignment horizontal="center" vertical="center" wrapText="1"/>
    </xf>
    <xf numFmtId="2" fontId="1" fillId="4" borderId="1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 wrapText="1"/>
    </xf>
    <xf numFmtId="10" fontId="1" fillId="4" borderId="1" applyAlignment="1" pivotButton="0" quotePrefix="0" xfId="0">
      <alignment horizontal="right" vertical="center" wrapText="1"/>
    </xf>
    <xf numFmtId="4" fontId="1" fillId="4" borderId="2" applyAlignment="1" pivotButton="0" quotePrefix="0" xfId="0">
      <alignment horizontal="right" vertical="center" wrapText="1"/>
    </xf>
    <xf numFmtId="4" fontId="1" fillId="4" borderId="1" applyAlignment="1" pivotButton="0" quotePrefix="0" xfId="0">
      <alignment horizontal="right" vertical="center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7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0" fillId="0" borderId="2" pivotButton="0" quotePrefix="0" xfId="0"/>
    <xf numFmtId="171" fontId="16" fillId="0" borderId="5" applyAlignment="1" pivotButton="0" quotePrefix="0" xfId="0">
      <alignment horizontal="center" vertical="center"/>
    </xf>
    <xf numFmtId="0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horizontal="center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1" applyAlignment="1" pivotButton="0" quotePrefix="1" xfId="0">
      <alignment horizontal="center" vertical="center"/>
    </xf>
    <xf numFmtId="171" fontId="16" fillId="0" borderId="1" applyAlignment="1" pivotButton="0" quotePrefix="0" xfId="0">
      <alignment horizontal="right" vertical="center"/>
    </xf>
    <xf numFmtId="171" fontId="16" fillId="0" borderId="1" applyAlignment="1" pivotButton="0" quotePrefix="0" xfId="0">
      <alignment vertical="center" wrapText="1"/>
    </xf>
    <xf numFmtId="171" fontId="16" fillId="0" borderId="1" applyAlignment="1" pivotButton="0" quotePrefix="0" xfId="0">
      <alignment horizontal="right" vertical="center" wrapText="1"/>
    </xf>
    <xf numFmtId="171" fontId="25" fillId="0" borderId="1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6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7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16" fillId="0" borderId="8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4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7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7" pivotButton="0" quotePrefix="0" xfId="0"/>
    <xf numFmtId="0" fontId="0" fillId="0" borderId="9" pivotButton="0" quotePrefix="0" xfId="0"/>
    <xf numFmtId="0" fontId="0" fillId="0" borderId="4" pivotButton="0" quotePrefix="0" xfId="0"/>
    <xf numFmtId="0" fontId="0" fillId="0" borderId="11" pivotButton="0" quotePrefix="0" xfId="0"/>
    <xf numFmtId="0" fontId="0" fillId="0" borderId="12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view="pageBreakPreview" topLeftCell="A18" zoomScale="70" zoomScaleNormal="55" zoomScaleSheetLayoutView="70" workbookViewId="0">
      <selection activeCell="D29" sqref="D29"/>
    </sheetView>
  </sheetViews>
  <sheetFormatPr baseColWidth="8" defaultColWidth="9.140625" defaultRowHeight="15.75"/>
  <cols>
    <col width="9.140625" customWidth="1" style="230" min="1" max="2"/>
    <col width="51.7109375" customWidth="1" style="230" min="3" max="3"/>
    <col width="47" customWidth="1" style="230" min="4" max="4"/>
    <col width="37.42578125" customWidth="1" style="230" min="5" max="5"/>
    <col width="9.140625" customWidth="1" style="230" min="6" max="6"/>
  </cols>
  <sheetData>
    <row r="3">
      <c r="B3" s="245" t="inlineStr">
        <is>
          <t>Приложение № 1</t>
        </is>
      </c>
    </row>
    <row r="4">
      <c r="B4" s="246" t="inlineStr">
        <is>
          <t>Сравнительная таблица отбора объекта-представителя</t>
        </is>
      </c>
    </row>
    <row r="5" ht="84.2" customHeight="1" s="204">
      <c r="B5" s="248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04">
      <c r="B6" s="166" t="n"/>
      <c r="C6" s="166" t="n"/>
      <c r="D6" s="166" t="n"/>
    </row>
    <row r="7" ht="64.5" customHeight="1" s="204">
      <c r="B7" s="247" t="inlineStr">
        <is>
          <t>Наименование разрабатываемого показателя УНЦ - РЗА Ячейка Т110-220 кВ 63 МВА и более</t>
        </is>
      </c>
    </row>
    <row r="8" ht="31.7" customHeight="1" s="204">
      <c r="B8" s="247" t="inlineStr">
        <is>
          <t>Сопоставимый уровень цен: 2 квартал 2016 г</t>
        </is>
      </c>
    </row>
    <row r="9" ht="15.75" customHeight="1" s="204">
      <c r="B9" s="247" t="inlineStr">
        <is>
          <t>Единица измерения  — 1 комплект</t>
        </is>
      </c>
    </row>
    <row r="10">
      <c r="B10" s="247" t="n"/>
    </row>
    <row r="11">
      <c r="B11" s="250" t="inlineStr">
        <is>
          <t>№ п/п</t>
        </is>
      </c>
      <c r="C11" s="250" t="inlineStr">
        <is>
          <t>Параметр</t>
        </is>
      </c>
      <c r="D11" s="250" t="inlineStr">
        <is>
          <t xml:space="preserve">Объект-представитель </t>
        </is>
      </c>
      <c r="E11" s="147" t="n"/>
    </row>
    <row r="12" ht="96.75" customHeight="1" s="204">
      <c r="B12" s="250" t="n">
        <v>1</v>
      </c>
      <c r="C12" s="218" t="inlineStr">
        <is>
          <t>Наименование объекта-представителя</t>
        </is>
      </c>
      <c r="D12" s="250" t="inlineStr">
        <is>
          <t>ПС 500 кВ Усть-Кут (МЭС Сибири)</t>
        </is>
      </c>
    </row>
    <row r="13">
      <c r="B13" s="250" t="n">
        <v>2</v>
      </c>
      <c r="C13" s="218" t="inlineStr">
        <is>
          <t>Наименование субъекта Российской Федерации</t>
        </is>
      </c>
      <c r="D13" s="250" t="inlineStr">
        <is>
          <t>Иркутская Область</t>
        </is>
      </c>
    </row>
    <row r="14">
      <c r="B14" s="250" t="n">
        <v>3</v>
      </c>
      <c r="C14" s="218" t="inlineStr">
        <is>
          <t>Климатический район и подрайон</t>
        </is>
      </c>
      <c r="D14" s="250" t="inlineStr">
        <is>
          <t>IД</t>
        </is>
      </c>
    </row>
    <row r="15">
      <c r="B15" s="250" t="n">
        <v>4</v>
      </c>
      <c r="C15" s="218" t="inlineStr">
        <is>
          <t>Мощность объекта</t>
        </is>
      </c>
      <c r="D15" s="250" t="n">
        <v>1</v>
      </c>
    </row>
    <row r="16" ht="116.45" customHeight="1" s="204">
      <c r="B16" s="250" t="n">
        <v>5</v>
      </c>
      <c r="C16" s="11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50" t="inlineStr">
        <is>
          <t xml:space="preserve">Комплект защит трансформатора
Комплект резервных защит трансформатора
Шкаф автоматики регулирования напряжения трансформатора
</t>
        </is>
      </c>
    </row>
    <row r="17" ht="79.5" customHeight="1" s="204">
      <c r="B17" s="250" t="n">
        <v>6</v>
      </c>
      <c r="C17" s="11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79">
        <f>'Прил.2 Расч стоим'!J13</f>
        <v/>
      </c>
      <c r="E17" s="165" t="n"/>
    </row>
    <row r="18">
      <c r="B18" s="146" t="inlineStr">
        <is>
          <t>6.1</t>
        </is>
      </c>
      <c r="C18" s="218" t="inlineStr">
        <is>
          <t>строительно-монтажные работы</t>
        </is>
      </c>
      <c r="D18" s="179">
        <f>'Прил.2 Расч стоим'!G13</f>
        <v/>
      </c>
    </row>
    <row r="19" ht="15.75" customHeight="1" s="204">
      <c r="B19" s="146" t="inlineStr">
        <is>
          <t>6.2</t>
        </is>
      </c>
      <c r="C19" s="218" t="inlineStr">
        <is>
          <t>оборудование и инвентарь</t>
        </is>
      </c>
      <c r="D19" s="179">
        <f>'Прил.2 Расч стоим'!H13</f>
        <v/>
      </c>
    </row>
    <row r="20" ht="16.5" customHeight="1" s="204">
      <c r="B20" s="146" t="inlineStr">
        <is>
          <t>6.3</t>
        </is>
      </c>
      <c r="C20" s="218" t="inlineStr">
        <is>
          <t>пусконаладочные работы</t>
        </is>
      </c>
      <c r="D20" s="179" t="n"/>
    </row>
    <row r="21" ht="35.45" customHeight="1" s="204">
      <c r="B21" s="146" t="inlineStr">
        <is>
          <t>6.4</t>
        </is>
      </c>
      <c r="C21" s="145" t="inlineStr">
        <is>
          <t>прочие и лимитированные затраты</t>
        </is>
      </c>
      <c r="D21" s="179">
        <f>'Прил.2 Расч стоим'!I13</f>
        <v/>
      </c>
    </row>
    <row r="22">
      <c r="B22" s="250" t="n">
        <v>7</v>
      </c>
      <c r="C22" s="145" t="inlineStr">
        <is>
          <t>Сопоставимый уровень цен</t>
        </is>
      </c>
      <c r="D22" s="180" t="inlineStr">
        <is>
          <t>2 квартал 2016 г</t>
        </is>
      </c>
      <c r="E22" s="143" t="n"/>
    </row>
    <row r="23" ht="123" customHeight="1" s="204">
      <c r="B23" s="250" t="n">
        <v>8</v>
      </c>
      <c r="C23" s="14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79">
        <f>D17</f>
        <v/>
      </c>
      <c r="E23" s="165" t="n"/>
    </row>
    <row r="24" ht="60.75" customHeight="1" s="204">
      <c r="B24" s="250" t="n">
        <v>9</v>
      </c>
      <c r="C24" s="111" t="inlineStr">
        <is>
          <t>Приведенная сметная стоимость на единицу мощности, тыс. руб. (строка 8/строку 4)</t>
        </is>
      </c>
      <c r="D24" s="179">
        <f>D23/D15</f>
        <v/>
      </c>
      <c r="E24" s="143" t="n"/>
    </row>
    <row r="25" ht="48.2" customHeight="1" s="204">
      <c r="B25" s="250" t="n">
        <v>10</v>
      </c>
      <c r="C25" s="218" t="inlineStr">
        <is>
          <t>Примечание</t>
        </is>
      </c>
      <c r="D25" s="250" t="n"/>
    </row>
    <row r="26">
      <c r="B26" s="142" t="n"/>
      <c r="C26" s="141" t="n"/>
      <c r="D26" s="141" t="n"/>
    </row>
    <row r="27" ht="37.5" customHeight="1" s="204">
      <c r="B27" s="140" t="n"/>
    </row>
    <row r="28">
      <c r="B28" s="230" t="inlineStr">
        <is>
          <t>Составил ______________________    Е.Р. Брызгалова</t>
        </is>
      </c>
    </row>
    <row r="29">
      <c r="B29" s="140" t="inlineStr">
        <is>
          <t xml:space="preserve">                         (подпись, инициалы, фамилия)</t>
        </is>
      </c>
    </row>
    <row r="31">
      <c r="B31" s="230" t="inlineStr">
        <is>
          <t>Проверил ______________________        А.В. Костянецкая</t>
        </is>
      </c>
    </row>
    <row r="32">
      <c r="B32" s="140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68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A3:L22"/>
  <sheetViews>
    <sheetView view="pageBreakPreview" zoomScale="70" zoomScaleNormal="70" workbookViewId="0">
      <selection activeCell="H19" sqref="H19"/>
    </sheetView>
  </sheetViews>
  <sheetFormatPr baseColWidth="8" defaultColWidth="9.140625" defaultRowHeight="15.75"/>
  <cols>
    <col width="5.5703125" customWidth="1" style="230" min="1" max="1"/>
    <col width="9.140625" customWidth="1" style="230" min="2" max="2"/>
    <col width="35.28515625" customWidth="1" style="230" min="3" max="3"/>
    <col width="13.85546875" customWidth="1" style="230" min="4" max="4"/>
    <col width="24.85546875" customWidth="1" style="230" min="5" max="5"/>
    <col width="15.5703125" customWidth="1" style="230" min="6" max="6"/>
    <col width="14.85546875" customWidth="1" style="230" min="7" max="7"/>
    <col width="16.7109375" customWidth="1" style="230" min="8" max="8"/>
    <col width="13" customWidth="1" style="230" min="9" max="10"/>
    <col width="18" customWidth="1" style="230" min="11" max="11"/>
    <col width="9.140625" customWidth="1" style="230" min="12" max="12"/>
  </cols>
  <sheetData>
    <row r="3">
      <c r="B3" s="245" t="inlineStr">
        <is>
          <t>Приложение № 2</t>
        </is>
      </c>
      <c r="K3" s="140" t="n"/>
    </row>
    <row r="4">
      <c r="B4" s="246" t="inlineStr">
        <is>
          <t>Расчет стоимости основных видов работ для выбора объекта-представителя</t>
        </is>
      </c>
    </row>
    <row r="5">
      <c r="B5" s="148" t="n"/>
      <c r="C5" s="148" t="n"/>
      <c r="D5" s="148" t="n"/>
      <c r="E5" s="148" t="n"/>
      <c r="F5" s="148" t="n"/>
      <c r="G5" s="148" t="n"/>
      <c r="H5" s="148" t="n"/>
      <c r="I5" s="148" t="n"/>
      <c r="J5" s="148" t="n"/>
      <c r="K5" s="148" t="n"/>
    </row>
    <row r="6" ht="29.25" customHeight="1" s="204">
      <c r="B6" s="247">
        <f>'Прил.1 Сравнит табл'!B7:D7</f>
        <v/>
      </c>
    </row>
    <row r="7">
      <c r="B7" s="247">
        <f>'Прил.1 Сравнит табл'!B9:D9</f>
        <v/>
      </c>
    </row>
    <row r="8" ht="18.75" customHeight="1" s="204">
      <c r="B8" s="116" t="n"/>
    </row>
    <row r="9" ht="15.75" customHeight="1" s="204">
      <c r="A9" s="230" t="n"/>
      <c r="B9" s="250" t="inlineStr">
        <is>
          <t>№ п/п</t>
        </is>
      </c>
      <c r="C9" s="250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50" t="inlineStr">
        <is>
          <t xml:space="preserve">Объект-представитель </t>
        </is>
      </c>
      <c r="E9" s="331" t="n"/>
      <c r="F9" s="331" t="n"/>
      <c r="G9" s="331" t="n"/>
      <c r="H9" s="331" t="n"/>
      <c r="I9" s="331" t="n"/>
      <c r="J9" s="332" t="n"/>
      <c r="K9" s="230" t="n"/>
      <c r="L9" s="230" t="n"/>
    </row>
    <row r="10" ht="15.75" customHeight="1" s="204">
      <c r="A10" s="230" t="n"/>
      <c r="B10" s="333" t="n"/>
      <c r="C10" s="333" t="n"/>
      <c r="D10" s="250" t="inlineStr">
        <is>
          <t>Номер сметы</t>
        </is>
      </c>
      <c r="E10" s="250" t="inlineStr">
        <is>
          <t>Наименование сметы</t>
        </is>
      </c>
      <c r="F10" s="250" t="inlineStr">
        <is>
          <t>Сметная стоимость в уровне цен 2 кв. 2016 г., тыс. руб.</t>
        </is>
      </c>
      <c r="G10" s="331" t="n"/>
      <c r="H10" s="331" t="n"/>
      <c r="I10" s="331" t="n"/>
      <c r="J10" s="332" t="n"/>
      <c r="K10" s="230" t="n"/>
      <c r="L10" s="230" t="n"/>
    </row>
    <row r="11" ht="31.5" customHeight="1" s="204">
      <c r="A11" s="230" t="n"/>
      <c r="B11" s="334" t="n"/>
      <c r="C11" s="334" t="n"/>
      <c r="D11" s="334" t="n"/>
      <c r="E11" s="334" t="n"/>
      <c r="F11" s="250" t="inlineStr">
        <is>
          <t>Строительные работы</t>
        </is>
      </c>
      <c r="G11" s="250" t="inlineStr">
        <is>
          <t>Монтажные работы</t>
        </is>
      </c>
      <c r="H11" s="250" t="inlineStr">
        <is>
          <t>Оборудование</t>
        </is>
      </c>
      <c r="I11" s="250" t="inlineStr">
        <is>
          <t>Прочее</t>
        </is>
      </c>
      <c r="J11" s="250" t="inlineStr">
        <is>
          <t>Всего</t>
        </is>
      </c>
      <c r="K11" s="230" t="n"/>
      <c r="L11" s="230" t="n"/>
    </row>
    <row r="12" ht="175.5" customHeight="1" s="204">
      <c r="B12" s="232" t="n">
        <v>1</v>
      </c>
      <c r="C12" s="218" t="inlineStr">
        <is>
          <t>Комплект защит трансформатора
Комплект резервных защит трансформатора
Шкаф автоматики регулирования напряжения трансформатора</t>
        </is>
      </c>
      <c r="D12" s="233" t="inlineStr">
        <is>
          <t>7.02-05-01</t>
        </is>
      </c>
      <c r="E12" s="218" t="inlineStr">
        <is>
          <t xml:space="preserve">VII этап. Релейная защита ШР 500 кВ </t>
        </is>
      </c>
      <c r="F12" s="234" t="n"/>
      <c r="G12" s="234">
        <f>2.79*7.54</f>
        <v/>
      </c>
      <c r="H12" s="234">
        <f>1709.43*4.28</f>
        <v/>
      </c>
      <c r="I12" s="235">
        <f>(F12+G12)*3.9%+((F12+G12)*3.9%+F12+G12)*4.3%</f>
        <v/>
      </c>
      <c r="J12" s="236">
        <f>SUM(F12:I12)</f>
        <v/>
      </c>
    </row>
    <row r="13" ht="15.75" customHeight="1" s="204">
      <c r="A13" s="230" t="n"/>
      <c r="B13" s="249" t="inlineStr">
        <is>
          <t>Всего по объекту:</t>
        </is>
      </c>
      <c r="C13" s="331" t="n"/>
      <c r="D13" s="331" t="n"/>
      <c r="E13" s="332" t="n"/>
      <c r="F13" s="237">
        <f>F12</f>
        <v/>
      </c>
      <c r="G13" s="237">
        <f>G12</f>
        <v/>
      </c>
      <c r="H13" s="237">
        <f>H12</f>
        <v/>
      </c>
      <c r="I13" s="237">
        <f>I12</f>
        <v/>
      </c>
      <c r="J13" s="237">
        <f>J12</f>
        <v/>
      </c>
      <c r="K13" s="230" t="n"/>
      <c r="L13" s="230" t="n"/>
    </row>
    <row r="14">
      <c r="A14" s="230" t="n"/>
      <c r="B14" s="249" t="inlineStr">
        <is>
          <t>Всего по объекту в сопоставимом уровне цен 2 кв. 2016 г:</t>
        </is>
      </c>
      <c r="C14" s="331" t="n"/>
      <c r="D14" s="331" t="n"/>
      <c r="E14" s="332" t="n"/>
      <c r="F14" s="237">
        <f>F13</f>
        <v/>
      </c>
      <c r="G14" s="237">
        <f>G13</f>
        <v/>
      </c>
      <c r="H14" s="237">
        <f>H13</f>
        <v/>
      </c>
      <c r="I14" s="237">
        <f>I13</f>
        <v/>
      </c>
      <c r="J14" s="237">
        <f>J13</f>
        <v/>
      </c>
      <c r="K14" s="230" t="n"/>
      <c r="L14" s="230" t="n"/>
    </row>
    <row r="15" ht="15" customHeight="1" s="204"/>
    <row r="16" ht="15" customHeight="1" s="204"/>
    <row r="17" ht="15" customHeight="1" s="204"/>
    <row r="18" ht="15" customHeight="1" s="204">
      <c r="C18" s="192" t="inlineStr">
        <is>
          <t>Составил ______________________     Е.Р. Брызгалова</t>
        </is>
      </c>
      <c r="D18" s="202" t="n"/>
      <c r="E18" s="202" t="n"/>
    </row>
    <row r="19" ht="15" customHeight="1" s="204">
      <c r="C19" s="203" t="inlineStr">
        <is>
          <t xml:space="preserve">                         (подпись, инициалы, фамилия)</t>
        </is>
      </c>
      <c r="D19" s="202" t="n"/>
      <c r="E19" s="202" t="n"/>
    </row>
    <row r="20" ht="15" customHeight="1" s="204">
      <c r="C20" s="192" t="n"/>
      <c r="D20" s="202" t="n"/>
      <c r="E20" s="202" t="n"/>
    </row>
    <row r="21" ht="15" customHeight="1" s="204">
      <c r="C21" s="192" t="inlineStr">
        <is>
          <t>Проверил ______________________        А.В. Костянецкая</t>
        </is>
      </c>
      <c r="D21" s="202" t="n"/>
      <c r="E21" s="202" t="n"/>
    </row>
    <row r="22" ht="15" customHeight="1" s="204">
      <c r="C22" s="203" t="inlineStr">
        <is>
          <t xml:space="preserve">                        (подпись, инициалы, фамилия)</t>
        </is>
      </c>
      <c r="D22" s="202" t="n"/>
      <c r="E22" s="202" t="n"/>
    </row>
    <row r="23" ht="15" customHeight="1" s="204"/>
    <row r="24" ht="15" customHeight="1" s="204"/>
    <row r="25" ht="15" customHeight="1" s="204"/>
    <row r="26" ht="15" customHeight="1" s="204"/>
    <row r="27" ht="15" customHeight="1" s="204"/>
    <row r="28" ht="15" customHeight="1" s="204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M78"/>
  <sheetViews>
    <sheetView view="pageBreakPreview" zoomScale="70" zoomScaleSheetLayoutView="70" workbookViewId="0">
      <selection activeCell="D73" sqref="D73"/>
    </sheetView>
  </sheetViews>
  <sheetFormatPr baseColWidth="8" defaultColWidth="9.140625" defaultRowHeight="15.75"/>
  <cols>
    <col width="9.140625" customWidth="1" style="230" min="1" max="1"/>
    <col width="12.5703125" customWidth="1" style="230" min="2" max="2"/>
    <col width="22.42578125" customWidth="1" style="230" min="3" max="3"/>
    <col width="49.7109375" customWidth="1" style="230" min="4" max="4"/>
    <col width="10.140625" customWidth="1" style="230" min="5" max="5"/>
    <col width="20.7109375" customWidth="1" style="230" min="6" max="6"/>
    <col width="20" customWidth="1" style="230" min="7" max="7"/>
    <col width="16.7109375" customWidth="1" style="230" min="8" max="8"/>
    <col width="9.140625" customWidth="1" style="230" min="9" max="10"/>
    <col width="15" customWidth="1" style="230" min="11" max="11"/>
    <col width="9.140625" customWidth="1" style="230" min="12" max="12"/>
  </cols>
  <sheetData>
    <row r="2" s="204">
      <c r="A2" s="230" t="n"/>
      <c r="B2" s="230" t="n"/>
      <c r="C2" s="230" t="n"/>
      <c r="D2" s="230" t="n"/>
      <c r="E2" s="230" t="n"/>
      <c r="F2" s="230" t="n"/>
      <c r="G2" s="230" t="n"/>
      <c r="H2" s="230" t="n"/>
      <c r="I2" s="230" t="n"/>
      <c r="J2" s="230" t="n"/>
      <c r="K2" s="230" t="n"/>
      <c r="L2" s="230" t="n"/>
    </row>
    <row r="3">
      <c r="A3" s="245" t="inlineStr">
        <is>
          <t xml:space="preserve">Приложение № 3 </t>
        </is>
      </c>
    </row>
    <row r="4">
      <c r="A4" s="246" t="inlineStr">
        <is>
          <t>Объектная ресурсная ведомость</t>
        </is>
      </c>
    </row>
    <row r="5" ht="18.75" customHeight="1" s="204">
      <c r="A5" s="177" t="n"/>
      <c r="B5" s="177" t="n"/>
      <c r="C5" s="252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6">
      <c r="A6" s="247" t="n"/>
    </row>
    <row r="7">
      <c r="A7" s="251" t="inlineStr">
        <is>
          <t>Наименование разрабатываемого показателя УНЦ -  РЗА Ячейка Т110-220 кВ 63 МВА и более</t>
        </is>
      </c>
    </row>
    <row r="8">
      <c r="A8" s="251" t="n"/>
      <c r="B8" s="251" t="n"/>
      <c r="C8" s="251" t="n"/>
      <c r="D8" s="251" t="n"/>
      <c r="E8" s="251" t="n"/>
      <c r="F8" s="251" t="n"/>
      <c r="G8" s="251" t="n"/>
      <c r="H8" s="251" t="n"/>
    </row>
    <row r="9" ht="38.25" customHeight="1" s="204">
      <c r="A9" s="250" t="inlineStr">
        <is>
          <t>п/п</t>
        </is>
      </c>
      <c r="B9" s="250" t="inlineStr">
        <is>
          <t>№ЛСР</t>
        </is>
      </c>
      <c r="C9" s="250" t="inlineStr">
        <is>
          <t>Код ресурса</t>
        </is>
      </c>
      <c r="D9" s="250" t="inlineStr">
        <is>
          <t>Наименование ресурса</t>
        </is>
      </c>
      <c r="E9" s="250" t="inlineStr">
        <is>
          <t>Ед. изм.</t>
        </is>
      </c>
      <c r="F9" s="250" t="inlineStr">
        <is>
          <t>Кол-во единиц по данным объекта-представителя</t>
        </is>
      </c>
      <c r="G9" s="250" t="inlineStr">
        <is>
          <t>Сметная стоимость в ценах на 01.01.2000 (руб.)</t>
        </is>
      </c>
      <c r="H9" s="332" t="n"/>
    </row>
    <row r="10" ht="40.7" customHeight="1" s="204">
      <c r="A10" s="334" t="n"/>
      <c r="B10" s="334" t="n"/>
      <c r="C10" s="334" t="n"/>
      <c r="D10" s="334" t="n"/>
      <c r="E10" s="334" t="n"/>
      <c r="F10" s="334" t="n"/>
      <c r="G10" s="250" t="inlineStr">
        <is>
          <t>на ед.изм.</t>
        </is>
      </c>
      <c r="H10" s="250" t="inlineStr">
        <is>
          <t>общая</t>
        </is>
      </c>
    </row>
    <row r="11">
      <c r="A11" s="223" t="n">
        <v>1</v>
      </c>
      <c r="B11" s="223" t="n"/>
      <c r="C11" s="223" t="n">
        <v>2</v>
      </c>
      <c r="D11" s="223" t="inlineStr">
        <is>
          <t>З</t>
        </is>
      </c>
      <c r="E11" s="223" t="n">
        <v>4</v>
      </c>
      <c r="F11" s="223" t="n">
        <v>5</v>
      </c>
      <c r="G11" s="223" t="n">
        <v>6</v>
      </c>
      <c r="H11" s="223" t="n">
        <v>7</v>
      </c>
    </row>
    <row r="12" customFormat="1" s="151">
      <c r="A12" s="253" t="inlineStr">
        <is>
          <t>Затраты труда рабочих</t>
        </is>
      </c>
      <c r="B12" s="331" t="n"/>
      <c r="C12" s="331" t="n"/>
      <c r="D12" s="331" t="n"/>
      <c r="E12" s="332" t="n"/>
      <c r="F12" s="173">
        <f>SUM(F13:F16)</f>
        <v/>
      </c>
      <c r="G12" s="10" t="n"/>
      <c r="H12" s="173">
        <f>SUM(H13:H16)</f>
        <v/>
      </c>
    </row>
    <row r="13">
      <c r="A13" s="283" t="n">
        <v>1</v>
      </c>
      <c r="B13" s="154" t="n"/>
      <c r="C13" s="170" t="inlineStr">
        <is>
          <t>1-3-8</t>
        </is>
      </c>
      <c r="D13" s="169" t="inlineStr">
        <is>
          <t>Затраты труда рабочих (средний разряд работы 3,8)</t>
        </is>
      </c>
      <c r="E13" s="283" t="inlineStr">
        <is>
          <t>чел.-ч</t>
        </is>
      </c>
      <c r="F13" s="176" t="n">
        <v>37.94</v>
      </c>
      <c r="G13" s="167" t="n">
        <v>9.4</v>
      </c>
      <c r="H13" s="167">
        <f>ROUND(F13*G13,2)</f>
        <v/>
      </c>
      <c r="M13" s="178" t="n"/>
    </row>
    <row r="14">
      <c r="A14" s="283" t="n">
        <v>2</v>
      </c>
      <c r="B14" s="154" t="n"/>
      <c r="C14" s="170" t="inlineStr">
        <is>
          <t>1-4-2</t>
        </is>
      </c>
      <c r="D14" s="169" t="inlineStr">
        <is>
          <t>Затраты труда рабочих (средний разряд работы 4,2)</t>
        </is>
      </c>
      <c r="E14" s="283" t="inlineStr">
        <is>
          <t>чел.-ч</t>
        </is>
      </c>
      <c r="F14" s="176" t="n">
        <v>22.75</v>
      </c>
      <c r="G14" s="167" t="n">
        <v>9.92</v>
      </c>
      <c r="H14" s="167">
        <f>ROUND(F14*G14,2)</f>
        <v/>
      </c>
    </row>
    <row r="15">
      <c r="A15" s="283" t="n">
        <v>3</v>
      </c>
      <c r="B15" s="154" t="n"/>
      <c r="C15" s="170" t="inlineStr">
        <is>
          <t>1-4-0</t>
        </is>
      </c>
      <c r="D15" s="169" t="inlineStr">
        <is>
          <t>Затраты труда рабочих (средний разряд работы 4,0)</t>
        </is>
      </c>
      <c r="E15" s="283" t="inlineStr">
        <is>
          <t>чел.-ч</t>
        </is>
      </c>
      <c r="F15" s="176" t="n">
        <v>18.65</v>
      </c>
      <c r="G15" s="167" t="n">
        <v>9.619999999999999</v>
      </c>
      <c r="H15" s="167">
        <f>ROUND(F15*G15,2)</f>
        <v/>
      </c>
    </row>
    <row r="16">
      <c r="A16" s="283" t="n">
        <v>4</v>
      </c>
      <c r="B16" s="154" t="n"/>
      <c r="C16" s="170" t="inlineStr">
        <is>
          <t>1-4-1</t>
        </is>
      </c>
      <c r="D16" s="169" t="inlineStr">
        <is>
          <t>Затраты труда рабочих (средний разряд работы 4,1)</t>
        </is>
      </c>
      <c r="E16" s="283" t="inlineStr">
        <is>
          <t>чел.-ч</t>
        </is>
      </c>
      <c r="F16" s="176" t="n">
        <v>0.09</v>
      </c>
      <c r="G16" s="167" t="n">
        <v>9.76</v>
      </c>
      <c r="H16" s="167">
        <f>ROUND(F16*G16,2)</f>
        <v/>
      </c>
    </row>
    <row r="17" ht="15.75" customHeight="1" s="204">
      <c r="A17" s="253" t="inlineStr">
        <is>
          <t>Затраты труда машинистов</t>
        </is>
      </c>
      <c r="B17" s="331" t="n"/>
      <c r="C17" s="331" t="n"/>
      <c r="D17" s="331" t="n"/>
      <c r="E17" s="332" t="n"/>
      <c r="F17" s="253" t="n"/>
      <c r="G17" s="152" t="n"/>
      <c r="H17" s="173">
        <f>H18</f>
        <v/>
      </c>
    </row>
    <row r="18">
      <c r="A18" s="283" t="n">
        <v>5</v>
      </c>
      <c r="B18" s="254" t="n"/>
      <c r="C18" s="170" t="n">
        <v>2</v>
      </c>
      <c r="D18" s="169" t="inlineStr">
        <is>
          <t>Затраты труда машинистов(справочно)</t>
        </is>
      </c>
      <c r="E18" s="283" t="inlineStr">
        <is>
          <t>чел.-ч</t>
        </is>
      </c>
      <c r="F18" s="176" t="n">
        <v>3.82</v>
      </c>
      <c r="G18" s="167" t="n"/>
      <c r="H18" s="175" t="n">
        <v>50.09</v>
      </c>
    </row>
    <row r="19" customFormat="1" s="151">
      <c r="A19" s="253" t="inlineStr">
        <is>
          <t>Машины и механизмы</t>
        </is>
      </c>
      <c r="B19" s="331" t="n"/>
      <c r="C19" s="331" t="n"/>
      <c r="D19" s="331" t="n"/>
      <c r="E19" s="332" t="n"/>
      <c r="F19" s="253" t="n"/>
      <c r="G19" s="152" t="n"/>
      <c r="H19" s="173">
        <f>SUM(H20:H27)</f>
        <v/>
      </c>
    </row>
    <row r="20" ht="25.5" customHeight="1" s="204">
      <c r="A20" s="283" t="n">
        <v>6</v>
      </c>
      <c r="B20" s="254" t="n"/>
      <c r="C20" s="170" t="inlineStr">
        <is>
          <t>91.05.04-010</t>
        </is>
      </c>
      <c r="D20" s="169" t="inlineStr">
        <is>
          <t>Краны мостовые электрические, грузоподъемность 50 т</t>
        </is>
      </c>
      <c r="E20" s="283" t="inlineStr">
        <is>
          <t>маш.час</t>
        </is>
      </c>
      <c r="F20" s="283" t="n">
        <v>1.15</v>
      </c>
      <c r="G20" s="174" t="n">
        <v>197.01</v>
      </c>
      <c r="H20" s="167">
        <f>ROUND(F20*G20,2)</f>
        <v/>
      </c>
      <c r="I20" s="172" t="n"/>
      <c r="J20" s="172" t="n"/>
      <c r="L20" s="172" t="n"/>
    </row>
    <row r="21" ht="25.5" customFormat="1" customHeight="1" s="151">
      <c r="A21" s="283" t="n">
        <v>7</v>
      </c>
      <c r="B21" s="254" t="n"/>
      <c r="C21" s="170" t="inlineStr">
        <is>
          <t>91.05.05-014</t>
        </is>
      </c>
      <c r="D21" s="169" t="inlineStr">
        <is>
          <t>Краны на автомобильном ходу, грузоподъемность 10 т</t>
        </is>
      </c>
      <c r="E21" s="283" t="inlineStr">
        <is>
          <t>маш.час</t>
        </is>
      </c>
      <c r="F21" s="283" t="n">
        <v>1.32</v>
      </c>
      <c r="G21" s="174" t="n">
        <v>111.99</v>
      </c>
      <c r="H21" s="167">
        <f>ROUND(F21*G21,2)</f>
        <v/>
      </c>
      <c r="I21" s="172" t="n"/>
      <c r="J21" s="172" t="n"/>
      <c r="L21" s="172" t="n"/>
    </row>
    <row r="22" ht="25.5" customHeight="1" s="204">
      <c r="A22" s="283" t="n">
        <v>8</v>
      </c>
      <c r="B22" s="254" t="n"/>
      <c r="C22" s="170" t="inlineStr">
        <is>
          <t>91.17.04-233</t>
        </is>
      </c>
      <c r="D22" s="169" t="inlineStr">
        <is>
          <t>Установки для сварки: ручной дуговой (постоянного тока)</t>
        </is>
      </c>
      <c r="E22" s="283" t="inlineStr">
        <is>
          <t>маш.час</t>
        </is>
      </c>
      <c r="F22" s="283" t="n">
        <v>17.44</v>
      </c>
      <c r="G22" s="174" t="n">
        <v>8.1</v>
      </c>
      <c r="H22" s="167">
        <f>ROUND(F22*G22,2)</f>
        <v/>
      </c>
      <c r="I22" s="172" t="n"/>
      <c r="J22" s="172" t="n"/>
      <c r="L22" s="172" t="n"/>
    </row>
    <row r="23">
      <c r="A23" s="283" t="n">
        <v>9</v>
      </c>
      <c r="B23" s="254" t="n"/>
      <c r="C23" s="170" t="inlineStr">
        <is>
          <t>91.14.02-001</t>
        </is>
      </c>
      <c r="D23" s="169" t="inlineStr">
        <is>
          <t>Автомобили бортовые, грузоподъемность: до 5 т</t>
        </is>
      </c>
      <c r="E23" s="283" t="inlineStr">
        <is>
          <t>маш.час</t>
        </is>
      </c>
      <c r="F23" s="283" t="n">
        <v>1.32</v>
      </c>
      <c r="G23" s="174" t="n">
        <v>65.70999999999999</v>
      </c>
      <c r="H23" s="167">
        <f>ROUND(F23*G23,2)</f>
        <v/>
      </c>
      <c r="I23" s="172" t="n"/>
      <c r="J23" s="172" t="n"/>
      <c r="L23" s="172" t="n"/>
    </row>
    <row r="24" ht="25.5" customHeight="1" s="204">
      <c r="A24" s="283" t="n">
        <v>10</v>
      </c>
      <c r="B24" s="254" t="n"/>
      <c r="C24" s="170" t="inlineStr">
        <is>
          <t>91.17.04-161</t>
        </is>
      </c>
      <c r="D24" s="169" t="inlineStr">
        <is>
          <t>Полуавтоматы сварочные номинальным сварочным током 40-500 А</t>
        </is>
      </c>
      <c r="E24" s="283" t="inlineStr">
        <is>
          <t>маш.час</t>
        </is>
      </c>
      <c r="F24" s="283" t="n">
        <v>0.36</v>
      </c>
      <c r="G24" s="174" t="n">
        <v>16.44</v>
      </c>
      <c r="H24" s="167">
        <f>ROUND(F24*G24,2)</f>
        <v/>
      </c>
      <c r="I24" s="172" t="n"/>
      <c r="J24" s="172" t="n"/>
      <c r="L24" s="172" t="n"/>
    </row>
    <row r="25">
      <c r="A25" s="283" t="n">
        <v>11</v>
      </c>
      <c r="B25" s="254" t="n"/>
      <c r="C25" s="170" t="inlineStr">
        <is>
          <t>91.06.06-042</t>
        </is>
      </c>
      <c r="D25" s="169" t="inlineStr">
        <is>
          <t>Подъемники гидравлические высотой подъема 10 м</t>
        </is>
      </c>
      <c r="E25" s="283" t="inlineStr">
        <is>
          <t>маш.час</t>
        </is>
      </c>
      <c r="F25" s="283" t="n">
        <v>0.04</v>
      </c>
      <c r="G25" s="174" t="n">
        <v>29.6</v>
      </c>
      <c r="H25" s="167">
        <f>ROUND(F25*G25,2)</f>
        <v/>
      </c>
      <c r="I25" s="172" t="n"/>
      <c r="J25" s="172" t="n"/>
      <c r="L25" s="172" t="n"/>
    </row>
    <row r="26" ht="25.5" customHeight="1" s="204">
      <c r="A26" s="283" t="n">
        <v>12</v>
      </c>
      <c r="B26" s="254" t="n"/>
      <c r="C26" s="170" t="inlineStr">
        <is>
          <t>91.06.03-061</t>
        </is>
      </c>
      <c r="D26" s="169" t="inlineStr">
        <is>
          <t>Лебедки электрические тяговым усилием: до 12,26 кН (1,25 т)</t>
        </is>
      </c>
      <c r="E26" s="283" t="inlineStr">
        <is>
          <t>маш.час</t>
        </is>
      </c>
      <c r="F26" s="283" t="n">
        <v>0.02</v>
      </c>
      <c r="G26" s="174" t="n">
        <v>3.28</v>
      </c>
      <c r="H26" s="167">
        <f>ROUND(F26*G26,2)</f>
        <v/>
      </c>
      <c r="I26" s="172" t="n"/>
      <c r="J26" s="172" t="n"/>
    </row>
    <row r="27" ht="25.5" customHeight="1" s="204">
      <c r="A27" s="283" t="n">
        <v>13</v>
      </c>
      <c r="B27" s="254" t="n"/>
      <c r="C27" s="170" t="inlineStr">
        <is>
          <t>91.06.01-003</t>
        </is>
      </c>
      <c r="D27" s="169" t="inlineStr">
        <is>
          <t>Домкраты гидравлические, грузоподъемность 63-100 т</t>
        </is>
      </c>
      <c r="E27" s="283" t="inlineStr">
        <is>
          <t>маш.час</t>
        </is>
      </c>
      <c r="F27" s="283" t="n">
        <v>0.02</v>
      </c>
      <c r="G27" s="174" t="n">
        <v>0.9</v>
      </c>
      <c r="H27" s="167">
        <f>ROUND(F27*G27,2)</f>
        <v/>
      </c>
      <c r="J27" s="172" t="n"/>
    </row>
    <row r="28" ht="15" customHeight="1" s="204">
      <c r="A28" s="253" t="inlineStr">
        <is>
          <t>Оборудование</t>
        </is>
      </c>
      <c r="B28" s="331" t="n"/>
      <c r="C28" s="331" t="n"/>
      <c r="D28" s="331" t="n"/>
      <c r="E28" s="332" t="n"/>
      <c r="F28" s="10" t="n"/>
      <c r="G28" s="10" t="n"/>
      <c r="H28" s="173">
        <f>SUM(H29:H31)</f>
        <v/>
      </c>
      <c r="J28" s="172" t="n"/>
    </row>
    <row r="29" ht="25.5" customHeight="1" s="204">
      <c r="A29" s="171" t="n">
        <v>14</v>
      </c>
      <c r="B29" s="263" t="n"/>
      <c r="C29" s="170" t="inlineStr">
        <is>
          <t>Прайс из СД ОП</t>
        </is>
      </c>
      <c r="D29" s="169" t="inlineStr">
        <is>
          <t>Комплект защит трансформатора 110-220 кВ и ошиновки 6-35 кВ типа ШЭТ 210.01-0</t>
        </is>
      </c>
      <c r="E29" s="283" t="inlineStr">
        <is>
          <t>шт</t>
        </is>
      </c>
      <c r="F29" s="283" t="n">
        <v>1</v>
      </c>
      <c r="G29" s="167" t="n">
        <v>587859.42</v>
      </c>
      <c r="H29" s="167">
        <f>ROUND(F29*G29,2)</f>
        <v/>
      </c>
      <c r="I29" s="164" t="n"/>
      <c r="J29" s="172" t="n"/>
    </row>
    <row r="30" ht="27" customHeight="1" s="204">
      <c r="A30" s="171" t="n">
        <v>15</v>
      </c>
      <c r="B30" s="263" t="n"/>
      <c r="C30" s="170" t="inlineStr">
        <is>
          <t>Прайс из СД ОП</t>
        </is>
      </c>
      <c r="D30" s="169" t="inlineStr">
        <is>
          <t>Комплект защит трансформатора 110-220 кВ типа ШЭТ 210.02-0</t>
        </is>
      </c>
      <c r="E30" s="283" t="inlineStr">
        <is>
          <t>шт</t>
        </is>
      </c>
      <c r="F30" s="283" t="n">
        <v>1</v>
      </c>
      <c r="G30" s="167" t="n">
        <v>432907.35</v>
      </c>
      <c r="H30" s="167">
        <f>ROUND(F30*G30,2)</f>
        <v/>
      </c>
      <c r="I30" s="164" t="n"/>
      <c r="J30" s="172" t="n"/>
    </row>
    <row r="31" ht="27" customHeight="1" s="204">
      <c r="A31" s="171" t="n">
        <v>16</v>
      </c>
      <c r="B31" s="263" t="n"/>
      <c r="C31" s="170" t="inlineStr">
        <is>
          <t>Прайс из СД ОП</t>
        </is>
      </c>
      <c r="D31" s="169" t="inlineStr">
        <is>
          <t>Шкаф автоматики регулирования напряжения одного трансформатора типа ШЭТ 410.03-0</t>
        </is>
      </c>
      <c r="E31" s="283" t="inlineStr">
        <is>
          <t>шт</t>
        </is>
      </c>
      <c r="F31" s="283" t="n">
        <v>1</v>
      </c>
      <c r="G31" s="167" t="n">
        <v>226038.34</v>
      </c>
      <c r="H31" s="167">
        <f>ROUND(F31*G31,2)</f>
        <v/>
      </c>
      <c r="I31" s="164" t="n"/>
      <c r="J31" s="172" t="n"/>
    </row>
    <row r="32">
      <c r="A32" s="253" t="inlineStr">
        <is>
          <t>Материалы</t>
        </is>
      </c>
      <c r="B32" s="331" t="n"/>
      <c r="C32" s="331" t="n"/>
      <c r="D32" s="331" t="n"/>
      <c r="E32" s="332" t="n"/>
      <c r="F32" s="253" t="n"/>
      <c r="G32" s="152" t="n"/>
      <c r="H32" s="173">
        <f>SUM(H33:H71)</f>
        <v/>
      </c>
    </row>
    <row r="33">
      <c r="A33" s="171" t="n">
        <v>17</v>
      </c>
      <c r="B33" s="254" t="n"/>
      <c r="C33" s="170" t="inlineStr">
        <is>
          <t>21.1.08.03-0574</t>
        </is>
      </c>
      <c r="D33" s="169" t="inlineStr">
        <is>
          <t>Кабель контрольный КВВГЭнг(A)-LS 4х2,5</t>
        </is>
      </c>
      <c r="E33" s="283" t="inlineStr">
        <is>
          <t>1000 м</t>
        </is>
      </c>
      <c r="F33" s="283" t="n">
        <v>0.5</v>
      </c>
      <c r="G33" s="167" t="n">
        <v>32828.83</v>
      </c>
      <c r="H33" s="167">
        <f>ROUND(F33*G33,2)</f>
        <v/>
      </c>
      <c r="I33" s="164" t="n"/>
      <c r="J33" s="172" t="n"/>
      <c r="K33" s="172" t="n"/>
    </row>
    <row r="34" ht="38.25" customHeight="1" s="204">
      <c r="A34" s="171" t="n">
        <v>18</v>
      </c>
      <c r="B34" s="254" t="n"/>
      <c r="C34" s="170" t="inlineStr">
        <is>
          <t>20.5.02.02-0001</t>
        </is>
      </c>
      <c r="D34" s="169" t="inlineStr">
        <is>
          <t>Коробка клеммная взрывозащищенная SA141410(1C10-1N-1PE-1C2-1N-1PE-1FL3(C)-1FL2(C) 2Exel IT6, IP66</t>
        </is>
      </c>
      <c r="E34" s="283" t="inlineStr">
        <is>
          <t>шт</t>
        </is>
      </c>
      <c r="F34" s="283" t="n">
        <v>1</v>
      </c>
      <c r="G34" s="167" t="n">
        <v>2639.24</v>
      </c>
      <c r="H34" s="167">
        <f>ROUND(F34*G34,2)</f>
        <v/>
      </c>
      <c r="I34" s="164" t="n"/>
      <c r="J34" s="172" t="n"/>
      <c r="K34" s="172" t="n"/>
    </row>
    <row r="35" ht="25.5" customHeight="1" s="204">
      <c r="A35" s="171" t="n">
        <v>19</v>
      </c>
      <c r="B35" s="254" t="n"/>
      <c r="C35" s="170" t="inlineStr">
        <is>
          <t>07.2.07.04-0007</t>
        </is>
      </c>
      <c r="D35" s="169" t="inlineStr">
        <is>
          <t>Конструкции стальные индивидуальные: решетчатые сварные массой до 0,1 т</t>
        </is>
      </c>
      <c r="E35" s="283" t="inlineStr">
        <is>
          <t>т</t>
        </is>
      </c>
      <c r="F35" s="283" t="n">
        <v>0.0678</v>
      </c>
      <c r="G35" s="167" t="n">
        <v>11500</v>
      </c>
      <c r="H35" s="167">
        <f>ROUND(F35*G35,2)</f>
        <v/>
      </c>
      <c r="I35" s="164" t="n"/>
      <c r="J35" s="172" t="n"/>
      <c r="K35" s="172" t="n"/>
    </row>
    <row r="36">
      <c r="A36" s="171" t="n">
        <v>20</v>
      </c>
      <c r="B36" s="254" t="n"/>
      <c r="C36" s="170" t="inlineStr">
        <is>
          <t>08.1.02.13-0005</t>
        </is>
      </c>
      <c r="D36" s="169" t="inlineStr">
        <is>
          <t>Рукава металлические диаметром 15 мм РЗ-Ц-Х</t>
        </is>
      </c>
      <c r="E36" s="283" t="inlineStr">
        <is>
          <t>м</t>
        </is>
      </c>
      <c r="F36" s="283" t="n">
        <v>90</v>
      </c>
      <c r="G36" s="167" t="n">
        <v>8.279999999999999</v>
      </c>
      <c r="H36" s="167">
        <f>ROUND(F36*G36,2)</f>
        <v/>
      </c>
      <c r="I36" s="164" t="n"/>
      <c r="J36" s="172" t="n"/>
    </row>
    <row r="37" ht="25.5" customHeight="1" s="204">
      <c r="A37" s="171" t="n">
        <v>21</v>
      </c>
      <c r="B37" s="254" t="n"/>
      <c r="C37" s="170" t="inlineStr">
        <is>
          <t>21.2.01.02-0141</t>
        </is>
      </c>
      <c r="D37" s="169" t="inlineStr">
        <is>
          <t>Провода неизолированные для воздушных линий электропередачи медные марки: М, сечением 4 мм2</t>
        </is>
      </c>
      <c r="E37" s="283" t="inlineStr">
        <is>
          <t>т</t>
        </is>
      </c>
      <c r="F37" s="283" t="n">
        <v>0.0029</v>
      </c>
      <c r="G37" s="167" t="n">
        <v>96440</v>
      </c>
      <c r="H37" s="167">
        <f>ROUND(F37*G37,2)</f>
        <v/>
      </c>
      <c r="I37" s="164" t="n"/>
      <c r="J37" s="172" t="n"/>
    </row>
    <row r="38">
      <c r="A38" s="171" t="n">
        <v>22</v>
      </c>
      <c r="B38" s="254" t="n"/>
      <c r="C38" s="170" t="inlineStr">
        <is>
          <t>18.5.08.09-0001</t>
        </is>
      </c>
      <c r="D38" s="169" t="inlineStr">
        <is>
          <t>Патрубки</t>
        </is>
      </c>
      <c r="E38" s="283" t="inlineStr">
        <is>
          <t>10 шт</t>
        </is>
      </c>
      <c r="F38" s="283" t="n">
        <v>0.9</v>
      </c>
      <c r="G38" s="167" t="n">
        <v>277.5</v>
      </c>
      <c r="H38" s="167">
        <f>ROUND(F38*G38,2)</f>
        <v/>
      </c>
      <c r="I38" s="164" t="n"/>
      <c r="J38" s="172" t="n"/>
    </row>
    <row r="39">
      <c r="A39" s="171" t="n">
        <v>23</v>
      </c>
      <c r="B39" s="254" t="n"/>
      <c r="C39" s="170" t="inlineStr">
        <is>
          <t>14.4.02.09-0301</t>
        </is>
      </c>
      <c r="D39" s="169" t="inlineStr">
        <is>
          <t>Краска "Цинол"</t>
        </is>
      </c>
      <c r="E39" s="283" t="inlineStr">
        <is>
          <t>кг</t>
        </is>
      </c>
      <c r="F39" s="283" t="n">
        <v>1</v>
      </c>
      <c r="G39" s="167" t="n">
        <v>238.48</v>
      </c>
      <c r="H39" s="167">
        <f>ROUND(F39*G39,2)</f>
        <v/>
      </c>
      <c r="I39" s="164" t="n"/>
      <c r="J39" s="172" t="n"/>
    </row>
    <row r="40" ht="25.5" customHeight="1" s="204">
      <c r="A40" s="171" t="n">
        <v>24</v>
      </c>
      <c r="B40" s="254" t="n"/>
      <c r="C40" s="170" t="inlineStr">
        <is>
          <t>08.3.07.01-0076</t>
        </is>
      </c>
      <c r="D40" s="169" t="inlineStr">
        <is>
          <t>Сталь полосовая, марка стали: Ст3сп шириной 50-200 мм толщиной 4-5 мм</t>
        </is>
      </c>
      <c r="E40" s="283" t="inlineStr">
        <is>
          <t>т</t>
        </is>
      </c>
      <c r="F40" s="283" t="n">
        <v>0.0467</v>
      </c>
      <c r="G40" s="167" t="n">
        <v>5000</v>
      </c>
      <c r="H40" s="167">
        <f>ROUND(F40*G40,2)</f>
        <v/>
      </c>
      <c r="I40" s="164" t="n"/>
      <c r="J40" s="172" t="n"/>
    </row>
    <row r="41">
      <c r="A41" s="171" t="n">
        <v>25</v>
      </c>
      <c r="B41" s="254" t="n"/>
      <c r="C41" s="170" t="inlineStr">
        <is>
          <t>14.4.02.09-0001</t>
        </is>
      </c>
      <c r="D41" s="169" t="inlineStr">
        <is>
          <t>Краска</t>
        </is>
      </c>
      <c r="E41" s="283" t="inlineStr">
        <is>
          <t>кг</t>
        </is>
      </c>
      <c r="F41" s="283" t="n">
        <v>6.566</v>
      </c>
      <c r="G41" s="167" t="n">
        <v>28.6</v>
      </c>
      <c r="H41" s="167">
        <f>ROUND(F41*G41,2)</f>
        <v/>
      </c>
      <c r="I41" s="164" t="n"/>
      <c r="J41" s="172" t="n"/>
    </row>
    <row r="42" ht="25.5" customHeight="1" s="204">
      <c r="A42" s="171" t="n">
        <v>26</v>
      </c>
      <c r="B42" s="254" t="n"/>
      <c r="C42" s="170" t="inlineStr">
        <is>
          <t>10.3.02.03-0011</t>
        </is>
      </c>
      <c r="D42" s="169" t="inlineStr">
        <is>
          <t>Припои оловянно-свинцовые бессурьмянистые марки: ПОС30</t>
        </is>
      </c>
      <c r="E42" s="283" t="inlineStr">
        <is>
          <t>кг</t>
        </is>
      </c>
      <c r="F42" s="283" t="n">
        <v>1.3026</v>
      </c>
      <c r="G42" s="167" t="n">
        <v>68.05</v>
      </c>
      <c r="H42" s="167">
        <f>ROUND(F42*G42,2)</f>
        <v/>
      </c>
      <c r="I42" s="164" t="n"/>
      <c r="J42" s="172" t="n"/>
    </row>
    <row r="43">
      <c r="A43" s="171" t="n">
        <v>27</v>
      </c>
      <c r="B43" s="254" t="n"/>
      <c r="C43" s="170" t="inlineStr">
        <is>
          <t>20.1.02.06-0001</t>
        </is>
      </c>
      <c r="D43" s="169" t="inlineStr">
        <is>
          <t>Жир паяльный</t>
        </is>
      </c>
      <c r="E43" s="283" t="inlineStr">
        <is>
          <t>кг</t>
        </is>
      </c>
      <c r="F43" s="283" t="n">
        <v>0.52</v>
      </c>
      <c r="G43" s="167" t="n">
        <v>100.8</v>
      </c>
      <c r="H43" s="167">
        <f>ROUND(F43*G43,2)</f>
        <v/>
      </c>
      <c r="I43" s="164" t="n"/>
      <c r="J43" s="172" t="n"/>
    </row>
    <row r="44" ht="38.25" customHeight="1" s="204">
      <c r="A44" s="171" t="n">
        <v>28</v>
      </c>
      <c r="B44" s="254" t="n"/>
      <c r="C44" s="170" t="inlineStr">
        <is>
          <t>20.2.04.04-0001</t>
        </is>
      </c>
      <c r="D44" s="169" t="inlineStr">
        <is>
          <t>Короб кабельный прямой из оцинкованный стали толщиной 1,5 мм размером 2000х150х100 мм, 1-канальный</t>
        </is>
      </c>
      <c r="E44" s="283" t="inlineStr">
        <is>
          <t>шт</t>
        </is>
      </c>
      <c r="F44" s="283" t="n">
        <v>0.25</v>
      </c>
      <c r="G44" s="167" t="n">
        <v>157.3</v>
      </c>
      <c r="H44" s="167">
        <f>ROUND(F44*G44,2)</f>
        <v/>
      </c>
      <c r="I44" s="164" t="n"/>
      <c r="J44" s="172" t="n"/>
    </row>
    <row r="45">
      <c r="A45" s="171" t="n">
        <v>29</v>
      </c>
      <c r="B45" s="254" t="n"/>
      <c r="C45" s="170" t="inlineStr">
        <is>
          <t>01.3.01.01-0001</t>
        </is>
      </c>
      <c r="D45" s="169" t="inlineStr">
        <is>
          <t>Бензин авиационный Б-70</t>
        </is>
      </c>
      <c r="E45" s="283" t="inlineStr">
        <is>
          <t>т</t>
        </is>
      </c>
      <c r="F45" s="283" t="n">
        <v>0.008</v>
      </c>
      <c r="G45" s="167" t="n">
        <v>4488.4</v>
      </c>
      <c r="H45" s="167">
        <f>ROUND(F45*G45,2)</f>
        <v/>
      </c>
      <c r="I45" s="164" t="n"/>
      <c r="J45" s="172" t="n"/>
    </row>
    <row r="46" customFormat="1" s="151">
      <c r="A46" s="171" t="n">
        <v>30</v>
      </c>
      <c r="B46" s="254" t="n"/>
      <c r="C46" s="170" t="inlineStr">
        <is>
          <t>01.7.15.04-0011</t>
        </is>
      </c>
      <c r="D46" s="169" t="inlineStr">
        <is>
          <t>Винты с полукруглой головкой длиной: 50 мм</t>
        </is>
      </c>
      <c r="E46" s="283" t="inlineStr">
        <is>
          <t>т</t>
        </is>
      </c>
      <c r="F46" s="283" t="n">
        <v>0.002</v>
      </c>
      <c r="G46" s="167" t="n">
        <v>12430</v>
      </c>
      <c r="H46" s="167">
        <f>ROUND(F46*G46,2)</f>
        <v/>
      </c>
      <c r="I46" s="164" t="n"/>
      <c r="J46" s="172" t="n"/>
    </row>
    <row r="47">
      <c r="A47" s="171" t="n">
        <v>31</v>
      </c>
      <c r="B47" s="254" t="n"/>
      <c r="C47" s="170" t="inlineStr">
        <is>
          <t>20.1.02.23-0082</t>
        </is>
      </c>
      <c r="D47" s="169" t="inlineStr">
        <is>
          <t>Перемычки гибкие, тип ПГС-50</t>
        </is>
      </c>
      <c r="E47" s="283" t="inlineStr">
        <is>
          <t>10 шт</t>
        </is>
      </c>
      <c r="F47" s="283" t="n">
        <v>0.63</v>
      </c>
      <c r="G47" s="167" t="n">
        <v>39</v>
      </c>
      <c r="H47" s="167">
        <f>ROUND(F47*G47,2)</f>
        <v/>
      </c>
      <c r="I47" s="164" t="n"/>
      <c r="J47" s="172" t="n"/>
    </row>
    <row r="48" ht="25.5" customHeight="1" s="204">
      <c r="A48" s="171" t="n">
        <v>32</v>
      </c>
      <c r="B48" s="254" t="n"/>
      <c r="C48" s="170" t="inlineStr">
        <is>
          <t>01.7.06.05-0041</t>
        </is>
      </c>
      <c r="D48" s="169" t="inlineStr">
        <is>
          <t>Лента изоляционная прорезиненная односторонняя ширина 20 мм, толщина 0,25-0,35 мм</t>
        </is>
      </c>
      <c r="E48" s="283" t="inlineStr">
        <is>
          <t>кг</t>
        </is>
      </c>
      <c r="F48" s="283" t="n">
        <v>0.5600000000000001</v>
      </c>
      <c r="G48" s="167" t="n">
        <v>30.4</v>
      </c>
      <c r="H48" s="167">
        <f>ROUND(F48*G48,2)</f>
        <v/>
      </c>
      <c r="I48" s="164" t="n"/>
      <c r="J48" s="172" t="n"/>
      <c r="K48" s="172" t="n"/>
    </row>
    <row r="49">
      <c r="A49" s="171" t="n">
        <v>33</v>
      </c>
      <c r="B49" s="254" t="n"/>
      <c r="C49" s="170" t="inlineStr">
        <is>
          <t>01.7.11.07-0034</t>
        </is>
      </c>
      <c r="D49" s="169" t="inlineStr">
        <is>
          <t>Электроды диаметром: 4 мм Э42А</t>
        </is>
      </c>
      <c r="E49" s="283" t="inlineStr">
        <is>
          <t>кг</t>
        </is>
      </c>
      <c r="F49" s="283" t="n">
        <v>1.4884</v>
      </c>
      <c r="G49" s="167" t="n">
        <v>10.57</v>
      </c>
      <c r="H49" s="167">
        <f>ROUND(F49*G49,2)</f>
        <v/>
      </c>
      <c r="I49" s="164" t="n"/>
      <c r="J49" s="172" t="n"/>
      <c r="K49" s="172" t="n"/>
    </row>
    <row r="50" ht="25.5" customHeight="1" s="204">
      <c r="A50" s="171" t="n">
        <v>34</v>
      </c>
      <c r="B50" s="254" t="n"/>
      <c r="C50" s="170" t="inlineStr">
        <is>
          <t>999-9950</t>
        </is>
      </c>
      <c r="D50" s="169" t="inlineStr">
        <is>
          <t>Вспомогательные ненормируемые ресурсы (2% от Оплаты труда рабочих)</t>
        </is>
      </c>
      <c r="E50" s="283" t="inlineStr">
        <is>
          <t>руб.</t>
        </is>
      </c>
      <c r="F50" s="283" t="n">
        <v>14.4594</v>
      </c>
      <c r="G50" s="167" t="n">
        <v>1</v>
      </c>
      <c r="H50" s="167">
        <f>ROUND(F50*G50,2)</f>
        <v/>
      </c>
      <c r="I50" s="164" t="n"/>
      <c r="J50" s="172" t="n"/>
      <c r="K50" s="172" t="n"/>
    </row>
    <row r="51">
      <c r="A51" s="171" t="n">
        <v>35</v>
      </c>
      <c r="B51" s="254" t="n"/>
      <c r="C51" s="170" t="inlineStr">
        <is>
          <t>08.3.07.01-0037</t>
        </is>
      </c>
      <c r="D51" s="169" t="inlineStr">
        <is>
          <t>Сталь полосовая 30х4 мм, марка Ст3сп</t>
        </is>
      </c>
      <c r="E51" s="283" t="inlineStr">
        <is>
          <t>т</t>
        </is>
      </c>
      <c r="F51" s="283" t="n">
        <v>0.002</v>
      </c>
      <c r="G51" s="167" t="n">
        <v>6674.64</v>
      </c>
      <c r="H51" s="167">
        <f>ROUND(F51*G51,2)</f>
        <v/>
      </c>
      <c r="J51" s="172" t="n"/>
    </row>
    <row r="52">
      <c r="A52" s="171" t="n">
        <v>36</v>
      </c>
      <c r="B52" s="254" t="n"/>
      <c r="C52" s="170" t="inlineStr">
        <is>
          <t>25.2.01.01-0001</t>
        </is>
      </c>
      <c r="D52" s="169" t="inlineStr">
        <is>
          <t>Бирки-оконцеватели</t>
        </is>
      </c>
      <c r="E52" s="283" t="inlineStr">
        <is>
          <t>100 шт</t>
        </is>
      </c>
      <c r="F52" s="283" t="n">
        <v>0.2</v>
      </c>
      <c r="G52" s="167" t="n">
        <v>63</v>
      </c>
      <c r="H52" s="167">
        <f>ROUND(F52*G52,2)</f>
        <v/>
      </c>
      <c r="J52" s="172" t="n"/>
    </row>
    <row r="53">
      <c r="A53" s="171" t="n">
        <v>37</v>
      </c>
      <c r="B53" s="254" t="n"/>
      <c r="C53" s="170" t="inlineStr">
        <is>
          <t>01.7.15.03-0042</t>
        </is>
      </c>
      <c r="D53" s="169" t="inlineStr">
        <is>
          <t>Болты с гайками и шайбами строительные</t>
        </is>
      </c>
      <c r="E53" s="283" t="inlineStr">
        <is>
          <t>кг</t>
        </is>
      </c>
      <c r="F53" s="283" t="n">
        <v>1.08</v>
      </c>
      <c r="G53" s="167" t="n">
        <v>9.039999999999999</v>
      </c>
      <c r="H53" s="167">
        <f>ROUND(F53*G53,2)</f>
        <v/>
      </c>
      <c r="J53" s="172" t="n"/>
    </row>
    <row r="54">
      <c r="A54" s="171" t="n">
        <v>38</v>
      </c>
      <c r="B54" s="254" t="n"/>
      <c r="C54" s="170" t="inlineStr">
        <is>
          <t>01.3.02.09-0022</t>
        </is>
      </c>
      <c r="D54" s="169" t="inlineStr">
        <is>
          <t>Пропан-бутан, смесь техническая</t>
        </is>
      </c>
      <c r="E54" s="283" t="inlineStr">
        <is>
          <t>кг</t>
        </is>
      </c>
      <c r="F54" s="283" t="n">
        <v>1.5</v>
      </c>
      <c r="G54" s="167" t="n">
        <v>6.09</v>
      </c>
      <c r="H54" s="167">
        <f>ROUND(F54*G54,2)</f>
        <v/>
      </c>
      <c r="J54" s="172" t="n"/>
    </row>
    <row r="55">
      <c r="A55" s="171" t="n">
        <v>39</v>
      </c>
      <c r="B55" s="254" t="n"/>
      <c r="C55" s="170" t="inlineStr">
        <is>
          <t>01.3.01.05-0009</t>
        </is>
      </c>
      <c r="D55" s="169" t="inlineStr">
        <is>
          <t>Парафины нефтяные твердые марки Т-1</t>
        </is>
      </c>
      <c r="E55" s="283" t="inlineStr">
        <is>
          <t>т</t>
        </is>
      </c>
      <c r="F55" s="283" t="n">
        <v>0.0004</v>
      </c>
      <c r="G55" s="167" t="n">
        <v>8105.71</v>
      </c>
      <c r="H55" s="167">
        <f>ROUND(F55*G55,2)</f>
        <v/>
      </c>
      <c r="J55" s="172" t="n"/>
    </row>
    <row r="56">
      <c r="A56" s="171" t="n">
        <v>40</v>
      </c>
      <c r="B56" s="254" t="n"/>
      <c r="C56" s="170" t="inlineStr">
        <is>
          <t>01.7.06.07-0001</t>
        </is>
      </c>
      <c r="D56" s="169" t="inlineStr">
        <is>
          <t>Лента К226</t>
        </is>
      </c>
      <c r="E56" s="283" t="inlineStr">
        <is>
          <t>100 м</t>
        </is>
      </c>
      <c r="F56" s="283" t="n">
        <v>0.0242</v>
      </c>
      <c r="G56" s="167" t="n">
        <v>120</v>
      </c>
      <c r="H56" s="167">
        <f>ROUND(F56*G56,2)</f>
        <v/>
      </c>
      <c r="J56" s="172" t="n"/>
    </row>
    <row r="57">
      <c r="A57" s="171" t="n">
        <v>41</v>
      </c>
      <c r="B57" s="254" t="n"/>
      <c r="C57" s="170" t="inlineStr">
        <is>
          <t>20.2.02.01-0019</t>
        </is>
      </c>
      <c r="D57" s="169" t="inlineStr">
        <is>
          <t>Втулки изолирующие</t>
        </is>
      </c>
      <c r="E57" s="283" t="inlineStr">
        <is>
          <t>1000 шт</t>
        </is>
      </c>
      <c r="F57" s="283" t="n">
        <v>0.008999999999999999</v>
      </c>
      <c r="G57" s="167" t="n">
        <v>270</v>
      </c>
      <c r="H57" s="167">
        <f>ROUND(F57*G57,2)</f>
        <v/>
      </c>
      <c r="J57" s="172" t="n"/>
    </row>
    <row r="58">
      <c r="A58" s="171" t="n">
        <v>42</v>
      </c>
      <c r="B58" s="254" t="n"/>
      <c r="C58" s="170" t="inlineStr">
        <is>
          <t>01.7.15.07-0014</t>
        </is>
      </c>
      <c r="D58" s="169" t="inlineStr">
        <is>
          <t>Дюбели распорные полипропиленовые</t>
        </is>
      </c>
      <c r="E58" s="283" t="inlineStr">
        <is>
          <t>100 шт</t>
        </is>
      </c>
      <c r="F58" s="283" t="n">
        <v>0.016</v>
      </c>
      <c r="G58" s="167" t="n">
        <v>86</v>
      </c>
      <c r="H58" s="167">
        <f>ROUND(F58*G58,2)</f>
        <v/>
      </c>
      <c r="J58" s="172" t="n"/>
    </row>
    <row r="59">
      <c r="A59" s="171" t="n">
        <v>43</v>
      </c>
      <c r="B59" s="254" t="n"/>
      <c r="C59" s="170" t="inlineStr">
        <is>
          <t>01.3.01.02-0002</t>
        </is>
      </c>
      <c r="D59" s="169" t="inlineStr">
        <is>
          <t>Вазелин технический</t>
        </is>
      </c>
      <c r="E59" s="283" t="inlineStr">
        <is>
          <t>кг</t>
        </is>
      </c>
      <c r="F59" s="283" t="n">
        <v>0.02</v>
      </c>
      <c r="G59" s="167" t="n">
        <v>44.97</v>
      </c>
      <c r="H59" s="167">
        <f>ROUND(F59*G59,2)</f>
        <v/>
      </c>
      <c r="J59" s="172" t="n"/>
    </row>
    <row r="60">
      <c r="A60" s="171" t="n">
        <v>44</v>
      </c>
      <c r="B60" s="254" t="n"/>
      <c r="C60" s="170" t="inlineStr">
        <is>
          <t>14.4.03.17-0011</t>
        </is>
      </c>
      <c r="D60" s="169" t="inlineStr">
        <is>
          <t>Лак электроизоляционный 318</t>
        </is>
      </c>
      <c r="E60" s="283" t="inlineStr">
        <is>
          <t>кг</t>
        </is>
      </c>
      <c r="F60" s="283" t="n">
        <v>0.02</v>
      </c>
      <c r="G60" s="167" t="n">
        <v>35.63</v>
      </c>
      <c r="H60" s="167">
        <f>ROUND(F60*G60,2)</f>
        <v/>
      </c>
      <c r="J60" s="172" t="n"/>
    </row>
    <row r="61" customFormat="1" s="151">
      <c r="A61" s="171" t="n">
        <v>45</v>
      </c>
      <c r="B61" s="254" t="n"/>
      <c r="C61" s="170" t="inlineStr">
        <is>
          <t>20.2.08.07-0033</t>
        </is>
      </c>
      <c r="D61" s="169" t="inlineStr">
        <is>
          <t>Скоба: У1078</t>
        </is>
      </c>
      <c r="E61" s="283" t="inlineStr">
        <is>
          <t>100 шт</t>
        </is>
      </c>
      <c r="F61" s="283" t="n">
        <v>0.0005999999999999999</v>
      </c>
      <c r="G61" s="167" t="n">
        <v>617</v>
      </c>
      <c r="H61" s="167">
        <f>ROUND(F61*G61,2)</f>
        <v/>
      </c>
      <c r="J61" s="172" t="n"/>
    </row>
    <row r="62">
      <c r="A62" s="171" t="n">
        <v>46</v>
      </c>
      <c r="B62" s="254" t="n"/>
      <c r="C62" s="170" t="inlineStr">
        <is>
          <t>25.2.01.01-0017</t>
        </is>
      </c>
      <c r="D62" s="169" t="inlineStr">
        <is>
          <t>Бирки маркировочные пластмассовые</t>
        </is>
      </c>
      <c r="E62" s="283" t="inlineStr">
        <is>
          <t>100 шт</t>
        </is>
      </c>
      <c r="F62" s="283" t="n">
        <v>0.01</v>
      </c>
      <c r="G62" s="167" t="n">
        <v>30.74</v>
      </c>
      <c r="H62" s="167">
        <f>ROUND(F62*G62,2)</f>
        <v/>
      </c>
      <c r="J62" s="172" t="n"/>
    </row>
    <row r="63">
      <c r="A63" s="171" t="n">
        <v>47</v>
      </c>
      <c r="B63" s="254" t="n"/>
      <c r="C63" s="170" t="inlineStr">
        <is>
          <t>01.7.20.04-0005</t>
        </is>
      </c>
      <c r="D63" s="169" t="inlineStr">
        <is>
          <t>Нитки швейные</t>
        </is>
      </c>
      <c r="E63" s="283" t="inlineStr">
        <is>
          <t>кг</t>
        </is>
      </c>
      <c r="F63" s="283" t="n">
        <v>0.002</v>
      </c>
      <c r="G63" s="167" t="n">
        <v>133.05</v>
      </c>
      <c r="H63" s="167">
        <f>ROUND(F63*G63,2)</f>
        <v/>
      </c>
      <c r="J63" s="172" t="n"/>
      <c r="K63" s="172" t="n"/>
    </row>
    <row r="64" ht="25.5" customHeight="1" s="204">
      <c r="A64" s="171" t="n">
        <v>48</v>
      </c>
      <c r="B64" s="254" t="n"/>
      <c r="C64" s="170" t="inlineStr">
        <is>
          <t>03.2.01.01-0003</t>
        </is>
      </c>
      <c r="D64" s="169" t="inlineStr">
        <is>
          <t>Портландцемент общестроительного назначения бездобавочный, марки: 500</t>
        </is>
      </c>
      <c r="E64" s="283" t="inlineStr">
        <is>
          <t>т</t>
        </is>
      </c>
      <c r="F64" s="283" t="n">
        <v>0.0002</v>
      </c>
      <c r="G64" s="167" t="n">
        <v>480</v>
      </c>
      <c r="H64" s="167">
        <f>ROUND(F64*G64,2)</f>
        <v/>
      </c>
      <c r="J64" s="172" t="n"/>
      <c r="K64" s="172" t="n"/>
    </row>
    <row r="65">
      <c r="A65" s="171" t="n">
        <v>49</v>
      </c>
      <c r="B65" s="254" t="n"/>
      <c r="C65" s="170" t="inlineStr">
        <is>
          <t>01.7.15.07-0031</t>
        </is>
      </c>
      <c r="D65" s="169" t="inlineStr">
        <is>
          <t>Дюбели распорные с гайкой</t>
        </is>
      </c>
      <c r="E65" s="283" t="inlineStr">
        <is>
          <t>100 шт</t>
        </is>
      </c>
      <c r="F65" s="283" t="n">
        <v>0.0008</v>
      </c>
      <c r="G65" s="167" t="n">
        <v>110</v>
      </c>
      <c r="H65" s="167">
        <f>ROUND(F65*G65,2)</f>
        <v/>
      </c>
      <c r="J65" s="172" t="n"/>
      <c r="K65" s="172" t="n"/>
    </row>
    <row r="66" ht="25.5" customHeight="1" s="204">
      <c r="A66" s="171" t="n">
        <v>50</v>
      </c>
      <c r="B66" s="254" t="n"/>
      <c r="C66" s="170" t="inlineStr">
        <is>
          <t>10.3.02.03-0013</t>
        </is>
      </c>
      <c r="D66" s="169" t="inlineStr">
        <is>
          <t>Припои оловянно-свинцовые бессурьмянистые марки: ПОС61</t>
        </is>
      </c>
      <c r="E66" s="283" t="inlineStr">
        <is>
          <t>кг</t>
        </is>
      </c>
      <c r="F66" s="283" t="n">
        <v>0.0008</v>
      </c>
      <c r="G66" s="167" t="n">
        <v>114.22</v>
      </c>
      <c r="H66" s="167">
        <f>ROUND(F66*G66,2)</f>
        <v/>
      </c>
      <c r="J66" s="172" t="n"/>
    </row>
    <row r="67">
      <c r="A67" s="171" t="n">
        <v>51</v>
      </c>
      <c r="B67" s="254" t="n"/>
      <c r="C67" s="170" t="inlineStr">
        <is>
          <t>01.7.02.09-0002</t>
        </is>
      </c>
      <c r="D67" s="169" t="inlineStr">
        <is>
          <t>Шпагат бумажный</t>
        </is>
      </c>
      <c r="E67" s="283" t="inlineStr">
        <is>
          <t>кг</t>
        </is>
      </c>
      <c r="F67" s="283" t="n">
        <v>0.004</v>
      </c>
      <c r="G67" s="167" t="n">
        <v>11.5</v>
      </c>
      <c r="H67" s="167">
        <f>ROUND(F67*G67,2)</f>
        <v/>
      </c>
      <c r="J67" s="172" t="n"/>
    </row>
    <row r="68">
      <c r="A68" s="171" t="n">
        <v>52</v>
      </c>
      <c r="B68" s="254" t="n"/>
      <c r="C68" s="170" t="inlineStr">
        <is>
          <t>01.3.05.17-0002</t>
        </is>
      </c>
      <c r="D68" s="169" t="inlineStr">
        <is>
          <t>Канифоль сосновая</t>
        </is>
      </c>
      <c r="E68" s="283" t="inlineStr">
        <is>
          <t>кг</t>
        </is>
      </c>
      <c r="F68" s="283" t="n">
        <v>0.0002</v>
      </c>
      <c r="G68" s="167" t="n">
        <v>27.74</v>
      </c>
      <c r="H68" s="167">
        <f>ROUND(F68*G68,2)</f>
        <v/>
      </c>
      <c r="J68" s="172" t="n"/>
    </row>
    <row r="69" ht="25.5" customHeight="1" s="204">
      <c r="A69" s="171" t="n">
        <v>53</v>
      </c>
      <c r="B69" s="254" t="n"/>
      <c r="C69" s="170" t="inlineStr">
        <is>
          <t>02.3.01.02-0020</t>
        </is>
      </c>
      <c r="D69" s="169" t="inlineStr">
        <is>
          <t>Песок природный для строительных: растворов средний</t>
        </is>
      </c>
      <c r="E69" s="283" t="inlineStr">
        <is>
          <t>м3</t>
        </is>
      </c>
      <c r="F69" s="283" t="n">
        <v>0.0002</v>
      </c>
      <c r="G69" s="167" t="n">
        <v>59.99</v>
      </c>
      <c r="H69" s="167">
        <f>ROUND(F69*G69,2)</f>
        <v/>
      </c>
      <c r="J69" s="172" t="n"/>
    </row>
    <row r="70">
      <c r="A70" s="171" t="n">
        <v>54</v>
      </c>
      <c r="B70" s="254" t="n"/>
      <c r="C70" s="170" t="inlineStr">
        <is>
          <t>01.3.01.07-0009</t>
        </is>
      </c>
      <c r="D70" s="169" t="inlineStr">
        <is>
          <t>Спирт этиловый ректификованный технический, сорт I</t>
        </is>
      </c>
      <c r="E70" s="283" t="inlineStr">
        <is>
          <t>кг</t>
        </is>
      </c>
      <c r="F70" s="283" t="n">
        <v>0.0003</v>
      </c>
      <c r="G70" s="167" t="n">
        <v>38.89</v>
      </c>
      <c r="H70" s="167">
        <f>ROUND(F70*G70,2)</f>
        <v/>
      </c>
      <c r="J70" s="172" t="n"/>
    </row>
    <row r="71">
      <c r="A71" s="171" t="n">
        <v>55</v>
      </c>
      <c r="B71" s="254" t="n"/>
      <c r="C71" s="170" t="inlineStr">
        <is>
          <t>24.3.01.01-0002</t>
        </is>
      </c>
      <c r="D71" s="169" t="inlineStr">
        <is>
          <t>Трубка полихлорвиниловая</t>
        </is>
      </c>
      <c r="E71" s="283" t="inlineStr">
        <is>
          <t>кг</t>
        </is>
      </c>
      <c r="F71" s="283" t="n">
        <v>0.0004</v>
      </c>
      <c r="G71" s="167" t="n">
        <v>35.7</v>
      </c>
      <c r="H71" s="167">
        <f>ROUND(F71*G71,2)</f>
        <v/>
      </c>
      <c r="J71" s="172" t="n"/>
    </row>
    <row r="74">
      <c r="B74" s="230" t="inlineStr">
        <is>
          <t>Составил ______________________     Е.Р. Брызгалова</t>
        </is>
      </c>
    </row>
    <row r="75">
      <c r="B75" s="140" t="inlineStr">
        <is>
          <t xml:space="preserve">                         (подпись, инициалы, фамилия)</t>
        </is>
      </c>
    </row>
    <row r="77">
      <c r="B77" s="230" t="inlineStr">
        <is>
          <t>Проверил ______________________        А.В. Костянецкая</t>
        </is>
      </c>
    </row>
    <row r="78">
      <c r="B78" s="140" t="inlineStr">
        <is>
          <t xml:space="preserve">                        (подпись, инициалы, фамилия)</t>
        </is>
      </c>
    </row>
  </sheetData>
  <mergeCells count="16">
    <mergeCell ref="A4:H4"/>
    <mergeCell ref="B9:B10"/>
    <mergeCell ref="A12:E12"/>
    <mergeCell ref="D9:D10"/>
    <mergeCell ref="E9:E10"/>
    <mergeCell ref="A3:H3"/>
    <mergeCell ref="C9:C10"/>
    <mergeCell ref="A7:H7"/>
    <mergeCell ref="A9:A10"/>
    <mergeCell ref="F9:F10"/>
    <mergeCell ref="C5:H5"/>
    <mergeCell ref="A28:E28"/>
    <mergeCell ref="A19:E19"/>
    <mergeCell ref="A32:E32"/>
    <mergeCell ref="G9:H9"/>
    <mergeCell ref="A17:E1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zoomScale="86" workbookViewId="0">
      <selection activeCell="D41" sqref="D40:D41"/>
    </sheetView>
  </sheetViews>
  <sheetFormatPr baseColWidth="8" defaultRowHeight="15"/>
  <cols>
    <col width="4.140625" customWidth="1" style="204" min="1" max="1"/>
    <col width="36.28515625" customWidth="1" style="204" min="2" max="2"/>
    <col width="18.85546875" customWidth="1" style="204" min="3" max="3"/>
    <col width="18.28515625" customWidth="1" style="204" min="4" max="4"/>
    <col width="18.85546875" customWidth="1" style="204" min="5" max="5"/>
    <col width="11.42578125" customWidth="1" style="204" min="6" max="6"/>
    <col width="14.42578125" customWidth="1" style="204" min="7" max="7"/>
    <col width="9.140625" customWidth="1" style="204" min="8" max="11"/>
    <col width="13.5703125" customWidth="1" style="204" min="12" max="12"/>
    <col width="9.140625" customWidth="1" style="204" min="13" max="13"/>
  </cols>
  <sheetData>
    <row r="1">
      <c r="B1" s="192" t="n"/>
      <c r="C1" s="192" t="n"/>
      <c r="D1" s="192" t="n"/>
      <c r="E1" s="192" t="n"/>
    </row>
    <row r="2">
      <c r="B2" s="192" t="n"/>
      <c r="C2" s="192" t="n"/>
      <c r="D2" s="192" t="n"/>
      <c r="E2" s="278" t="inlineStr">
        <is>
          <t>Приложение № 4</t>
        </is>
      </c>
    </row>
    <row r="3">
      <c r="B3" s="192" t="n"/>
      <c r="C3" s="192" t="n"/>
      <c r="D3" s="192" t="n"/>
      <c r="E3" s="192" t="n"/>
    </row>
    <row r="4">
      <c r="B4" s="192" t="n"/>
      <c r="C4" s="192" t="n"/>
      <c r="D4" s="192" t="n"/>
      <c r="E4" s="192" t="n"/>
    </row>
    <row r="5">
      <c r="B5" s="238" t="inlineStr">
        <is>
          <t>Ресурсная модель</t>
        </is>
      </c>
    </row>
    <row r="6">
      <c r="B6" s="163" t="n"/>
      <c r="C6" s="192" t="n"/>
      <c r="D6" s="192" t="n"/>
      <c r="E6" s="192" t="n"/>
    </row>
    <row r="7" ht="25.5" customHeight="1" s="204">
      <c r="B7" s="256" t="inlineStr">
        <is>
          <t>Наименование разрабатываемого показателя УНЦ — РЗА Ячейка Т110-220 кВ 63 МВА и более</t>
        </is>
      </c>
    </row>
    <row r="8">
      <c r="B8" s="257" t="inlineStr">
        <is>
          <t>Единица измерения  — 1 комплект</t>
        </is>
      </c>
    </row>
    <row r="9">
      <c r="B9" s="163" t="n"/>
      <c r="C9" s="192" t="n"/>
      <c r="D9" s="192" t="n"/>
      <c r="E9" s="192" t="n"/>
    </row>
    <row r="10" ht="51" customHeight="1" s="204">
      <c r="B10" s="265" t="inlineStr">
        <is>
          <t>Наименование</t>
        </is>
      </c>
      <c r="C10" s="265" t="inlineStr">
        <is>
          <t>Сметная стоимость в ценах на 01.01.2023
 (руб.)</t>
        </is>
      </c>
      <c r="D10" s="265" t="inlineStr">
        <is>
          <t>Удельный вес, 
(в СМР)</t>
        </is>
      </c>
      <c r="E10" s="265" t="inlineStr">
        <is>
          <t>Удельный вес, % 
(от всего по РМ)</t>
        </is>
      </c>
    </row>
    <row r="11">
      <c r="B11" s="99" t="inlineStr">
        <is>
          <t>Оплата труда рабочих</t>
        </is>
      </c>
      <c r="C11" s="197">
        <f>'Прил.5 Расчет СМР и ОБ'!J14</f>
        <v/>
      </c>
      <c r="D11" s="158">
        <f>C11/$C$24</f>
        <v/>
      </c>
      <c r="E11" s="158">
        <f>C11/$C$40</f>
        <v/>
      </c>
    </row>
    <row r="12">
      <c r="B12" s="99" t="inlineStr">
        <is>
          <t>Эксплуатация машин основных</t>
        </is>
      </c>
      <c r="C12" s="197">
        <f>'Прил.5 Расчет СМР и ОБ'!J23</f>
        <v/>
      </c>
      <c r="D12" s="158">
        <f>C12/$C$24</f>
        <v/>
      </c>
      <c r="E12" s="158">
        <f>C12/$C$40</f>
        <v/>
      </c>
    </row>
    <row r="13">
      <c r="B13" s="99" t="inlineStr">
        <is>
          <t>Эксплуатация машин прочих</t>
        </is>
      </c>
      <c r="C13" s="197">
        <f>'Прил.5 Расчет СМР и ОБ'!J28</f>
        <v/>
      </c>
      <c r="D13" s="158">
        <f>C13/$C$24</f>
        <v/>
      </c>
      <c r="E13" s="158">
        <f>C13/$C$40</f>
        <v/>
      </c>
    </row>
    <row r="14">
      <c r="B14" s="99" t="inlineStr">
        <is>
          <t>ЭКСПЛУАТАЦИЯ МАШИН, ВСЕГО:</t>
        </is>
      </c>
      <c r="C14" s="197">
        <f>C13+C12</f>
        <v/>
      </c>
      <c r="D14" s="158">
        <f>C14/$C$24</f>
        <v/>
      </c>
      <c r="E14" s="158">
        <f>C14/$C$40</f>
        <v/>
      </c>
    </row>
    <row r="15">
      <c r="B15" s="99" t="inlineStr">
        <is>
          <t>в том числе зарплата машинистов</t>
        </is>
      </c>
      <c r="C15" s="197">
        <f>'Прил.5 Расчет СМР и ОБ'!J16</f>
        <v/>
      </c>
      <c r="D15" s="158">
        <f>C15/$C$24</f>
        <v/>
      </c>
      <c r="E15" s="158">
        <f>C15/$C$40</f>
        <v/>
      </c>
    </row>
    <row r="16">
      <c r="B16" s="99" t="inlineStr">
        <is>
          <t>Материалы основные</t>
        </is>
      </c>
      <c r="C16" s="197">
        <f>'Прил.5 Расчет СМР и ОБ'!J43</f>
        <v/>
      </c>
      <c r="D16" s="158">
        <f>C16/$C$24</f>
        <v/>
      </c>
      <c r="E16" s="158">
        <f>C16/$C$40</f>
        <v/>
      </c>
    </row>
    <row r="17">
      <c r="B17" s="99" t="inlineStr">
        <is>
          <t>Материалы прочие</t>
        </is>
      </c>
      <c r="C17" s="197">
        <f>'Прил.5 Расчет СМР и ОБ'!J81</f>
        <v/>
      </c>
      <c r="D17" s="158">
        <f>C17/$C$24</f>
        <v/>
      </c>
      <c r="E17" s="158">
        <f>C17/$C$40</f>
        <v/>
      </c>
      <c r="G17" s="162" t="n"/>
    </row>
    <row r="18">
      <c r="B18" s="99" t="inlineStr">
        <is>
          <t>МАТЕРИАЛЫ, ВСЕГО:</t>
        </is>
      </c>
      <c r="C18" s="197">
        <f>C17+C16</f>
        <v/>
      </c>
      <c r="D18" s="158">
        <f>C18/$C$24</f>
        <v/>
      </c>
      <c r="E18" s="158">
        <f>C18/$C$40</f>
        <v/>
      </c>
    </row>
    <row r="19">
      <c r="B19" s="99" t="inlineStr">
        <is>
          <t>ИТОГО</t>
        </is>
      </c>
      <c r="C19" s="197">
        <f>C18+C14+C11</f>
        <v/>
      </c>
      <c r="D19" s="158" t="n"/>
      <c r="E19" s="99" t="n"/>
    </row>
    <row r="20">
      <c r="B20" s="99" t="inlineStr">
        <is>
          <t>Сметная прибыль, руб.</t>
        </is>
      </c>
      <c r="C20" s="197">
        <f>ROUND(C21*(C11+C15),2)</f>
        <v/>
      </c>
      <c r="D20" s="158">
        <f>C20/$C$24</f>
        <v/>
      </c>
      <c r="E20" s="158">
        <f>C20/$C$40</f>
        <v/>
      </c>
    </row>
    <row r="21">
      <c r="B21" s="99" t="inlineStr">
        <is>
          <t>Сметная прибыль, %</t>
        </is>
      </c>
      <c r="C21" s="161">
        <f>'Прил.5 Расчет СМР и ОБ'!D85</f>
        <v/>
      </c>
      <c r="D21" s="158" t="n"/>
      <c r="E21" s="99" t="n"/>
    </row>
    <row r="22">
      <c r="B22" s="99" t="inlineStr">
        <is>
          <t>Накладные расходы, руб.</t>
        </is>
      </c>
      <c r="C22" s="197">
        <f>ROUND(C23*(C11+C15),2)</f>
        <v/>
      </c>
      <c r="D22" s="158">
        <f>C22/$C$24</f>
        <v/>
      </c>
      <c r="E22" s="158">
        <f>C22/$C$40</f>
        <v/>
      </c>
    </row>
    <row r="23">
      <c r="B23" s="99" t="inlineStr">
        <is>
          <t>Накладные расходы, %</t>
        </is>
      </c>
      <c r="C23" s="161">
        <f>'Прил.5 Расчет СМР и ОБ'!D84</f>
        <v/>
      </c>
      <c r="D23" s="158" t="n"/>
      <c r="E23" s="99" t="n"/>
    </row>
    <row r="24">
      <c r="B24" s="99" t="inlineStr">
        <is>
          <t>ВСЕГО СМР с НР и СП</t>
        </is>
      </c>
      <c r="C24" s="197">
        <f>C19+C20+C22</f>
        <v/>
      </c>
      <c r="D24" s="158">
        <f>C24/$C$24</f>
        <v/>
      </c>
      <c r="E24" s="158">
        <f>C24/$C$40</f>
        <v/>
      </c>
    </row>
    <row r="25" ht="25.5" customHeight="1" s="204">
      <c r="B25" s="99" t="inlineStr">
        <is>
          <t>ВСЕГО стоимость оборудования, в том числе</t>
        </is>
      </c>
      <c r="C25" s="197">
        <f>'Прил.5 Расчет СМР и ОБ'!J37</f>
        <v/>
      </c>
      <c r="D25" s="158" t="n"/>
      <c r="E25" s="158">
        <f>C25/$C$40</f>
        <v/>
      </c>
    </row>
    <row r="26" ht="25.5" customHeight="1" s="204">
      <c r="B26" s="99" t="inlineStr">
        <is>
          <t>стоимость оборудования технологического</t>
        </is>
      </c>
      <c r="C26" s="197">
        <f>'Прил.5 Расчет СМР и ОБ'!J38</f>
        <v/>
      </c>
      <c r="D26" s="158" t="n"/>
      <c r="E26" s="158">
        <f>C26/$C$40</f>
        <v/>
      </c>
    </row>
    <row r="27">
      <c r="B27" s="99" t="inlineStr">
        <is>
          <t>ИТОГО (СМР + ОБОРУДОВАНИЕ)</t>
        </is>
      </c>
      <c r="C27" s="160">
        <f>C24+C25</f>
        <v/>
      </c>
      <c r="D27" s="158" t="n"/>
      <c r="E27" s="158">
        <f>C27/$C$40</f>
        <v/>
      </c>
    </row>
    <row r="28" ht="33" customHeight="1" s="204">
      <c r="B28" s="99" t="inlineStr">
        <is>
          <t>ПРОЧ. ЗАТР., УЧТЕННЫЕ ПОКАЗАТЕЛЕМ,  в том числе</t>
        </is>
      </c>
      <c r="C28" s="99" t="n"/>
      <c r="D28" s="99" t="n"/>
      <c r="E28" s="99" t="n"/>
      <c r="F28" s="159" t="n"/>
    </row>
    <row r="29" ht="25.5" customHeight="1" s="204">
      <c r="B29" s="99" t="inlineStr">
        <is>
          <t>Временные здания и сооружения - 3,9%</t>
        </is>
      </c>
      <c r="C29" s="160">
        <f>ROUND(C24*3.9%,2)</f>
        <v/>
      </c>
      <c r="D29" s="99" t="n"/>
      <c r="E29" s="158" t="n">
        <v>0.039</v>
      </c>
    </row>
    <row r="30" ht="38.25" customHeight="1" s="204">
      <c r="B30" s="99" t="inlineStr">
        <is>
          <t>Дополнительные затраты при производстве строительно-монтажных работ в зимнее время - 2,1%</t>
        </is>
      </c>
      <c r="C30" s="160">
        <f>ROUND((C24+C29)*2.1%,2)</f>
        <v/>
      </c>
      <c r="D30" s="99" t="n"/>
      <c r="E30" s="158" t="n">
        <v>0.021</v>
      </c>
      <c r="F30" s="159" t="n"/>
    </row>
    <row r="31">
      <c r="B31" s="99" t="inlineStr">
        <is>
          <t>Пусконаладочные работы</t>
        </is>
      </c>
      <c r="C31" s="191" t="n">
        <v>443260.18018018</v>
      </c>
      <c r="D31" s="99" t="n"/>
      <c r="E31" s="158">
        <f>C31/$C$40</f>
        <v/>
      </c>
    </row>
    <row r="32" ht="25.5" customHeight="1" s="204">
      <c r="B32" s="99" t="inlineStr">
        <is>
          <t>Затраты по перевозке работников к месту работы и обратно</t>
        </is>
      </c>
      <c r="C32" s="160">
        <f>ROUND(C27*0%,2)</f>
        <v/>
      </c>
      <c r="D32" s="99" t="n"/>
      <c r="E32" s="158">
        <f>C32/$C$40</f>
        <v/>
      </c>
    </row>
    <row r="33" ht="25.5" customHeight="1" s="204">
      <c r="B33" s="99" t="inlineStr">
        <is>
          <t>Затраты, связанные с осуществлением работ вахтовым методом</t>
        </is>
      </c>
      <c r="C33" s="160">
        <f>ROUND(C28*0%,2)</f>
        <v/>
      </c>
      <c r="D33" s="99" t="n"/>
      <c r="E33" s="158">
        <f>C33/$C$40</f>
        <v/>
      </c>
    </row>
    <row r="34" ht="51" customHeight="1" s="204">
      <c r="B34" s="99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60">
        <f>ROUND(C29*0%,2)</f>
        <v/>
      </c>
      <c r="D34" s="99" t="n"/>
      <c r="E34" s="158">
        <f>C34/$C$40</f>
        <v/>
      </c>
      <c r="H34" s="164" t="n"/>
    </row>
    <row r="35" ht="76.7" customHeight="1" s="204">
      <c r="B35" s="99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60">
        <f>ROUND(C30*0%,2)</f>
        <v/>
      </c>
      <c r="D35" s="99" t="n"/>
      <c r="E35" s="158">
        <f>C35/$C$40</f>
        <v/>
      </c>
    </row>
    <row r="36" ht="25.5" customHeight="1" s="204">
      <c r="B36" s="99" t="inlineStr">
        <is>
          <t>Строительный контроль и содержание службы заказчика - 2,14%</t>
        </is>
      </c>
      <c r="C36" s="160">
        <f>ROUND((C27+C32+C33+C34+C35+C29+C31+C30)*2.14%,2)</f>
        <v/>
      </c>
      <c r="D36" s="99" t="n"/>
      <c r="E36" s="158">
        <f>C36/$C$40</f>
        <v/>
      </c>
      <c r="G36" s="182" t="n"/>
      <c r="L36" s="159" t="n"/>
    </row>
    <row r="37">
      <c r="B37" s="99" t="inlineStr">
        <is>
          <t>Авторский надзор - 0,2%</t>
        </is>
      </c>
      <c r="C37" s="160">
        <f>ROUND((C27+C32+C33+C34+C35+C29+C31+C30)*0.2%,2)</f>
        <v/>
      </c>
      <c r="D37" s="99" t="n"/>
      <c r="E37" s="158">
        <f>C37/$C$40</f>
        <v/>
      </c>
      <c r="G37" s="183" t="n"/>
      <c r="L37" s="159" t="n"/>
    </row>
    <row r="38" ht="38.25" customHeight="1" s="204">
      <c r="B38" s="99" t="inlineStr">
        <is>
          <t>ИТОГО (СМР+ОБОРУДОВАНИЕ+ПРОЧ. ЗАТР., УЧТЕННЫЕ ПОКАЗАТЕЛЕМ)</t>
        </is>
      </c>
      <c r="C38" s="197">
        <f>C27+C32+C33+C34+C35+C29+C31+C30+C36+C37</f>
        <v/>
      </c>
      <c r="D38" s="99" t="n"/>
      <c r="E38" s="158">
        <f>C38/$C$40</f>
        <v/>
      </c>
    </row>
    <row r="39" ht="13.7" customHeight="1" s="204">
      <c r="B39" s="99" t="inlineStr">
        <is>
          <t>Непредвиденные расходы</t>
        </is>
      </c>
      <c r="C39" s="197">
        <f>ROUND(C38*3%,2)</f>
        <v/>
      </c>
      <c r="D39" s="99" t="n"/>
      <c r="E39" s="158">
        <f>C39/$C$38</f>
        <v/>
      </c>
    </row>
    <row r="40">
      <c r="B40" s="99" t="inlineStr">
        <is>
          <t>ВСЕГО:</t>
        </is>
      </c>
      <c r="C40" s="197">
        <f>C39+C38</f>
        <v/>
      </c>
      <c r="D40" s="99" t="n"/>
      <c r="E40" s="158">
        <f>C40/$C$40</f>
        <v/>
      </c>
    </row>
    <row r="41">
      <c r="B41" s="99" t="inlineStr">
        <is>
          <t>ИТОГО ПОКАЗАТЕЛЬ НА ЕД. ИЗМ.</t>
        </is>
      </c>
      <c r="C41" s="197">
        <f>C40/'Прил.5 Расчет СМР и ОБ'!E88</f>
        <v/>
      </c>
      <c r="D41" s="99" t="n"/>
      <c r="E41" s="99" t="n"/>
    </row>
    <row r="42">
      <c r="B42" s="199" t="n"/>
      <c r="C42" s="192" t="n"/>
      <c r="D42" s="192" t="n"/>
      <c r="E42" s="192" t="n"/>
    </row>
    <row r="43">
      <c r="B43" s="199" t="inlineStr">
        <is>
          <t>Составил ____________________________ Е.Р. Брызгалова</t>
        </is>
      </c>
      <c r="C43" s="192" t="n"/>
      <c r="D43" s="192" t="n"/>
      <c r="E43" s="192" t="n"/>
    </row>
    <row r="44">
      <c r="B44" s="199" t="inlineStr">
        <is>
          <t xml:space="preserve">(должность, подпись, инициалы, фамилия) </t>
        </is>
      </c>
      <c r="C44" s="192" t="n"/>
      <c r="D44" s="192" t="n"/>
      <c r="E44" s="192" t="n"/>
    </row>
    <row r="45">
      <c r="B45" s="199" t="n"/>
      <c r="C45" s="192" t="n"/>
      <c r="D45" s="192" t="n"/>
      <c r="E45" s="192" t="n"/>
    </row>
    <row r="46">
      <c r="B46" s="199" t="inlineStr">
        <is>
          <t>Проверил ____________________________ А.В. Костянецкая</t>
        </is>
      </c>
      <c r="C46" s="192" t="n"/>
      <c r="D46" s="192" t="n"/>
      <c r="E46" s="192" t="n"/>
    </row>
    <row r="47">
      <c r="B47" s="257" t="inlineStr">
        <is>
          <t>(должность, подпись, инициалы, фамилия)</t>
        </is>
      </c>
      <c r="D47" s="192" t="n"/>
      <c r="E47" s="192" t="n"/>
    </row>
    <row r="49">
      <c r="B49" s="192" t="n"/>
      <c r="C49" s="192" t="n"/>
      <c r="D49" s="192" t="n"/>
      <c r="E49" s="192" t="n"/>
    </row>
    <row r="50">
      <c r="B50" s="192" t="n"/>
      <c r="C50" s="192" t="n"/>
      <c r="D50" s="192" t="n"/>
      <c r="E50" s="19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T94"/>
  <sheetViews>
    <sheetView tabSelected="1" view="pageBreakPreview" zoomScale="70" zoomScaleSheetLayoutView="70" workbookViewId="0">
      <selection activeCell="W35" sqref="W35"/>
    </sheetView>
  </sheetViews>
  <sheetFormatPr baseColWidth="8" defaultColWidth="9.140625" defaultRowHeight="15" outlineLevelRow="1"/>
  <cols>
    <col width="5.7109375" customWidth="1" style="202" min="1" max="1"/>
    <col width="22.5703125" customWidth="1" style="202" min="2" max="2"/>
    <col width="39.140625" customWidth="1" style="202" min="3" max="3"/>
    <col width="10.7109375" customWidth="1" style="202" min="4" max="4"/>
    <col width="12.7109375" customWidth="1" style="202" min="5" max="5"/>
    <col width="15" customWidth="1" style="202" min="6" max="6"/>
    <col width="13.42578125" customWidth="1" style="202" min="7" max="7"/>
    <col width="12.7109375" customWidth="1" style="202" min="8" max="8"/>
    <col width="13.85546875" customWidth="1" style="202" min="9" max="9"/>
    <col width="17.5703125" customWidth="1" style="202" min="10" max="10"/>
    <col width="10.85546875" customWidth="1" style="202" min="11" max="11"/>
    <col width="9.140625" customWidth="1" style="202" min="12" max="12"/>
  </cols>
  <sheetData>
    <row r="1">
      <c r="M1" s="202" t="n"/>
      <c r="N1" s="202" t="n"/>
    </row>
    <row r="2" ht="15.75" customHeight="1" s="204">
      <c r="H2" s="273" t="inlineStr">
        <is>
          <t>Приложение №5</t>
        </is>
      </c>
      <c r="M2" s="202" t="n"/>
      <c r="N2" s="202" t="n"/>
    </row>
    <row r="3">
      <c r="M3" s="202" t="n"/>
      <c r="N3" s="202" t="n"/>
    </row>
    <row r="4" ht="12.75" customFormat="1" customHeight="1" s="192">
      <c r="A4" s="238" t="inlineStr">
        <is>
          <t>Расчет стоимости СМР и оборудования</t>
        </is>
      </c>
    </row>
    <row r="5" ht="12.75" customFormat="1" customHeight="1" s="192">
      <c r="A5" s="238" t="n"/>
      <c r="B5" s="238" t="n"/>
      <c r="C5" s="287" t="n"/>
      <c r="D5" s="238" t="n"/>
      <c r="E5" s="238" t="n"/>
      <c r="F5" s="238" t="n"/>
      <c r="G5" s="238" t="n"/>
      <c r="H5" s="238" t="n"/>
      <c r="I5" s="238" t="n"/>
      <c r="J5" s="238" t="n"/>
    </row>
    <row r="6" ht="12.75" customFormat="1" customHeight="1" s="192">
      <c r="A6" s="134" t="inlineStr">
        <is>
          <t>Наименование разрабатываемого показателя УНЦ</t>
        </is>
      </c>
      <c r="B6" s="133" t="n"/>
      <c r="C6" s="133" t="n"/>
      <c r="D6" s="277" t="inlineStr">
        <is>
          <t>РЗА Ячейка Т110-220 кВ 63 МВА и более</t>
        </is>
      </c>
    </row>
    <row r="7" ht="12.75" customFormat="1" customHeight="1" s="192">
      <c r="A7" s="241" t="inlineStr">
        <is>
          <t>Единица измерения  — 1 комплект</t>
        </is>
      </c>
      <c r="I7" s="256" t="n"/>
      <c r="J7" s="256" t="n"/>
    </row>
    <row r="8" ht="13.7" customFormat="1" customHeight="1" s="192">
      <c r="A8" s="241" t="n"/>
    </row>
    <row r="9" ht="27" customHeight="1" s="204">
      <c r="A9" s="265" t="inlineStr">
        <is>
          <t>№ пп.</t>
        </is>
      </c>
      <c r="B9" s="265" t="inlineStr">
        <is>
          <t>Код ресурса</t>
        </is>
      </c>
      <c r="C9" s="265" t="inlineStr">
        <is>
          <t>Наименование</t>
        </is>
      </c>
      <c r="D9" s="265" t="inlineStr">
        <is>
          <t>Ед. изм.</t>
        </is>
      </c>
      <c r="E9" s="265" t="inlineStr">
        <is>
          <t>Кол-во единиц по проектным данным</t>
        </is>
      </c>
      <c r="F9" s="265" t="inlineStr">
        <is>
          <t>Сметная стоимость в ценах на 01.01.2000 (руб.)</t>
        </is>
      </c>
      <c r="G9" s="332" t="n"/>
      <c r="H9" s="265" t="inlineStr">
        <is>
          <t>Удельный вес, %</t>
        </is>
      </c>
      <c r="I9" s="265" t="inlineStr">
        <is>
          <t>Сметная стоимость в ценах на 01.01.2023 (руб.)</t>
        </is>
      </c>
      <c r="J9" s="332" t="n"/>
      <c r="M9" s="202" t="n"/>
      <c r="N9" s="202" t="n"/>
    </row>
    <row r="10" ht="28.5" customHeight="1" s="204">
      <c r="A10" s="334" t="n"/>
      <c r="B10" s="334" t="n"/>
      <c r="C10" s="334" t="n"/>
      <c r="D10" s="334" t="n"/>
      <c r="E10" s="334" t="n"/>
      <c r="F10" s="265" t="inlineStr">
        <is>
          <t>на ед. изм.</t>
        </is>
      </c>
      <c r="G10" s="265" t="inlineStr">
        <is>
          <t>общая</t>
        </is>
      </c>
      <c r="H10" s="334" t="n"/>
      <c r="I10" s="265" t="inlineStr">
        <is>
          <t>на ед. изм.</t>
        </is>
      </c>
      <c r="J10" s="265" t="inlineStr">
        <is>
          <t>общая</t>
        </is>
      </c>
      <c r="M10" s="202" t="n"/>
      <c r="N10" s="202" t="n"/>
    </row>
    <row r="11">
      <c r="A11" s="265" t="n">
        <v>1</v>
      </c>
      <c r="B11" s="265" t="n">
        <v>2</v>
      </c>
      <c r="C11" s="265" t="n">
        <v>3</v>
      </c>
      <c r="D11" s="265" t="n">
        <v>4</v>
      </c>
      <c r="E11" s="265" t="n">
        <v>5</v>
      </c>
      <c r="F11" s="265" t="n">
        <v>6</v>
      </c>
      <c r="G11" s="265" t="n">
        <v>7</v>
      </c>
      <c r="H11" s="265" t="n">
        <v>8</v>
      </c>
      <c r="I11" s="259" t="n">
        <v>9</v>
      </c>
      <c r="J11" s="259" t="n">
        <v>10</v>
      </c>
      <c r="M11" s="202" t="n"/>
      <c r="N11" s="202" t="n"/>
    </row>
    <row r="12">
      <c r="A12" s="265" t="n"/>
      <c r="B12" s="263" t="inlineStr">
        <is>
          <t>Затраты труда рабочих-строителей</t>
        </is>
      </c>
      <c r="C12" s="331" t="n"/>
      <c r="D12" s="331" t="n"/>
      <c r="E12" s="331" t="n"/>
      <c r="F12" s="331" t="n"/>
      <c r="G12" s="331" t="n"/>
      <c r="H12" s="332" t="n"/>
      <c r="I12" s="122" t="n"/>
      <c r="J12" s="122" t="n"/>
    </row>
    <row r="13" ht="25.5" customHeight="1" s="204">
      <c r="A13" s="265" t="n">
        <v>1</v>
      </c>
      <c r="B13" s="132" t="inlineStr">
        <is>
          <t>1-4-0</t>
        </is>
      </c>
      <c r="C13" s="264" t="inlineStr">
        <is>
          <t>Затраты труда рабочих-строителей среднего разряда (4,0)</t>
        </is>
      </c>
      <c r="D13" s="265" t="inlineStr">
        <is>
          <t>чел.-ч.</t>
        </is>
      </c>
      <c r="E13" s="123">
        <f>G13/F13</f>
        <v/>
      </c>
      <c r="F13" s="26" t="n">
        <v>9.619999999999999</v>
      </c>
      <c r="G13" s="26" t="n">
        <v>762.61</v>
      </c>
      <c r="H13" s="125">
        <f>G13/G14</f>
        <v/>
      </c>
      <c r="I13" s="26">
        <f>ФОТр.тек.!E13</f>
        <v/>
      </c>
      <c r="J13" s="26">
        <f>ROUND(I13*E13,2)</f>
        <v/>
      </c>
    </row>
    <row r="14" ht="25.5" customFormat="1" customHeight="1" s="202">
      <c r="A14" s="265" t="n"/>
      <c r="B14" s="265" t="n"/>
      <c r="C14" s="263" t="inlineStr">
        <is>
          <t>Итого по разделу "Затраты труда рабочих-строителей"</t>
        </is>
      </c>
      <c r="D14" s="265" t="inlineStr">
        <is>
          <t>чел.-ч.</t>
        </is>
      </c>
      <c r="E14" s="123">
        <f>SUM(E13:E13)</f>
        <v/>
      </c>
      <c r="F14" s="26" t="n"/>
      <c r="G14" s="26">
        <f>SUM(G13:G13)</f>
        <v/>
      </c>
      <c r="H14" s="268" t="n">
        <v>1</v>
      </c>
      <c r="I14" s="122" t="n"/>
      <c r="J14" s="26">
        <f>SUM(J13:J13)</f>
        <v/>
      </c>
    </row>
    <row r="15" ht="14.25" customFormat="1" customHeight="1" s="202">
      <c r="A15" s="265" t="n"/>
      <c r="B15" s="264" t="inlineStr">
        <is>
          <t>Затраты труда машинистов</t>
        </is>
      </c>
      <c r="C15" s="331" t="n"/>
      <c r="D15" s="331" t="n"/>
      <c r="E15" s="331" t="n"/>
      <c r="F15" s="331" t="n"/>
      <c r="G15" s="331" t="n"/>
      <c r="H15" s="332" t="n"/>
      <c r="I15" s="122" t="n"/>
      <c r="J15" s="122" t="n"/>
    </row>
    <row r="16" ht="14.25" customFormat="1" customHeight="1" s="202">
      <c r="A16" s="265" t="n">
        <v>2</v>
      </c>
      <c r="B16" s="265" t="n">
        <v>2</v>
      </c>
      <c r="C16" s="264" t="inlineStr">
        <is>
          <t>Затраты труда машинистов</t>
        </is>
      </c>
      <c r="D16" s="265" t="inlineStr">
        <is>
          <t>чел.-ч.</t>
        </is>
      </c>
      <c r="E16" s="123" t="n">
        <v>3.82</v>
      </c>
      <c r="F16" s="26">
        <f>G16/E16</f>
        <v/>
      </c>
      <c r="G16" s="26" t="n">
        <v>50.09</v>
      </c>
      <c r="H16" s="268" t="n">
        <v>1</v>
      </c>
      <c r="I16" s="26">
        <f>ROUND(F16*Прил.10!D11,2)</f>
        <v/>
      </c>
      <c r="J16" s="26">
        <f>ROUND(I16*E16,2)</f>
        <v/>
      </c>
    </row>
    <row r="17" ht="14.25" customFormat="1" customHeight="1" s="202">
      <c r="A17" s="265" t="n"/>
      <c r="B17" s="263" t="inlineStr">
        <is>
          <t>Машины и механизмы</t>
        </is>
      </c>
      <c r="C17" s="331" t="n"/>
      <c r="D17" s="331" t="n"/>
      <c r="E17" s="331" t="n"/>
      <c r="F17" s="331" t="n"/>
      <c r="G17" s="331" t="n"/>
      <c r="H17" s="332" t="n"/>
      <c r="I17" s="122" t="n"/>
      <c r="J17" s="122" t="n"/>
    </row>
    <row r="18" ht="14.25" customFormat="1" customHeight="1" s="202">
      <c r="A18" s="265" t="n"/>
      <c r="B18" s="264" t="inlineStr">
        <is>
          <t>Основные машины и механизмы</t>
        </is>
      </c>
      <c r="C18" s="331" t="n"/>
      <c r="D18" s="331" t="n"/>
      <c r="E18" s="331" t="n"/>
      <c r="F18" s="331" t="n"/>
      <c r="G18" s="331" t="n"/>
      <c r="H18" s="332" t="n"/>
      <c r="I18" s="122" t="n"/>
      <c r="J18" s="122" t="n"/>
    </row>
    <row r="19" ht="25.5" customFormat="1" customHeight="1" s="202">
      <c r="A19" s="265" t="n">
        <v>3</v>
      </c>
      <c r="B19" s="132" t="inlineStr">
        <is>
          <t>91.05.04-010</t>
        </is>
      </c>
      <c r="C19" s="264" t="inlineStr">
        <is>
          <t>Краны мостовые электрические, грузоподъемность 50 т</t>
        </is>
      </c>
      <c r="D19" s="265" t="inlineStr">
        <is>
          <t>маш.час</t>
        </is>
      </c>
      <c r="E19" s="123" t="n">
        <v>1.15</v>
      </c>
      <c r="F19" s="267" t="n">
        <v>197.01</v>
      </c>
      <c r="G19" s="26">
        <f>ROUND(E19*F19,2)</f>
        <v/>
      </c>
      <c r="H19" s="125">
        <f>G19/$G$29</f>
        <v/>
      </c>
      <c r="I19" s="26">
        <f>ROUND(F19*Прил.10!$D$12,2)</f>
        <v/>
      </c>
      <c r="J19" s="26">
        <f>ROUND(I19*E19,2)</f>
        <v/>
      </c>
    </row>
    <row r="20" ht="25.5" customFormat="1" customHeight="1" s="202">
      <c r="A20" s="265" t="n">
        <v>4</v>
      </c>
      <c r="B20" s="132" t="inlineStr">
        <is>
          <t>91.05.05-014</t>
        </is>
      </c>
      <c r="C20" s="264" t="inlineStr">
        <is>
          <t>Краны на автомобильном ходу, грузоподъемность 10 т</t>
        </is>
      </c>
      <c r="D20" s="265" t="inlineStr">
        <is>
          <t>маш.час</t>
        </is>
      </c>
      <c r="E20" s="123" t="n">
        <v>1.32</v>
      </c>
      <c r="F20" s="267" t="n">
        <v>111.99</v>
      </c>
      <c r="G20" s="26">
        <f>ROUND(E20*F20,2)</f>
        <v/>
      </c>
      <c r="H20" s="125">
        <f>G20/$G$29</f>
        <v/>
      </c>
      <c r="I20" s="26">
        <f>ROUND(F20*Прил.10!$D$12,2)</f>
        <v/>
      </c>
      <c r="J20" s="26">
        <f>ROUND(I20*E20,2)</f>
        <v/>
      </c>
    </row>
    <row r="21" ht="25.5" customFormat="1" customHeight="1" s="202">
      <c r="A21" s="265" t="n">
        <v>5</v>
      </c>
      <c r="B21" s="132" t="inlineStr">
        <is>
          <t>91.17.04-233</t>
        </is>
      </c>
      <c r="C21" s="264" t="inlineStr">
        <is>
          <t>Установки для сварки: ручной дуговой (постоянного тока)</t>
        </is>
      </c>
      <c r="D21" s="265" t="inlineStr">
        <is>
          <t>маш.час</t>
        </is>
      </c>
      <c r="E21" s="123" t="n">
        <v>17.44</v>
      </c>
      <c r="F21" s="267" t="n">
        <v>8.1</v>
      </c>
      <c r="G21" s="26">
        <f>ROUND(E21*F21,2)</f>
        <v/>
      </c>
      <c r="H21" s="125">
        <f>G21/$G$29</f>
        <v/>
      </c>
      <c r="I21" s="26">
        <f>ROUND(F21*Прил.10!$D$12,2)</f>
        <v/>
      </c>
      <c r="J21" s="26">
        <f>ROUND(I21*E21,2)</f>
        <v/>
      </c>
    </row>
    <row r="22" ht="25.5" customFormat="1" customHeight="1" s="202">
      <c r="A22" s="265" t="n">
        <v>6</v>
      </c>
      <c r="B22" s="132" t="inlineStr">
        <is>
          <t>91.14.02-001</t>
        </is>
      </c>
      <c r="C22" s="264" t="inlineStr">
        <is>
          <t>Автомобили бортовые, грузоподъемность: до 5 т</t>
        </is>
      </c>
      <c r="D22" s="265" t="inlineStr">
        <is>
          <t>маш.час</t>
        </is>
      </c>
      <c r="E22" s="123" t="n">
        <v>1.32</v>
      </c>
      <c r="F22" s="267" t="n">
        <v>65.70999999999999</v>
      </c>
      <c r="G22" s="26">
        <f>ROUND(E22*F22,2)</f>
        <v/>
      </c>
      <c r="H22" s="125">
        <f>G22/$G$29</f>
        <v/>
      </c>
      <c r="I22" s="26">
        <f>ROUND(F22*Прил.10!$D$12,2)</f>
        <v/>
      </c>
      <c r="J22" s="26">
        <f>ROUND(I22*E22,2)</f>
        <v/>
      </c>
    </row>
    <row r="23" ht="14.25" customFormat="1" customHeight="1" s="202">
      <c r="A23" s="265" t="n"/>
      <c r="B23" s="265" t="n"/>
      <c r="C23" s="264" t="inlineStr">
        <is>
          <t>Итого основные машины и механизмы</t>
        </is>
      </c>
      <c r="D23" s="265" t="n"/>
      <c r="E23" s="123" t="n"/>
      <c r="F23" s="26" t="n"/>
      <c r="G23" s="26">
        <f>SUM(G19:G22)</f>
        <v/>
      </c>
      <c r="H23" s="268">
        <f>G23/G29</f>
        <v/>
      </c>
      <c r="I23" s="124" t="n"/>
      <c r="J23" s="26">
        <f>SUM(J19:J22)</f>
        <v/>
      </c>
    </row>
    <row r="24" hidden="1" outlineLevel="1" ht="25.5" customFormat="1" customHeight="1" s="202">
      <c r="A24" s="265" t="n">
        <v>7</v>
      </c>
      <c r="B24" s="132" t="inlineStr">
        <is>
          <t>91.17.04-161</t>
        </is>
      </c>
      <c r="C24" s="264" t="inlineStr">
        <is>
          <t>Полуавтоматы сварочные номинальным сварочным током 40-500 А</t>
        </is>
      </c>
      <c r="D24" s="265" t="inlineStr">
        <is>
          <t>маш.час</t>
        </is>
      </c>
      <c r="E24" s="123" t="n">
        <v>0.36</v>
      </c>
      <c r="F24" s="267" t="n">
        <v>16.44</v>
      </c>
      <c r="G24" s="26">
        <f>ROUND(E24*F24,2)</f>
        <v/>
      </c>
      <c r="H24" s="125">
        <f>G24/$G$29</f>
        <v/>
      </c>
      <c r="I24" s="26">
        <f>ROUND(F24*Прил.10!$D$12,2)</f>
        <v/>
      </c>
      <c r="J24" s="26">
        <f>ROUND(I24*E24,2)</f>
        <v/>
      </c>
    </row>
    <row r="25" hidden="1" outlineLevel="1" ht="25.5" customFormat="1" customHeight="1" s="202">
      <c r="A25" s="265" t="n">
        <v>8</v>
      </c>
      <c r="B25" s="132" t="inlineStr">
        <is>
          <t>91.06.06-042</t>
        </is>
      </c>
      <c r="C25" s="264" t="inlineStr">
        <is>
          <t>Подъемники гидравлические высотой подъема 10 м</t>
        </is>
      </c>
      <c r="D25" s="265" t="inlineStr">
        <is>
          <t>маш.час</t>
        </is>
      </c>
      <c r="E25" s="123" t="n">
        <v>0.04</v>
      </c>
      <c r="F25" s="267" t="n">
        <v>29.6</v>
      </c>
      <c r="G25" s="26">
        <f>ROUND(E25*F25,2)</f>
        <v/>
      </c>
      <c r="H25" s="125">
        <f>G25/$G$29</f>
        <v/>
      </c>
      <c r="I25" s="26">
        <f>ROUND(F25*Прил.10!$D$12,2)</f>
        <v/>
      </c>
      <c r="J25" s="26">
        <f>ROUND(I25*E25,2)</f>
        <v/>
      </c>
    </row>
    <row r="26" hidden="1" outlineLevel="1" ht="25.5" customFormat="1" customHeight="1" s="202">
      <c r="A26" s="265" t="n">
        <v>9</v>
      </c>
      <c r="B26" s="132" t="inlineStr">
        <is>
          <t>91.06.03-061</t>
        </is>
      </c>
      <c r="C26" s="264" t="inlineStr">
        <is>
          <t>Лебедки электрические тяговым усилием: до 12,26 кН (1,25 т)</t>
        </is>
      </c>
      <c r="D26" s="265" t="inlineStr">
        <is>
          <t>маш.час</t>
        </is>
      </c>
      <c r="E26" s="123" t="n">
        <v>0.02</v>
      </c>
      <c r="F26" s="267" t="n">
        <v>3.28</v>
      </c>
      <c r="G26" s="26">
        <f>ROUND(E26*F26,2)</f>
        <v/>
      </c>
      <c r="H26" s="125">
        <f>G26/$G$29</f>
        <v/>
      </c>
      <c r="I26" s="26">
        <f>ROUND(F26*Прил.10!$D$12,2)</f>
        <v/>
      </c>
      <c r="J26" s="26">
        <f>ROUND(I26*E26,2)</f>
        <v/>
      </c>
    </row>
    <row r="27" hidden="1" outlineLevel="1" ht="25.5" customFormat="1" customHeight="1" s="202">
      <c r="A27" s="265" t="n">
        <v>10</v>
      </c>
      <c r="B27" s="132" t="inlineStr">
        <is>
          <t>91.06.01-003</t>
        </is>
      </c>
      <c r="C27" s="264" t="inlineStr">
        <is>
          <t>Домкраты гидравлические, грузоподъемность 63-100 т</t>
        </is>
      </c>
      <c r="D27" s="265" t="inlineStr">
        <is>
          <t>маш.час</t>
        </is>
      </c>
      <c r="E27" s="123" t="n">
        <v>0.02</v>
      </c>
      <c r="F27" s="267" t="n">
        <v>0.9</v>
      </c>
      <c r="G27" s="26">
        <f>ROUND(E27*F27,2)</f>
        <v/>
      </c>
      <c r="H27" s="125">
        <f>G27/$G$29</f>
        <v/>
      </c>
      <c r="I27" s="26">
        <f>ROUND(F27*Прил.10!$D$12,2)</f>
        <v/>
      </c>
      <c r="J27" s="26">
        <f>ROUND(I27*E27,2)</f>
        <v/>
      </c>
    </row>
    <row r="28" collapsed="1" ht="14.25" customFormat="1" customHeight="1" s="202">
      <c r="A28" s="265" t="n"/>
      <c r="B28" s="265" t="n"/>
      <c r="C28" s="264" t="inlineStr">
        <is>
          <t>Итого прочие машины и механизмы</t>
        </is>
      </c>
      <c r="D28" s="265" t="n"/>
      <c r="E28" s="266" t="n"/>
      <c r="F28" s="26" t="n"/>
      <c r="G28" s="124">
        <f>SUM(G24:G27)</f>
        <v/>
      </c>
      <c r="H28" s="125">
        <f>G28/G29</f>
        <v/>
      </c>
      <c r="I28" s="26" t="n"/>
      <c r="J28" s="26">
        <f>SUM(J24:J27)</f>
        <v/>
      </c>
    </row>
    <row r="29" ht="25.5" customFormat="1" customHeight="1" s="202">
      <c r="A29" s="265" t="n"/>
      <c r="B29" s="265" t="n"/>
      <c r="C29" s="263" t="inlineStr">
        <is>
          <t>Итого по разделу «Машины и механизмы»</t>
        </is>
      </c>
      <c r="D29" s="265" t="n"/>
      <c r="E29" s="266" t="n"/>
      <c r="F29" s="26" t="n"/>
      <c r="G29" s="26">
        <f>G28+G23</f>
        <v/>
      </c>
      <c r="H29" s="126" t="n">
        <v>1</v>
      </c>
      <c r="I29" s="127" t="n"/>
      <c r="J29" s="128">
        <f>J28+J23</f>
        <v/>
      </c>
    </row>
    <row r="30" ht="14.25" customFormat="1" customHeight="1" s="202">
      <c r="A30" s="265" t="n"/>
      <c r="B30" s="263" t="inlineStr">
        <is>
          <t>Оборудование</t>
        </is>
      </c>
      <c r="C30" s="331" t="n"/>
      <c r="D30" s="331" t="n"/>
      <c r="E30" s="331" t="n"/>
      <c r="F30" s="331" t="n"/>
      <c r="G30" s="331" t="n"/>
      <c r="H30" s="332" t="n"/>
      <c r="I30" s="122" t="n"/>
      <c r="J30" s="122" t="n"/>
    </row>
    <row r="31">
      <c r="A31" s="265" t="n"/>
      <c r="B31" s="264" t="inlineStr">
        <is>
          <t>Основное оборудование</t>
        </is>
      </c>
      <c r="C31" s="331" t="n"/>
      <c r="D31" s="331" t="n"/>
      <c r="E31" s="331" t="n"/>
      <c r="F31" s="331" t="n"/>
      <c r="G31" s="331" t="n"/>
      <c r="H31" s="332" t="n"/>
      <c r="I31" s="122" t="n"/>
      <c r="J31" s="122" t="n"/>
    </row>
    <row r="32" ht="25.5" customFormat="1" customHeight="1" s="202">
      <c r="A32" s="185" t="n">
        <v>11</v>
      </c>
      <c r="B32" s="185" t="inlineStr">
        <is>
          <t>БЦ.30_1.41</t>
        </is>
      </c>
      <c r="C32" s="184" t="inlineStr">
        <is>
          <t>Комплект защит трансформатора 110-220 кВ и ошиновки 6-35 кВ типа ШЭТ 210.01-0</t>
        </is>
      </c>
      <c r="D32" s="185" t="inlineStr">
        <is>
          <t>шт</t>
        </is>
      </c>
      <c r="E32" s="186" t="n">
        <v>1</v>
      </c>
      <c r="F32" s="187">
        <f>ROUND(I32/Прил.10!$D$14,2)</f>
        <v/>
      </c>
      <c r="G32" s="188">
        <f>ROUND(E32*F32,2)</f>
        <v/>
      </c>
      <c r="H32" s="189">
        <f>G32/$G$37</f>
        <v/>
      </c>
      <c r="I32" s="188" t="n">
        <v>3680000</v>
      </c>
      <c r="J32" s="188">
        <f>ROUND(I32*E32,2)</f>
        <v/>
      </c>
    </row>
    <row r="33" ht="25.5" customFormat="1" customHeight="1" s="202">
      <c r="A33" s="185" t="n">
        <v>12</v>
      </c>
      <c r="B33" s="185" t="inlineStr">
        <is>
          <t>БЦ.30_1.42</t>
        </is>
      </c>
      <c r="C33" s="184" t="inlineStr">
        <is>
          <t>Комплект защит трансформатора 110-220 кВ типа ШЭТ 210.02-0</t>
        </is>
      </c>
      <c r="D33" s="185" t="inlineStr">
        <is>
          <t>шт</t>
        </is>
      </c>
      <c r="E33" s="186" t="n">
        <v>1</v>
      </c>
      <c r="F33" s="187">
        <f>ROUND(I33/Прил.10!$D$14,2)</f>
        <v/>
      </c>
      <c r="G33" s="188">
        <f>ROUND(E33*F33,2)</f>
        <v/>
      </c>
      <c r="H33" s="189">
        <f>G33/$G$37</f>
        <v/>
      </c>
      <c r="I33" s="188" t="n">
        <v>2710000</v>
      </c>
      <c r="J33" s="188">
        <f>ROUND(I33*E33,2)</f>
        <v/>
      </c>
      <c r="T33" s="202" t="inlineStr">
        <is>
          <t>  </t>
        </is>
      </c>
    </row>
    <row r="34" ht="38.25" customFormat="1" customHeight="1" s="202">
      <c r="A34" s="185" t="n">
        <v>13</v>
      </c>
      <c r="B34" s="185" t="inlineStr">
        <is>
          <t>БЦ.30_1.62</t>
        </is>
      </c>
      <c r="C34" s="184" t="inlineStr">
        <is>
          <t>Шкаф автоматики регулирования напряжения одного трансформатора типа ШЭТ 410.03-0</t>
        </is>
      </c>
      <c r="D34" s="185" t="inlineStr">
        <is>
          <t>шт</t>
        </is>
      </c>
      <c r="E34" s="186" t="n">
        <v>1</v>
      </c>
      <c r="F34" s="187">
        <f>ROUND(I34/Прил.10!$D$14,2)</f>
        <v/>
      </c>
      <c r="G34" s="188">
        <f>ROUND(E34*F34,2)</f>
        <v/>
      </c>
      <c r="H34" s="189">
        <f>G34/$G$37</f>
        <v/>
      </c>
      <c r="I34" s="188" t="n">
        <v>1415000</v>
      </c>
      <c r="J34" s="188">
        <f>ROUND(I34*E34,2)</f>
        <v/>
      </c>
    </row>
    <row r="35">
      <c r="A35" s="185" t="n"/>
      <c r="B35" s="185" t="n"/>
      <c r="C35" s="184" t="inlineStr">
        <is>
          <t>Итого основное оборудование</t>
        </is>
      </c>
      <c r="D35" s="185" t="n"/>
      <c r="E35" s="186" t="n"/>
      <c r="F35" s="187" t="n"/>
      <c r="G35" s="188">
        <f>G32+G33+G34</f>
        <v/>
      </c>
      <c r="H35" s="189">
        <f>G35/$G$37</f>
        <v/>
      </c>
      <c r="I35" s="190" t="n"/>
      <c r="J35" s="188">
        <f>J32+J33+J34</f>
        <v/>
      </c>
    </row>
    <row r="36">
      <c r="A36" s="265" t="n"/>
      <c r="B36" s="265" t="n"/>
      <c r="C36" s="264" t="inlineStr">
        <is>
          <t>Итого прочее оборудование</t>
        </is>
      </c>
      <c r="D36" s="265" t="n"/>
      <c r="E36" s="123" t="n"/>
      <c r="F36" s="267" t="n"/>
      <c r="G36" s="26" t="n">
        <v>0</v>
      </c>
      <c r="H36" s="125">
        <f>G36/$G$37</f>
        <v/>
      </c>
      <c r="I36" s="124" t="n"/>
      <c r="J36" s="26" t="n">
        <v>0</v>
      </c>
    </row>
    <row r="37">
      <c r="A37" s="265" t="n"/>
      <c r="B37" s="265" t="n"/>
      <c r="C37" s="263" t="inlineStr">
        <is>
          <t>Итого по разделу «Оборудование»</t>
        </is>
      </c>
      <c r="D37" s="265" t="n"/>
      <c r="E37" s="266" t="n"/>
      <c r="F37" s="267" t="n"/>
      <c r="G37" s="26">
        <f>G35+G36</f>
        <v/>
      </c>
      <c r="H37" s="125">
        <f>G37/$G$37</f>
        <v/>
      </c>
      <c r="I37" s="124" t="n"/>
      <c r="J37" s="26">
        <f>J36+J35</f>
        <v/>
      </c>
    </row>
    <row r="38" ht="25.5" customHeight="1" s="204">
      <c r="A38" s="265" t="n"/>
      <c r="B38" s="265" t="n"/>
      <c r="C38" s="264" t="inlineStr">
        <is>
          <t>в том числе технологическое оборудование</t>
        </is>
      </c>
      <c r="D38" s="265" t="n"/>
      <c r="E38" s="129" t="n"/>
      <c r="F38" s="267" t="n"/>
      <c r="G38" s="26">
        <f>'Прил.6 Расчет ОБ'!G15</f>
        <v/>
      </c>
      <c r="H38" s="268" t="n"/>
      <c r="I38" s="124" t="n"/>
      <c r="J38" s="26">
        <f>J37</f>
        <v/>
      </c>
    </row>
    <row r="39" ht="14.25" customFormat="1" customHeight="1" s="202">
      <c r="A39" s="265" t="n"/>
      <c r="B39" s="263" t="inlineStr">
        <is>
          <t>Материалы</t>
        </is>
      </c>
      <c r="C39" s="331" t="n"/>
      <c r="D39" s="331" t="n"/>
      <c r="E39" s="331" t="n"/>
      <c r="F39" s="331" t="n"/>
      <c r="G39" s="331" t="n"/>
      <c r="H39" s="332" t="n"/>
      <c r="I39" s="122" t="n"/>
      <c r="J39" s="122" t="n"/>
    </row>
    <row r="40" ht="14.25" customFormat="1" customHeight="1" s="202">
      <c r="A40" s="259" t="n"/>
      <c r="B40" s="258" t="inlineStr">
        <is>
          <t>Основные материалы</t>
        </is>
      </c>
      <c r="C40" s="335" t="n"/>
      <c r="D40" s="335" t="n"/>
      <c r="E40" s="335" t="n"/>
      <c r="F40" s="335" t="n"/>
      <c r="G40" s="335" t="n"/>
      <c r="H40" s="336" t="n"/>
      <c r="I40" s="135" t="n"/>
      <c r="J40" s="135" t="n"/>
    </row>
    <row r="41" ht="24" customFormat="1" customHeight="1" s="202">
      <c r="A41" s="265" t="n">
        <v>14</v>
      </c>
      <c r="B41" s="265" t="inlineStr">
        <is>
          <t>21.1.08.03-0574</t>
        </is>
      </c>
      <c r="C41" s="264" t="inlineStr">
        <is>
          <t>Кабель контрольный КВВГЭнг(A)-LS 4х2,5</t>
        </is>
      </c>
      <c r="D41" s="265" t="inlineStr">
        <is>
          <t>1000 м</t>
        </is>
      </c>
      <c r="E41" s="129" t="n">
        <v>0.5</v>
      </c>
      <c r="F41" s="267" t="n">
        <v>32828.83</v>
      </c>
      <c r="G41" s="26">
        <f>ROUND(E41*F41,2)</f>
        <v/>
      </c>
      <c r="H41" s="125">
        <f>G41/$G$82</f>
        <v/>
      </c>
      <c r="I41" s="26">
        <f>ROUND(F41*Прил.10!$D$13,2)</f>
        <v/>
      </c>
      <c r="J41" s="26">
        <f>ROUND(I41*E41,2)</f>
        <v/>
      </c>
    </row>
    <row r="42" ht="38.25" customFormat="1" customHeight="1" s="202">
      <c r="A42" s="265" t="n">
        <v>15</v>
      </c>
      <c r="B42" s="265" t="inlineStr">
        <is>
          <t>20.5.02.02-0001</t>
        </is>
      </c>
      <c r="C42" s="264" t="inlineStr">
        <is>
          <t>Коробка клеммная взрывозащищенная SA141410(1C10-1N-1PE-1C2-1N-1PE-1FL3(C)-1FL2(C) 2Exel IT6, IP66</t>
        </is>
      </c>
      <c r="D42" s="265" t="inlineStr">
        <is>
          <t>шт</t>
        </is>
      </c>
      <c r="E42" s="129" t="n">
        <v>1</v>
      </c>
      <c r="F42" s="267" t="n">
        <v>2639.24</v>
      </c>
      <c r="G42" s="26">
        <f>ROUND(E42*F42,2)</f>
        <v/>
      </c>
      <c r="H42" s="125">
        <f>G42/$G$82</f>
        <v/>
      </c>
      <c r="I42" s="26">
        <f>ROUND(F42*Прил.10!$D$13,2)</f>
        <v/>
      </c>
      <c r="J42" s="26">
        <f>ROUND(I42*E42,2)</f>
        <v/>
      </c>
    </row>
    <row r="43" ht="14.25" customFormat="1" customHeight="1" s="202">
      <c r="A43" s="276" t="n"/>
      <c r="B43" s="137" t="n"/>
      <c r="C43" s="138" t="inlineStr">
        <is>
          <t>Итого основные материалы</t>
        </is>
      </c>
      <c r="D43" s="276" t="n"/>
      <c r="E43" s="181" t="n"/>
      <c r="F43" s="128" t="n"/>
      <c r="G43" s="128">
        <f>SUM(G41:G42)</f>
        <v/>
      </c>
      <c r="H43" s="125">
        <f>G43/$G$82</f>
        <v/>
      </c>
      <c r="I43" s="26" t="n"/>
      <c r="J43" s="128">
        <f>SUM(J41:J42)</f>
        <v/>
      </c>
    </row>
    <row r="44" hidden="1" outlineLevel="1" ht="25.5" customFormat="1" customHeight="1" s="202">
      <c r="A44" s="265" t="n">
        <v>16</v>
      </c>
      <c r="B44" s="265" t="inlineStr">
        <is>
          <t>07.2.07.04-0007</t>
        </is>
      </c>
      <c r="C44" s="264" t="inlineStr">
        <is>
          <t>Конструкции стальные индивидуальные: решетчатые сварные массой до 0,1 т</t>
        </is>
      </c>
      <c r="D44" s="265" t="inlineStr">
        <is>
          <t>т</t>
        </is>
      </c>
      <c r="E44" s="129" t="n">
        <v>0.0678</v>
      </c>
      <c r="F44" s="267" t="n">
        <v>11500</v>
      </c>
      <c r="G44" s="26">
        <f>ROUND(E44*F44,2)</f>
        <v/>
      </c>
      <c r="H44" s="125">
        <f>G44/$G$82</f>
        <v/>
      </c>
      <c r="I44" s="26">
        <f>ROUND(F44*Прил.10!$D$13,2)</f>
        <v/>
      </c>
      <c r="J44" s="26">
        <f>ROUND(I44*E44,2)</f>
        <v/>
      </c>
    </row>
    <row r="45" hidden="1" outlineLevel="1" ht="25.5" customFormat="1" customHeight="1" s="202">
      <c r="A45" s="265" t="n">
        <v>17</v>
      </c>
      <c r="B45" s="265" t="inlineStr">
        <is>
          <t>08.1.02.13-0005</t>
        </is>
      </c>
      <c r="C45" s="264" t="inlineStr">
        <is>
          <t>Рукава металлические диаметром 15 мм РЗ-Ц-Х</t>
        </is>
      </c>
      <c r="D45" s="265" t="inlineStr">
        <is>
          <t>м</t>
        </is>
      </c>
      <c r="E45" s="129" t="n">
        <v>90</v>
      </c>
      <c r="F45" s="267" t="n">
        <v>8.279999999999999</v>
      </c>
      <c r="G45" s="26">
        <f>ROUND(E45*F45,2)</f>
        <v/>
      </c>
      <c r="H45" s="125">
        <f>G45/$G$82</f>
        <v/>
      </c>
      <c r="I45" s="26">
        <f>ROUND(F45*Прил.10!$D$13,2)</f>
        <v/>
      </c>
      <c r="J45" s="26">
        <f>ROUND(I45*E45,2)</f>
        <v/>
      </c>
    </row>
    <row r="46" hidden="1" outlineLevel="1" ht="38.25" customFormat="1" customHeight="1" s="202">
      <c r="A46" s="265" t="n">
        <v>18</v>
      </c>
      <c r="B46" s="265" t="inlineStr">
        <is>
          <t>21.2.01.02-0141</t>
        </is>
      </c>
      <c r="C46" s="264" t="inlineStr">
        <is>
          <t>Провода неизолированные для воздушных линий электропередачи медные марки: М, сечением 4 мм2</t>
        </is>
      </c>
      <c r="D46" s="265" t="inlineStr">
        <is>
          <t>т</t>
        </is>
      </c>
      <c r="E46" s="129" t="n">
        <v>0.0029</v>
      </c>
      <c r="F46" s="267" t="n">
        <v>96440</v>
      </c>
      <c r="G46" s="26">
        <f>ROUND(E46*F46,2)</f>
        <v/>
      </c>
      <c r="H46" s="125">
        <f>G46/$G$82</f>
        <v/>
      </c>
      <c r="I46" s="26">
        <f>ROUND(F46*Прил.10!$D$13,2)</f>
        <v/>
      </c>
      <c r="J46" s="26">
        <f>ROUND(I46*E46,2)</f>
        <v/>
      </c>
    </row>
    <row r="47" hidden="1" outlineLevel="1" ht="14.25" customFormat="1" customHeight="1" s="202">
      <c r="A47" s="265" t="n">
        <v>19</v>
      </c>
      <c r="B47" s="265" t="inlineStr">
        <is>
          <t>18.5.08.09-0001</t>
        </is>
      </c>
      <c r="C47" s="264" t="inlineStr">
        <is>
          <t>Патрубки</t>
        </is>
      </c>
      <c r="D47" s="265" t="inlineStr">
        <is>
          <t>10 шт</t>
        </is>
      </c>
      <c r="E47" s="129" t="n">
        <v>0.9</v>
      </c>
      <c r="F47" s="267" t="n">
        <v>277.5</v>
      </c>
      <c r="G47" s="26">
        <f>ROUND(E47*F47,2)</f>
        <v/>
      </c>
      <c r="H47" s="125">
        <f>G47/$G$82</f>
        <v/>
      </c>
      <c r="I47" s="26">
        <f>ROUND(F47*Прил.10!$D$13,2)</f>
        <v/>
      </c>
      <c r="J47" s="26">
        <f>ROUND(I47*E47,2)</f>
        <v/>
      </c>
    </row>
    <row r="48" hidden="1" outlineLevel="1" ht="14.25" customFormat="1" customHeight="1" s="202">
      <c r="A48" s="265" t="n">
        <v>20</v>
      </c>
      <c r="B48" s="265" t="inlineStr">
        <is>
          <t>14.4.02.09-0301</t>
        </is>
      </c>
      <c r="C48" s="264" t="inlineStr">
        <is>
          <t>Краска "Цинол"</t>
        </is>
      </c>
      <c r="D48" s="265" t="inlineStr">
        <is>
          <t>кг</t>
        </is>
      </c>
      <c r="E48" s="129" t="n">
        <v>1</v>
      </c>
      <c r="F48" s="267" t="n">
        <v>238.48</v>
      </c>
      <c r="G48" s="26">
        <f>ROUND(E48*F48,2)</f>
        <v/>
      </c>
      <c r="H48" s="125">
        <f>G48/$G$82</f>
        <v/>
      </c>
      <c r="I48" s="26">
        <f>ROUND(F48*Прил.10!$D$13,2)</f>
        <v/>
      </c>
      <c r="J48" s="26">
        <f>ROUND(I48*E48,2)</f>
        <v/>
      </c>
    </row>
    <row r="49" hidden="1" outlineLevel="1" ht="25.5" customFormat="1" customHeight="1" s="202">
      <c r="A49" s="265" t="n">
        <v>21</v>
      </c>
      <c r="B49" s="265" t="inlineStr">
        <is>
          <t>08.3.07.01-0076</t>
        </is>
      </c>
      <c r="C49" s="264" t="inlineStr">
        <is>
          <t>Сталь полосовая, марка стали: Ст3сп шириной 50-200 мм толщиной 4-5 мм</t>
        </is>
      </c>
      <c r="D49" s="265" t="inlineStr">
        <is>
          <t>т</t>
        </is>
      </c>
      <c r="E49" s="129" t="n">
        <v>0.0467</v>
      </c>
      <c r="F49" s="267" t="n">
        <v>5000</v>
      </c>
      <c r="G49" s="26">
        <f>ROUND(E49*F49,2)</f>
        <v/>
      </c>
      <c r="H49" s="125">
        <f>G49/$G$82</f>
        <v/>
      </c>
      <c r="I49" s="26">
        <f>ROUND(F49*Прил.10!$D$13,2)</f>
        <v/>
      </c>
      <c r="J49" s="26">
        <f>ROUND(I49*E49,2)</f>
        <v/>
      </c>
    </row>
    <row r="50" hidden="1" outlineLevel="1" ht="14.25" customFormat="1" customHeight="1" s="202">
      <c r="A50" s="265" t="n">
        <v>22</v>
      </c>
      <c r="B50" s="265" t="inlineStr">
        <is>
          <t>14.4.02.09-0001</t>
        </is>
      </c>
      <c r="C50" s="264" t="inlineStr">
        <is>
          <t>Краска</t>
        </is>
      </c>
      <c r="D50" s="265" t="inlineStr">
        <is>
          <t>кг</t>
        </is>
      </c>
      <c r="E50" s="129" t="n">
        <v>6.566</v>
      </c>
      <c r="F50" s="267" t="n">
        <v>28.6</v>
      </c>
      <c r="G50" s="26">
        <f>ROUND(E50*F50,2)</f>
        <v/>
      </c>
      <c r="H50" s="125">
        <f>G50/$G$82</f>
        <v/>
      </c>
      <c r="I50" s="26">
        <f>ROUND(F50*Прил.10!$D$13,2)</f>
        <v/>
      </c>
      <c r="J50" s="26">
        <f>ROUND(I50*E50,2)</f>
        <v/>
      </c>
    </row>
    <row r="51" hidden="1" outlineLevel="1" ht="25.5" customFormat="1" customHeight="1" s="202">
      <c r="A51" s="265" t="n">
        <v>23</v>
      </c>
      <c r="B51" s="265" t="inlineStr">
        <is>
          <t>10.3.02.03-0011</t>
        </is>
      </c>
      <c r="C51" s="264" t="inlineStr">
        <is>
          <t>Припои оловянно-свинцовые бессурьмянистые марки: ПОС30</t>
        </is>
      </c>
      <c r="D51" s="265" t="inlineStr">
        <is>
          <t>кг</t>
        </is>
      </c>
      <c r="E51" s="129" t="n">
        <v>1.3026</v>
      </c>
      <c r="F51" s="267" t="n">
        <v>68.05</v>
      </c>
      <c r="G51" s="26">
        <f>ROUND(E51*F51,2)</f>
        <v/>
      </c>
      <c r="H51" s="125">
        <f>G51/$G$82</f>
        <v/>
      </c>
      <c r="I51" s="26">
        <f>ROUND(F51*Прил.10!$D$13,2)</f>
        <v/>
      </c>
      <c r="J51" s="26">
        <f>ROUND(I51*E51,2)</f>
        <v/>
      </c>
    </row>
    <row r="52" hidden="1" outlineLevel="1" ht="14.25" customFormat="1" customHeight="1" s="202">
      <c r="A52" s="265" t="n">
        <v>24</v>
      </c>
      <c r="B52" s="265" t="inlineStr">
        <is>
          <t>20.1.02.06-0001</t>
        </is>
      </c>
      <c r="C52" s="264" t="inlineStr">
        <is>
          <t>Жир паяльный</t>
        </is>
      </c>
      <c r="D52" s="265" t="inlineStr">
        <is>
          <t>кг</t>
        </is>
      </c>
      <c r="E52" s="129" t="n">
        <v>0.52</v>
      </c>
      <c r="F52" s="267" t="n">
        <v>100.8</v>
      </c>
      <c r="G52" s="26">
        <f>ROUND(E52*F52,2)</f>
        <v/>
      </c>
      <c r="H52" s="125">
        <f>G52/$G$82</f>
        <v/>
      </c>
      <c r="I52" s="26">
        <f>ROUND(F52*Прил.10!$D$13,2)</f>
        <v/>
      </c>
      <c r="J52" s="26">
        <f>ROUND(I52*E52,2)</f>
        <v/>
      </c>
    </row>
    <row r="53" hidden="1" outlineLevel="1" ht="38.25" customFormat="1" customHeight="1" s="202">
      <c r="A53" s="265" t="n">
        <v>25</v>
      </c>
      <c r="B53" s="265" t="inlineStr">
        <is>
          <t>20.2.04.04-0001</t>
        </is>
      </c>
      <c r="C53" s="264" t="inlineStr">
        <is>
          <t>Короб кабельный прямой из оцинкованный стали толщиной 1,5 мм размером 2000х150х100 мм, 1-канальный</t>
        </is>
      </c>
      <c r="D53" s="265" t="inlineStr">
        <is>
          <t>шт</t>
        </is>
      </c>
      <c r="E53" s="129" t="n">
        <v>0.25</v>
      </c>
      <c r="F53" s="267" t="n">
        <v>157.3</v>
      </c>
      <c r="G53" s="26">
        <f>ROUND(E53*F53,2)</f>
        <v/>
      </c>
      <c r="H53" s="125">
        <f>G53/$G$82</f>
        <v/>
      </c>
      <c r="I53" s="26">
        <f>ROUND(F53*Прил.10!$D$13,2)</f>
        <v/>
      </c>
      <c r="J53" s="26">
        <f>ROUND(I53*E53,2)</f>
        <v/>
      </c>
    </row>
    <row r="54" hidden="1" outlineLevel="1" ht="14.25" customFormat="1" customHeight="1" s="202">
      <c r="A54" s="265" t="n">
        <v>26</v>
      </c>
      <c r="B54" s="265" t="inlineStr">
        <is>
          <t>01.3.01.01-0001</t>
        </is>
      </c>
      <c r="C54" s="264" t="inlineStr">
        <is>
          <t>Бензин авиационный Б-70</t>
        </is>
      </c>
      <c r="D54" s="265" t="inlineStr">
        <is>
          <t>т</t>
        </is>
      </c>
      <c r="E54" s="129" t="n">
        <v>0.008</v>
      </c>
      <c r="F54" s="267" t="n">
        <v>4488.4</v>
      </c>
      <c r="G54" s="26">
        <f>ROUND(E54*F54,2)</f>
        <v/>
      </c>
      <c r="H54" s="125">
        <f>G54/$G$82</f>
        <v/>
      </c>
      <c r="I54" s="26">
        <f>ROUND(F54*Прил.10!$D$13,2)</f>
        <v/>
      </c>
      <c r="J54" s="26">
        <f>ROUND(I54*E54,2)</f>
        <v/>
      </c>
    </row>
    <row r="55" hidden="1" outlineLevel="1" ht="25.5" customFormat="1" customHeight="1" s="202">
      <c r="A55" s="265" t="n">
        <v>27</v>
      </c>
      <c r="B55" s="265" t="inlineStr">
        <is>
          <t>01.7.15.04-0011</t>
        </is>
      </c>
      <c r="C55" s="264" t="inlineStr">
        <is>
          <t>Винты с полукруглой головкой длиной: 50 мм</t>
        </is>
      </c>
      <c r="D55" s="265" t="inlineStr">
        <is>
          <t>т</t>
        </is>
      </c>
      <c r="E55" s="129" t="n">
        <v>0.002</v>
      </c>
      <c r="F55" s="267" t="n">
        <v>12430</v>
      </c>
      <c r="G55" s="26">
        <f>ROUND(E55*F55,2)</f>
        <v/>
      </c>
      <c r="H55" s="125">
        <f>G55/$G$82</f>
        <v/>
      </c>
      <c r="I55" s="26">
        <f>ROUND(F55*Прил.10!$D$13,2)</f>
        <v/>
      </c>
      <c r="J55" s="26">
        <f>ROUND(I55*E55,2)</f>
        <v/>
      </c>
    </row>
    <row r="56" hidden="1" outlineLevel="1" ht="14.25" customFormat="1" customHeight="1" s="202">
      <c r="A56" s="265" t="n">
        <v>28</v>
      </c>
      <c r="B56" s="265" t="inlineStr">
        <is>
          <t>20.1.02.23-0082</t>
        </is>
      </c>
      <c r="C56" s="264" t="inlineStr">
        <is>
          <t>Перемычки гибкие, тип ПГС-50</t>
        </is>
      </c>
      <c r="D56" s="265" t="inlineStr">
        <is>
          <t>10 шт</t>
        </is>
      </c>
      <c r="E56" s="129" t="n">
        <v>0.63</v>
      </c>
      <c r="F56" s="267" t="n">
        <v>39</v>
      </c>
      <c r="G56" s="26">
        <f>ROUND(E56*F56,2)</f>
        <v/>
      </c>
      <c r="H56" s="125">
        <f>G56/$G$82</f>
        <v/>
      </c>
      <c r="I56" s="26">
        <f>ROUND(F56*Прил.10!$D$13,2)</f>
        <v/>
      </c>
      <c r="J56" s="26">
        <f>ROUND(I56*E56,2)</f>
        <v/>
      </c>
    </row>
    <row r="57" hidden="1" outlineLevel="1" ht="38.25" customFormat="1" customHeight="1" s="202">
      <c r="A57" s="265" t="n">
        <v>29</v>
      </c>
      <c r="B57" s="265" t="inlineStr">
        <is>
          <t>01.7.06.05-0041</t>
        </is>
      </c>
      <c r="C57" s="264" t="inlineStr">
        <is>
          <t>Лента изоляционная прорезиненная односторонняя ширина 20 мм, толщина 0,25-0,35 мм</t>
        </is>
      </c>
      <c r="D57" s="265" t="inlineStr">
        <is>
          <t>кг</t>
        </is>
      </c>
      <c r="E57" s="129" t="n">
        <v>0.5600000000000001</v>
      </c>
      <c r="F57" s="267" t="n">
        <v>30.4</v>
      </c>
      <c r="G57" s="26">
        <f>ROUND(E57*F57,2)</f>
        <v/>
      </c>
      <c r="H57" s="125">
        <f>G57/$G$82</f>
        <v/>
      </c>
      <c r="I57" s="26">
        <f>ROUND(F57*Прил.10!$D$13,2)</f>
        <v/>
      </c>
      <c r="J57" s="26">
        <f>ROUND(I57*E57,2)</f>
        <v/>
      </c>
    </row>
    <row r="58" hidden="1" outlineLevel="1" ht="14.25" customFormat="1" customHeight="1" s="202">
      <c r="A58" s="265" t="n">
        <v>30</v>
      </c>
      <c r="B58" s="265" t="inlineStr">
        <is>
          <t>01.7.11.07-0034</t>
        </is>
      </c>
      <c r="C58" s="264" t="inlineStr">
        <is>
          <t>Электроды диаметром: 4 мм Э42А</t>
        </is>
      </c>
      <c r="D58" s="265" t="inlineStr">
        <is>
          <t>кг</t>
        </is>
      </c>
      <c r="E58" s="129" t="n">
        <v>1.4884</v>
      </c>
      <c r="F58" s="267" t="n">
        <v>10.57</v>
      </c>
      <c r="G58" s="26">
        <f>ROUND(E58*F58,2)</f>
        <v/>
      </c>
      <c r="H58" s="125">
        <f>G58/$G$82</f>
        <v/>
      </c>
      <c r="I58" s="26">
        <f>ROUND(F58*Прил.10!$D$13,2)</f>
        <v/>
      </c>
      <c r="J58" s="26">
        <f>ROUND(I58*E58,2)</f>
        <v/>
      </c>
    </row>
    <row r="59" hidden="1" outlineLevel="1" ht="25.5" customFormat="1" customHeight="1" s="202">
      <c r="A59" s="265" t="n">
        <v>31</v>
      </c>
      <c r="B59" s="265" t="inlineStr">
        <is>
          <t>999-9950</t>
        </is>
      </c>
      <c r="C59" s="264" t="inlineStr">
        <is>
          <t>Вспомогательные ненормируемые ресурсы (2% от Оплаты труда рабочих)</t>
        </is>
      </c>
      <c r="D59" s="265" t="inlineStr">
        <is>
          <t>руб.</t>
        </is>
      </c>
      <c r="E59" s="129" t="n">
        <v>14.4594</v>
      </c>
      <c r="F59" s="267" t="n">
        <v>1</v>
      </c>
      <c r="G59" s="26">
        <f>ROUND(E59*F59,2)</f>
        <v/>
      </c>
      <c r="H59" s="125">
        <f>G59/$G$82</f>
        <v/>
      </c>
      <c r="I59" s="26">
        <f>ROUND(F59*Прил.10!$D$13,2)</f>
        <v/>
      </c>
      <c r="J59" s="26">
        <f>ROUND(I59*E59,2)</f>
        <v/>
      </c>
    </row>
    <row r="60" hidden="1" outlineLevel="1" ht="14.25" customFormat="1" customHeight="1" s="202">
      <c r="A60" s="265" t="n">
        <v>32</v>
      </c>
      <c r="B60" s="265" t="inlineStr">
        <is>
          <t>08.3.07.01-0037</t>
        </is>
      </c>
      <c r="C60" s="264" t="inlineStr">
        <is>
          <t>Сталь полосовая 30х4 мм, марка Ст3сп</t>
        </is>
      </c>
      <c r="D60" s="265" t="inlineStr">
        <is>
          <t>т</t>
        </is>
      </c>
      <c r="E60" s="129" t="n">
        <v>0.002</v>
      </c>
      <c r="F60" s="267" t="n">
        <v>6674.64</v>
      </c>
      <c r="G60" s="26">
        <f>ROUND(E60*F60,2)</f>
        <v/>
      </c>
      <c r="H60" s="125">
        <f>G60/$G$82</f>
        <v/>
      </c>
      <c r="I60" s="26">
        <f>ROUND(F60*Прил.10!$D$13,2)</f>
        <v/>
      </c>
      <c r="J60" s="26">
        <f>ROUND(I60*E60,2)</f>
        <v/>
      </c>
    </row>
    <row r="61" hidden="1" outlineLevel="1" ht="14.25" customFormat="1" customHeight="1" s="202">
      <c r="A61" s="265" t="n">
        <v>33</v>
      </c>
      <c r="B61" s="265" t="inlineStr">
        <is>
          <t>25.2.01.01-0001</t>
        </is>
      </c>
      <c r="C61" s="264" t="inlineStr">
        <is>
          <t>Бирки-оконцеватели</t>
        </is>
      </c>
      <c r="D61" s="265" t="inlineStr">
        <is>
          <t>100 шт</t>
        </is>
      </c>
      <c r="E61" s="129" t="n">
        <v>0.2</v>
      </c>
      <c r="F61" s="267" t="n">
        <v>63</v>
      </c>
      <c r="G61" s="26">
        <f>ROUND(E61*F61,2)</f>
        <v/>
      </c>
      <c r="H61" s="125">
        <f>G61/$G$82</f>
        <v/>
      </c>
      <c r="I61" s="26">
        <f>ROUND(F61*Прил.10!$D$13,2)</f>
        <v/>
      </c>
      <c r="J61" s="26">
        <f>ROUND(I61*E61,2)</f>
        <v/>
      </c>
    </row>
    <row r="62" hidden="1" outlineLevel="1" ht="14.25" customFormat="1" customHeight="1" s="202">
      <c r="A62" s="265" t="n">
        <v>34</v>
      </c>
      <c r="B62" s="265" t="inlineStr">
        <is>
          <t>01.7.15.03-0042</t>
        </is>
      </c>
      <c r="C62" s="264" t="inlineStr">
        <is>
          <t>Болты с гайками и шайбами строительные</t>
        </is>
      </c>
      <c r="D62" s="265" t="inlineStr">
        <is>
          <t>кг</t>
        </is>
      </c>
      <c r="E62" s="129" t="n">
        <v>1.08</v>
      </c>
      <c r="F62" s="267" t="n">
        <v>9.039999999999999</v>
      </c>
      <c r="G62" s="26">
        <f>ROUND(E62*F62,2)</f>
        <v/>
      </c>
      <c r="H62" s="125">
        <f>G62/$G$82</f>
        <v/>
      </c>
      <c r="I62" s="26">
        <f>ROUND(F62*Прил.10!$D$13,2)</f>
        <v/>
      </c>
      <c r="J62" s="26">
        <f>ROUND(I62*E62,2)</f>
        <v/>
      </c>
    </row>
    <row r="63" hidden="1" outlineLevel="1" ht="14.25" customFormat="1" customHeight="1" s="202">
      <c r="A63" s="265" t="n">
        <v>35</v>
      </c>
      <c r="B63" s="265" t="inlineStr">
        <is>
          <t>01.3.02.09-0022</t>
        </is>
      </c>
      <c r="C63" s="264" t="inlineStr">
        <is>
          <t>Пропан-бутан, смесь техническая</t>
        </is>
      </c>
      <c r="D63" s="265" t="inlineStr">
        <is>
          <t>кг</t>
        </is>
      </c>
      <c r="E63" s="129" t="n">
        <v>1.5</v>
      </c>
      <c r="F63" s="267" t="n">
        <v>6.09</v>
      </c>
      <c r="G63" s="26">
        <f>ROUND(E63*F63,2)</f>
        <v/>
      </c>
      <c r="H63" s="125">
        <f>G63/$G$82</f>
        <v/>
      </c>
      <c r="I63" s="26">
        <f>ROUND(F63*Прил.10!$D$13,2)</f>
        <v/>
      </c>
      <c r="J63" s="26">
        <f>ROUND(I63*E63,2)</f>
        <v/>
      </c>
    </row>
    <row r="64" hidden="1" outlineLevel="1" ht="14.25" customFormat="1" customHeight="1" s="202">
      <c r="A64" s="265" t="n">
        <v>36</v>
      </c>
      <c r="B64" s="265" t="inlineStr">
        <is>
          <t>01.3.01.05-0009</t>
        </is>
      </c>
      <c r="C64" s="264" t="inlineStr">
        <is>
          <t>Парафины нефтяные твердые марки Т-1</t>
        </is>
      </c>
      <c r="D64" s="265" t="inlineStr">
        <is>
          <t>т</t>
        </is>
      </c>
      <c r="E64" s="129" t="n">
        <v>0.0004</v>
      </c>
      <c r="F64" s="267" t="n">
        <v>8105.71</v>
      </c>
      <c r="G64" s="26">
        <f>ROUND(E64*F64,2)</f>
        <v/>
      </c>
      <c r="H64" s="125">
        <f>G64/$G$82</f>
        <v/>
      </c>
      <c r="I64" s="26">
        <f>ROUND(F64*Прил.10!$D$13,2)</f>
        <v/>
      </c>
      <c r="J64" s="26">
        <f>ROUND(I64*E64,2)</f>
        <v/>
      </c>
    </row>
    <row r="65" hidden="1" outlineLevel="1" ht="14.25" customFormat="1" customHeight="1" s="202">
      <c r="A65" s="265" t="n">
        <v>37</v>
      </c>
      <c r="B65" s="265" t="inlineStr">
        <is>
          <t>01.7.06.07-0001</t>
        </is>
      </c>
      <c r="C65" s="264" t="inlineStr">
        <is>
          <t>Лента К226</t>
        </is>
      </c>
      <c r="D65" s="265" t="inlineStr">
        <is>
          <t>100 м</t>
        </is>
      </c>
      <c r="E65" s="129" t="n">
        <v>0.0242</v>
      </c>
      <c r="F65" s="267" t="n">
        <v>120</v>
      </c>
      <c r="G65" s="26">
        <f>ROUND(E65*F65,2)</f>
        <v/>
      </c>
      <c r="H65" s="125">
        <f>G65/$G$82</f>
        <v/>
      </c>
      <c r="I65" s="26">
        <f>ROUND(F65*Прил.10!$D$13,2)</f>
        <v/>
      </c>
      <c r="J65" s="26">
        <f>ROUND(I65*E65,2)</f>
        <v/>
      </c>
    </row>
    <row r="66" hidden="1" outlineLevel="1" ht="14.25" customFormat="1" customHeight="1" s="202">
      <c r="A66" s="265" t="n">
        <v>38</v>
      </c>
      <c r="B66" s="265" t="inlineStr">
        <is>
          <t>20.2.02.01-0019</t>
        </is>
      </c>
      <c r="C66" s="264" t="inlineStr">
        <is>
          <t>Втулки изолирующие</t>
        </is>
      </c>
      <c r="D66" s="265" t="inlineStr">
        <is>
          <t>1000 шт</t>
        </is>
      </c>
      <c r="E66" s="129" t="n">
        <v>0.008999999999999999</v>
      </c>
      <c r="F66" s="267" t="n">
        <v>270</v>
      </c>
      <c r="G66" s="26">
        <f>ROUND(E66*F66,2)</f>
        <v/>
      </c>
      <c r="H66" s="125">
        <f>G66/$G$82</f>
        <v/>
      </c>
      <c r="I66" s="26">
        <f>ROUND(F66*Прил.10!$D$13,2)</f>
        <v/>
      </c>
      <c r="J66" s="26">
        <f>ROUND(I66*E66,2)</f>
        <v/>
      </c>
    </row>
    <row r="67" hidden="1" outlineLevel="1" ht="14.25" customFormat="1" customHeight="1" s="202">
      <c r="A67" s="265" t="n">
        <v>39</v>
      </c>
      <c r="B67" s="265" t="inlineStr">
        <is>
          <t>01.7.15.07-0014</t>
        </is>
      </c>
      <c r="C67" s="264" t="inlineStr">
        <is>
          <t>Дюбели распорные полипропиленовые</t>
        </is>
      </c>
      <c r="D67" s="265" t="inlineStr">
        <is>
          <t>100 шт</t>
        </is>
      </c>
      <c r="E67" s="129" t="n">
        <v>0.016</v>
      </c>
      <c r="F67" s="267" t="n">
        <v>86</v>
      </c>
      <c r="G67" s="26">
        <f>ROUND(E67*F67,2)</f>
        <v/>
      </c>
      <c r="H67" s="125">
        <f>G67/$G$82</f>
        <v/>
      </c>
      <c r="I67" s="26">
        <f>ROUND(F67*Прил.10!$D$13,2)</f>
        <v/>
      </c>
      <c r="J67" s="26">
        <f>ROUND(I67*E67,2)</f>
        <v/>
      </c>
    </row>
    <row r="68" hidden="1" outlineLevel="1" ht="14.25" customFormat="1" customHeight="1" s="202">
      <c r="A68" s="265" t="n">
        <v>40</v>
      </c>
      <c r="B68" s="265" t="inlineStr">
        <is>
          <t>01.3.01.02-0002</t>
        </is>
      </c>
      <c r="C68" s="264" t="inlineStr">
        <is>
          <t>Вазелин технический</t>
        </is>
      </c>
      <c r="D68" s="265" t="inlineStr">
        <is>
          <t>кг</t>
        </is>
      </c>
      <c r="E68" s="129" t="n">
        <v>0.02</v>
      </c>
      <c r="F68" s="267" t="n">
        <v>44.97</v>
      </c>
      <c r="G68" s="26">
        <f>ROUND(E68*F68,2)</f>
        <v/>
      </c>
      <c r="H68" s="125">
        <f>G68/$G$82</f>
        <v/>
      </c>
      <c r="I68" s="26">
        <f>ROUND(F68*Прил.10!$D$13,2)</f>
        <v/>
      </c>
      <c r="J68" s="26">
        <f>ROUND(I68*E68,2)</f>
        <v/>
      </c>
    </row>
    <row r="69" hidden="1" outlineLevel="1" ht="14.25" customFormat="1" customHeight="1" s="202">
      <c r="A69" s="265" t="n">
        <v>41</v>
      </c>
      <c r="B69" s="265" t="inlineStr">
        <is>
          <t>14.4.03.17-0011</t>
        </is>
      </c>
      <c r="C69" s="264" t="inlineStr">
        <is>
          <t>Лак электроизоляционный 318</t>
        </is>
      </c>
      <c r="D69" s="265" t="inlineStr">
        <is>
          <t>кг</t>
        </is>
      </c>
      <c r="E69" s="129" t="n">
        <v>0.02</v>
      </c>
      <c r="F69" s="267" t="n">
        <v>35.63</v>
      </c>
      <c r="G69" s="26">
        <f>ROUND(E69*F69,2)</f>
        <v/>
      </c>
      <c r="H69" s="125">
        <f>G69/$G$82</f>
        <v/>
      </c>
      <c r="I69" s="26">
        <f>ROUND(F69*Прил.10!$D$13,2)</f>
        <v/>
      </c>
      <c r="J69" s="26">
        <f>ROUND(I69*E69,2)</f>
        <v/>
      </c>
    </row>
    <row r="70" hidden="1" outlineLevel="1" ht="14.25" customFormat="1" customHeight="1" s="202">
      <c r="A70" s="265" t="n">
        <v>42</v>
      </c>
      <c r="B70" s="265" t="inlineStr">
        <is>
          <t>20.2.08.07-0033</t>
        </is>
      </c>
      <c r="C70" s="264" t="inlineStr">
        <is>
          <t>Скоба: У1078</t>
        </is>
      </c>
      <c r="D70" s="265" t="inlineStr">
        <is>
          <t>100 шт</t>
        </is>
      </c>
      <c r="E70" s="129" t="n">
        <v>0.0005999999999999999</v>
      </c>
      <c r="F70" s="267" t="n">
        <v>617</v>
      </c>
      <c r="G70" s="26">
        <f>ROUND(E70*F70,2)</f>
        <v/>
      </c>
      <c r="H70" s="125">
        <f>G70/$G$82</f>
        <v/>
      </c>
      <c r="I70" s="26">
        <f>ROUND(F70*Прил.10!$D$13,2)</f>
        <v/>
      </c>
      <c r="J70" s="26">
        <f>ROUND(I70*E70,2)</f>
        <v/>
      </c>
    </row>
    <row r="71" hidden="1" outlineLevel="1" ht="14.25" customFormat="1" customHeight="1" s="202">
      <c r="A71" s="265" t="n">
        <v>43</v>
      </c>
      <c r="B71" s="265" t="inlineStr">
        <is>
          <t>25.2.01.01-0017</t>
        </is>
      </c>
      <c r="C71" s="264" t="inlineStr">
        <is>
          <t>Бирки маркировочные пластмассовые</t>
        </is>
      </c>
      <c r="D71" s="265" t="inlineStr">
        <is>
          <t>100 шт</t>
        </is>
      </c>
      <c r="E71" s="129" t="n">
        <v>0.01</v>
      </c>
      <c r="F71" s="267" t="n">
        <v>30.74</v>
      </c>
      <c r="G71" s="26">
        <f>ROUND(E71*F71,2)</f>
        <v/>
      </c>
      <c r="H71" s="125">
        <f>G71/$G$82</f>
        <v/>
      </c>
      <c r="I71" s="26">
        <f>ROUND(F71*Прил.10!$D$13,2)</f>
        <v/>
      </c>
      <c r="J71" s="26">
        <f>ROUND(I71*E71,2)</f>
        <v/>
      </c>
    </row>
    <row r="72" hidden="1" outlineLevel="1" ht="14.25" customFormat="1" customHeight="1" s="202">
      <c r="A72" s="265" t="n">
        <v>44</v>
      </c>
      <c r="B72" s="265" t="inlineStr">
        <is>
          <t>01.7.20.04-0005</t>
        </is>
      </c>
      <c r="C72" s="264" t="inlineStr">
        <is>
          <t>Нитки швейные</t>
        </is>
      </c>
      <c r="D72" s="265" t="inlineStr">
        <is>
          <t>кг</t>
        </is>
      </c>
      <c r="E72" s="129" t="n">
        <v>0.002</v>
      </c>
      <c r="F72" s="267" t="n">
        <v>133.05</v>
      </c>
      <c r="G72" s="26">
        <f>ROUND(E72*F72,2)</f>
        <v/>
      </c>
      <c r="H72" s="125">
        <f>G72/$G$82</f>
        <v/>
      </c>
      <c r="I72" s="26">
        <f>ROUND(F72*Прил.10!$D$13,2)</f>
        <v/>
      </c>
      <c r="J72" s="26">
        <f>ROUND(I72*E72,2)</f>
        <v/>
      </c>
    </row>
    <row r="73" hidden="1" outlineLevel="1" ht="25.5" customFormat="1" customHeight="1" s="202">
      <c r="A73" s="265" t="n">
        <v>45</v>
      </c>
      <c r="B73" s="265" t="inlineStr">
        <is>
          <t>03.2.01.01-0003</t>
        </is>
      </c>
      <c r="C73" s="264" t="inlineStr">
        <is>
          <t>Портландцемент общестроительного назначения бездобавочный, марки: 500</t>
        </is>
      </c>
      <c r="D73" s="265" t="inlineStr">
        <is>
          <t>т</t>
        </is>
      </c>
      <c r="E73" s="129" t="n">
        <v>0.0002</v>
      </c>
      <c r="F73" s="267" t="n">
        <v>480</v>
      </c>
      <c r="G73" s="26">
        <f>ROUND(E73*F73,2)</f>
        <v/>
      </c>
      <c r="H73" s="125">
        <f>G73/$G$82</f>
        <v/>
      </c>
      <c r="I73" s="26">
        <f>ROUND(F73*Прил.10!$D$13,2)</f>
        <v/>
      </c>
      <c r="J73" s="26">
        <f>ROUND(I73*E73,2)</f>
        <v/>
      </c>
    </row>
    <row r="74" hidden="1" outlineLevel="1" ht="25.5" customFormat="1" customHeight="1" s="202">
      <c r="A74" s="265" t="n">
        <v>46</v>
      </c>
      <c r="B74" s="265" t="inlineStr">
        <is>
          <t>10.3.02.03-0013</t>
        </is>
      </c>
      <c r="C74" s="264" t="inlineStr">
        <is>
          <t>Припои оловянно-свинцовые бессурьмянистые марки: ПОС61</t>
        </is>
      </c>
      <c r="D74" s="265" t="inlineStr">
        <is>
          <t>кг</t>
        </is>
      </c>
      <c r="E74" s="129" t="n">
        <v>0.0008</v>
      </c>
      <c r="F74" s="267" t="n">
        <v>114.22</v>
      </c>
      <c r="G74" s="26">
        <f>ROUND(E74*F74,2)</f>
        <v/>
      </c>
      <c r="H74" s="125">
        <f>G74/$G$82</f>
        <v/>
      </c>
      <c r="I74" s="26">
        <f>ROUND(F74*Прил.10!$D$13,2)</f>
        <v/>
      </c>
      <c r="J74" s="26">
        <f>ROUND(I74*E74,2)</f>
        <v/>
      </c>
    </row>
    <row r="75" hidden="1" outlineLevel="1" ht="14.25" customFormat="1" customHeight="1" s="202">
      <c r="A75" s="265" t="n">
        <v>47</v>
      </c>
      <c r="B75" s="265" t="inlineStr">
        <is>
          <t>01.7.15.07-0031</t>
        </is>
      </c>
      <c r="C75" s="264" t="inlineStr">
        <is>
          <t>Дюбели распорные с гайкой</t>
        </is>
      </c>
      <c r="D75" s="265" t="inlineStr">
        <is>
          <t>100 шт</t>
        </is>
      </c>
      <c r="E75" s="129" t="n">
        <v>0.0008</v>
      </c>
      <c r="F75" s="267" t="n">
        <v>110</v>
      </c>
      <c r="G75" s="26">
        <f>ROUND(E75*F75,2)</f>
        <v/>
      </c>
      <c r="H75" s="125">
        <f>G75/$G$82</f>
        <v/>
      </c>
      <c r="I75" s="26">
        <f>ROUND(F75*Прил.10!$D$13,2)</f>
        <v/>
      </c>
      <c r="J75" s="26">
        <f>ROUND(I75*E75,2)</f>
        <v/>
      </c>
    </row>
    <row r="76" hidden="1" outlineLevel="1" ht="14.25" customFormat="1" customHeight="1" s="202">
      <c r="A76" s="265" t="n">
        <v>48</v>
      </c>
      <c r="B76" s="265" t="inlineStr">
        <is>
          <t>01.7.02.09-0002</t>
        </is>
      </c>
      <c r="C76" s="264" t="inlineStr">
        <is>
          <t>Шпагат бумажный</t>
        </is>
      </c>
      <c r="D76" s="265" t="inlineStr">
        <is>
          <t>кг</t>
        </is>
      </c>
      <c r="E76" s="129" t="n">
        <v>0.004</v>
      </c>
      <c r="F76" s="267" t="n">
        <v>11.5</v>
      </c>
      <c r="G76" s="26">
        <f>ROUND(E76*F76,2)</f>
        <v/>
      </c>
      <c r="H76" s="125">
        <f>G76/$G$82</f>
        <v/>
      </c>
      <c r="I76" s="26">
        <f>ROUND(F76*Прил.10!$D$13,2)</f>
        <v/>
      </c>
      <c r="J76" s="26">
        <f>ROUND(I76*E76,2)</f>
        <v/>
      </c>
    </row>
    <row r="77" hidden="1" outlineLevel="1" ht="14.25" customFormat="1" customHeight="1" s="202">
      <c r="A77" s="265" t="n">
        <v>49</v>
      </c>
      <c r="B77" s="265" t="inlineStr">
        <is>
          <t>24.3.01.01-0002</t>
        </is>
      </c>
      <c r="C77" s="264" t="inlineStr">
        <is>
          <t>Трубка полихлорвиниловая</t>
        </is>
      </c>
      <c r="D77" s="265" t="inlineStr">
        <is>
          <t>кг</t>
        </is>
      </c>
      <c r="E77" s="129" t="n">
        <v>0.0004</v>
      </c>
      <c r="F77" s="267" t="n">
        <v>35.7</v>
      </c>
      <c r="G77" s="26">
        <f>ROUND(E77*F77,2)</f>
        <v/>
      </c>
      <c r="H77" s="125">
        <f>G77/$G$82</f>
        <v/>
      </c>
      <c r="I77" s="26">
        <f>ROUND(F77*Прил.10!$D$13,2)</f>
        <v/>
      </c>
      <c r="J77" s="26">
        <f>ROUND(I77*E77,2)</f>
        <v/>
      </c>
    </row>
    <row r="78" hidden="1" outlineLevel="1" ht="25.5" customFormat="1" customHeight="1" s="202">
      <c r="A78" s="265" t="n">
        <v>50</v>
      </c>
      <c r="B78" s="265" t="inlineStr">
        <is>
          <t>02.3.01.02-0020</t>
        </is>
      </c>
      <c r="C78" s="264" t="inlineStr">
        <is>
          <t>Песок природный для строительных: растворов средний</t>
        </is>
      </c>
      <c r="D78" s="265" t="inlineStr">
        <is>
          <t>м3</t>
        </is>
      </c>
      <c r="E78" s="129" t="n">
        <v>0.0002</v>
      </c>
      <c r="F78" s="267" t="n">
        <v>59.99</v>
      </c>
      <c r="G78" s="26">
        <f>ROUND(E78*F78,2)</f>
        <v/>
      </c>
      <c r="H78" s="125">
        <f>G78/$G$82</f>
        <v/>
      </c>
      <c r="I78" s="26">
        <f>ROUND(F78*Прил.10!$D$13,2)</f>
        <v/>
      </c>
      <c r="J78" s="26">
        <f>ROUND(I78*E78,2)</f>
        <v/>
      </c>
    </row>
    <row r="79" hidden="1" outlineLevel="1" ht="25.5" customFormat="1" customHeight="1" s="202">
      <c r="A79" s="265" t="n">
        <v>51</v>
      </c>
      <c r="B79" s="265" t="inlineStr">
        <is>
          <t>01.3.01.07-0009</t>
        </is>
      </c>
      <c r="C79" s="264" t="inlineStr">
        <is>
          <t>Спирт этиловый ректификованный технический, сорт I</t>
        </is>
      </c>
      <c r="D79" s="265" t="inlineStr">
        <is>
          <t>кг</t>
        </is>
      </c>
      <c r="E79" s="129" t="n">
        <v>0.0003</v>
      </c>
      <c r="F79" s="267" t="n">
        <v>38.89</v>
      </c>
      <c r="G79" s="26">
        <f>ROUND(E79*F79,2)</f>
        <v/>
      </c>
      <c r="H79" s="125">
        <f>G79/$G$82</f>
        <v/>
      </c>
      <c r="I79" s="26">
        <f>ROUND(F79*Прил.10!$D$13,2)</f>
        <v/>
      </c>
      <c r="J79" s="26">
        <f>ROUND(I79*E79,2)</f>
        <v/>
      </c>
    </row>
    <row r="80" hidden="1" outlineLevel="1" ht="14.25" customFormat="1" customHeight="1" s="202">
      <c r="A80" s="265" t="n">
        <v>52</v>
      </c>
      <c r="B80" s="265" t="inlineStr">
        <is>
          <t>01.3.05.17-0002</t>
        </is>
      </c>
      <c r="C80" s="264" t="inlineStr">
        <is>
          <t>Канифоль сосновая</t>
        </is>
      </c>
      <c r="D80" s="265" t="inlineStr">
        <is>
          <t>кг</t>
        </is>
      </c>
      <c r="E80" s="129" t="n">
        <v>0.0002</v>
      </c>
      <c r="F80" s="267" t="n">
        <v>27.74</v>
      </c>
      <c r="G80" s="26">
        <f>ROUND(E80*F80,2)</f>
        <v/>
      </c>
      <c r="H80" s="125">
        <f>G80/$G$82</f>
        <v/>
      </c>
      <c r="I80" s="26">
        <f>ROUND(F80*Прил.10!$D$13,2)</f>
        <v/>
      </c>
      <c r="J80" s="26">
        <f>ROUND(I80*E80,2)</f>
        <v/>
      </c>
    </row>
    <row r="81" collapsed="1" ht="14.25" customFormat="1" customHeight="1" s="202">
      <c r="A81" s="265" t="n"/>
      <c r="B81" s="265" t="n"/>
      <c r="C81" s="264" t="inlineStr">
        <is>
          <t>Итого прочие материалы</t>
        </is>
      </c>
      <c r="D81" s="265" t="n"/>
      <c r="E81" s="129" t="n"/>
      <c r="F81" s="267" t="n"/>
      <c r="G81" s="26">
        <f>SUM(G44:G80)</f>
        <v/>
      </c>
      <c r="H81" s="125">
        <f>G81/$G$82</f>
        <v/>
      </c>
      <c r="I81" s="26" t="n"/>
      <c r="J81" s="26">
        <f>SUM(J44:J80)</f>
        <v/>
      </c>
    </row>
    <row r="82" ht="14.25" customFormat="1" customHeight="1" s="202">
      <c r="A82" s="265" t="n"/>
      <c r="B82" s="265" t="n"/>
      <c r="C82" s="263" t="inlineStr">
        <is>
          <t>Итого по разделу «Материалы»</t>
        </is>
      </c>
      <c r="D82" s="265" t="n"/>
      <c r="E82" s="266" t="n"/>
      <c r="F82" s="267" t="n"/>
      <c r="G82" s="26">
        <f>G43+G81</f>
        <v/>
      </c>
      <c r="H82" s="268">
        <f>G82/$G$82</f>
        <v/>
      </c>
      <c r="I82" s="26" t="n"/>
      <c r="J82" s="26">
        <f>J43+J81</f>
        <v/>
      </c>
    </row>
    <row r="83" ht="14.25" customFormat="1" customHeight="1" s="202">
      <c r="A83" s="265" t="n"/>
      <c r="B83" s="265" t="n"/>
      <c r="C83" s="264" t="inlineStr">
        <is>
          <t>ИТОГО ПО РМ</t>
        </is>
      </c>
      <c r="D83" s="265" t="n"/>
      <c r="E83" s="266" t="n"/>
      <c r="F83" s="267" t="n"/>
      <c r="G83" s="26">
        <f>G14+G29+G82</f>
        <v/>
      </c>
      <c r="H83" s="268" t="n"/>
      <c r="I83" s="26" t="n"/>
      <c r="J83" s="26">
        <f>J14+J29+J82</f>
        <v/>
      </c>
    </row>
    <row r="84" ht="14.25" customFormat="1" customHeight="1" s="202">
      <c r="A84" s="265" t="n"/>
      <c r="B84" s="265" t="n"/>
      <c r="C84" s="264" t="inlineStr">
        <is>
          <t>Накладные расходы</t>
        </is>
      </c>
      <c r="D84" s="130">
        <f>ROUND(G84/(G$16+$G$14),2)</f>
        <v/>
      </c>
      <c r="E84" s="266" t="n"/>
      <c r="F84" s="267" t="n"/>
      <c r="G84" s="26" t="n">
        <v>772</v>
      </c>
      <c r="H84" s="268" t="n"/>
      <c r="I84" s="26" t="n"/>
      <c r="J84" s="26">
        <f>ROUND(D84*(J14+J16),2)</f>
        <v/>
      </c>
    </row>
    <row r="85" ht="14.25" customFormat="1" customHeight="1" s="202">
      <c r="A85" s="265" t="n"/>
      <c r="B85" s="265" t="n"/>
      <c r="C85" s="264" t="inlineStr">
        <is>
          <t>Сметная прибыль</t>
        </is>
      </c>
      <c r="D85" s="130">
        <f>ROUND(G85/(G$14+G$16),2)</f>
        <v/>
      </c>
      <c r="E85" s="266" t="n"/>
      <c r="F85" s="267" t="n"/>
      <c r="G85" s="26" t="n">
        <v>528</v>
      </c>
      <c r="H85" s="268" t="n"/>
      <c r="I85" s="26" t="n"/>
      <c r="J85" s="26">
        <f>ROUND(D85*(J14+J16),2)</f>
        <v/>
      </c>
    </row>
    <row r="86" ht="14.25" customFormat="1" customHeight="1" s="202">
      <c r="A86" s="265" t="n"/>
      <c r="B86" s="265" t="n"/>
      <c r="C86" s="264" t="inlineStr">
        <is>
          <t>Итого СМР (с НР и СП)</t>
        </is>
      </c>
      <c r="D86" s="265" t="n"/>
      <c r="E86" s="266" t="n"/>
      <c r="F86" s="267" t="n"/>
      <c r="G86" s="26">
        <f>G14+G29+G82+G84+G85</f>
        <v/>
      </c>
      <c r="H86" s="268" t="n"/>
      <c r="I86" s="26" t="n"/>
      <c r="J86" s="26">
        <f>J14+J29+J82+J84+J85</f>
        <v/>
      </c>
    </row>
    <row r="87" ht="14.25" customFormat="1" customHeight="1" s="202">
      <c r="A87" s="265" t="n"/>
      <c r="B87" s="265" t="n"/>
      <c r="C87" s="264" t="inlineStr">
        <is>
          <t>ВСЕГО СМР + ОБОРУДОВАНИЕ</t>
        </is>
      </c>
      <c r="D87" s="265" t="n"/>
      <c r="E87" s="266" t="n"/>
      <c r="F87" s="267" t="n"/>
      <c r="G87" s="26">
        <f>G86+G37</f>
        <v/>
      </c>
      <c r="H87" s="268" t="n"/>
      <c r="I87" s="26" t="n"/>
      <c r="J87" s="26">
        <f>J86+J37</f>
        <v/>
      </c>
    </row>
    <row r="88" ht="34.5" customFormat="1" customHeight="1" s="202">
      <c r="A88" s="265" t="n"/>
      <c r="B88" s="265" t="n"/>
      <c r="C88" s="264" t="inlineStr">
        <is>
          <t>ИТОГО ПОКАЗАТЕЛЬ НА ЕД. ИЗМ.</t>
        </is>
      </c>
      <c r="D88" s="265" t="inlineStr">
        <is>
          <t>1 комплект</t>
        </is>
      </c>
      <c r="E88" s="266" t="n">
        <v>1</v>
      </c>
      <c r="F88" s="267" t="n"/>
      <c r="G88" s="26">
        <f>G87/E88</f>
        <v/>
      </c>
      <c r="H88" s="268" t="n"/>
      <c r="I88" s="26" t="n"/>
      <c r="J88" s="26">
        <f>J87/E88</f>
        <v/>
      </c>
    </row>
    <row r="90" ht="14.25" customFormat="1" customHeight="1" s="202">
      <c r="A90" s="192" t="inlineStr">
        <is>
          <t>Составил ______________________    Е.Р. Брызгалова</t>
        </is>
      </c>
    </row>
    <row r="91" ht="14.25" customFormat="1" customHeight="1" s="202">
      <c r="A91" s="203" t="inlineStr">
        <is>
          <t xml:space="preserve">                         (подпись, инициалы, фамилия)</t>
        </is>
      </c>
    </row>
    <row r="92" ht="14.25" customFormat="1" customHeight="1" s="202">
      <c r="A92" s="192" t="n"/>
    </row>
    <row r="93" ht="14.25" customFormat="1" customHeight="1" s="202">
      <c r="A93" s="192" t="inlineStr">
        <is>
          <t>Проверил ______________________        А.В. Костянецкая</t>
        </is>
      </c>
    </row>
    <row r="94" ht="14.25" customFormat="1" customHeight="1" s="202">
      <c r="A94" s="203" t="inlineStr">
        <is>
          <t xml:space="preserve">                        (подпись, инициалы, фамилия)</t>
        </is>
      </c>
    </row>
  </sheetData>
  <mergeCells count="21">
    <mergeCell ref="H9:H10"/>
    <mergeCell ref="B40:H40"/>
    <mergeCell ref="B30:H30"/>
    <mergeCell ref="A4:J4"/>
    <mergeCell ref="B15:H15"/>
    <mergeCell ref="H2:J2"/>
    <mergeCell ref="C9:C10"/>
    <mergeCell ref="E9:E10"/>
    <mergeCell ref="A7:H7"/>
    <mergeCell ref="B31:H31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2"/>
  <sheetViews>
    <sheetView view="pageBreakPreview" workbookViewId="0">
      <selection activeCell="E19" sqref="E19"/>
    </sheetView>
  </sheetViews>
  <sheetFormatPr baseColWidth="8" defaultRowHeight="15"/>
  <cols>
    <col width="5.7109375" customWidth="1" style="204" min="1" max="1"/>
    <col width="17.5703125" customWidth="1" style="204" min="2" max="2"/>
    <col width="39.140625" customWidth="1" style="204" min="3" max="3"/>
    <col width="10.7109375" customWidth="1" style="204" min="4" max="4"/>
    <col width="13.85546875" customWidth="1" style="204" min="5" max="5"/>
    <col width="13.28515625" customWidth="1" style="204" min="6" max="6"/>
    <col width="14.140625" customWidth="1" style="204" min="7" max="7"/>
  </cols>
  <sheetData>
    <row r="1">
      <c r="A1" s="278" t="inlineStr">
        <is>
          <t>Приложение №6</t>
        </is>
      </c>
    </row>
    <row r="2" ht="21.75" customHeight="1" s="204">
      <c r="A2" s="278" t="n"/>
      <c r="B2" s="278" t="n"/>
      <c r="C2" s="278" t="n"/>
      <c r="D2" s="278" t="n"/>
      <c r="E2" s="278" t="n"/>
      <c r="F2" s="278" t="n"/>
      <c r="G2" s="278" t="n"/>
    </row>
    <row r="3">
      <c r="A3" s="238" t="inlineStr">
        <is>
          <t>Расчет стоимости оборудования</t>
        </is>
      </c>
    </row>
    <row r="4" ht="25.5" customHeight="1" s="204">
      <c r="A4" s="241" t="inlineStr">
        <is>
          <t>Наименование разрабатываемого показателя УНЦ — РЗА Ячейка Т110-220 кВ 63 МВА и более</t>
        </is>
      </c>
    </row>
    <row r="5">
      <c r="A5" s="192" t="n"/>
      <c r="B5" s="192" t="n"/>
      <c r="C5" s="192" t="n"/>
      <c r="D5" s="192" t="n"/>
      <c r="E5" s="192" t="n"/>
      <c r="F5" s="192" t="n"/>
      <c r="G5" s="192" t="n"/>
    </row>
    <row r="6" ht="30.2" customHeight="1" s="204">
      <c r="A6" s="283" t="inlineStr">
        <is>
          <t>№ пп.</t>
        </is>
      </c>
      <c r="B6" s="283" t="inlineStr">
        <is>
          <t>Код ресурса</t>
        </is>
      </c>
      <c r="C6" s="283" t="inlineStr">
        <is>
          <t>Наименование</t>
        </is>
      </c>
      <c r="D6" s="283" t="inlineStr">
        <is>
          <t>Ед. изм.</t>
        </is>
      </c>
      <c r="E6" s="265" t="inlineStr">
        <is>
          <t>Кол-во единиц по проектным данным</t>
        </is>
      </c>
      <c r="F6" s="283" t="inlineStr">
        <is>
          <t>Сметная стоимость в ценах на 01.01.2000 (руб.)</t>
        </is>
      </c>
      <c r="G6" s="332" t="n"/>
    </row>
    <row r="7">
      <c r="A7" s="334" t="n"/>
      <c r="B7" s="334" t="n"/>
      <c r="C7" s="334" t="n"/>
      <c r="D7" s="334" t="n"/>
      <c r="E7" s="334" t="n"/>
      <c r="F7" s="265" t="inlineStr">
        <is>
          <t>на ед. изм.</t>
        </is>
      </c>
      <c r="G7" s="265" t="inlineStr">
        <is>
          <t>общая</t>
        </is>
      </c>
    </row>
    <row r="8">
      <c r="A8" s="265" t="n">
        <v>1</v>
      </c>
      <c r="B8" s="265" t="n">
        <v>2</v>
      </c>
      <c r="C8" s="265" t="n">
        <v>3</v>
      </c>
      <c r="D8" s="265" t="n">
        <v>4</v>
      </c>
      <c r="E8" s="265" t="n">
        <v>5</v>
      </c>
      <c r="F8" s="265" t="n">
        <v>6</v>
      </c>
      <c r="G8" s="265" t="n">
        <v>7</v>
      </c>
    </row>
    <row r="9" ht="15" customHeight="1" s="204">
      <c r="A9" s="99" t="n"/>
      <c r="B9" s="264" t="inlineStr">
        <is>
          <t>ИНЖЕНЕРНОЕ ОБОРУДОВАНИЕ</t>
        </is>
      </c>
      <c r="C9" s="331" t="n"/>
      <c r="D9" s="331" t="n"/>
      <c r="E9" s="331" t="n"/>
      <c r="F9" s="331" t="n"/>
      <c r="G9" s="332" t="n"/>
    </row>
    <row r="10" ht="27" customHeight="1" s="204">
      <c r="A10" s="265" t="n"/>
      <c r="B10" s="263" t="n"/>
      <c r="C10" s="264" t="inlineStr">
        <is>
          <t>ИТОГО ИНЖЕНЕРНОЕ ОБОРУДОВАНИЕ</t>
        </is>
      </c>
      <c r="D10" s="263" t="n"/>
      <c r="E10" s="100" t="n"/>
      <c r="F10" s="267" t="n"/>
      <c r="G10" s="267" t="n">
        <v>0</v>
      </c>
    </row>
    <row r="11">
      <c r="A11" s="265" t="n"/>
      <c r="B11" s="264" t="inlineStr">
        <is>
          <t>ТЕХНОЛОГИЧЕСКОЕ ОБОРУДОВАНИЕ</t>
        </is>
      </c>
      <c r="C11" s="331" t="n"/>
      <c r="D11" s="331" t="n"/>
      <c r="E11" s="331" t="n"/>
      <c r="F11" s="331" t="n"/>
      <c r="G11" s="332" t="n"/>
    </row>
    <row r="12" ht="25.5" customHeight="1" s="204">
      <c r="A12" s="265" t="n">
        <v>1</v>
      </c>
      <c r="B12" s="184">
        <f>'Прил.5 Расчет СМР и ОБ'!B32</f>
        <v/>
      </c>
      <c r="C12" s="264">
        <f>'Прил.5 Расчет СМР и ОБ'!C32</f>
        <v/>
      </c>
      <c r="D12" s="265">
        <f>'Прил.5 Расчет СМР и ОБ'!D32</f>
        <v/>
      </c>
      <c r="E12" s="129">
        <f>'Прил.5 Расчет СМР и ОБ'!E32</f>
        <v/>
      </c>
      <c r="F12" s="267">
        <f>'Прил.5 Расчет СМР и ОБ'!F32</f>
        <v/>
      </c>
      <c r="G12" s="26">
        <f>ROUND(E12*F12,2)</f>
        <v/>
      </c>
    </row>
    <row r="13" ht="25.5" customHeight="1" s="204">
      <c r="A13" s="265" t="n">
        <v>2</v>
      </c>
      <c r="B13" s="184">
        <f>'Прил.5 Расчет СМР и ОБ'!B33</f>
        <v/>
      </c>
      <c r="C13" s="264">
        <f>'Прил.5 Расчет СМР и ОБ'!C33</f>
        <v/>
      </c>
      <c r="D13" s="265">
        <f>'Прил.5 Расчет СМР и ОБ'!D33</f>
        <v/>
      </c>
      <c r="E13" s="129">
        <f>'Прил.5 Расчет СМР и ОБ'!E33</f>
        <v/>
      </c>
      <c r="F13" s="267">
        <f>'Прил.5 Расчет СМР и ОБ'!F33</f>
        <v/>
      </c>
      <c r="G13" s="26">
        <f>ROUND(E13*F13,2)</f>
        <v/>
      </c>
    </row>
    <row r="14" ht="38.25" customHeight="1" s="204">
      <c r="A14" s="265" t="n">
        <v>3</v>
      </c>
      <c r="B14" s="184">
        <f>'Прил.5 Расчет СМР и ОБ'!B34</f>
        <v/>
      </c>
      <c r="C14" s="264">
        <f>'Прил.5 Расчет СМР и ОБ'!C34</f>
        <v/>
      </c>
      <c r="D14" s="265">
        <f>'Прил.5 Расчет СМР и ОБ'!D34</f>
        <v/>
      </c>
      <c r="E14" s="129">
        <f>'Прил.5 Расчет СМР и ОБ'!E34</f>
        <v/>
      </c>
      <c r="F14" s="267">
        <f>'Прил.5 Расчет СМР и ОБ'!F34</f>
        <v/>
      </c>
      <c r="G14" s="26">
        <f>ROUND(E14*F14,2)</f>
        <v/>
      </c>
    </row>
    <row r="15" ht="25.5" customHeight="1" s="204">
      <c r="A15" s="265" t="n"/>
      <c r="B15" s="264" t="n"/>
      <c r="C15" s="264" t="inlineStr">
        <is>
          <t>ИТОГО ТЕХНОЛОГИЧЕСКОЕ ОБОРУДОВАНИЕ</t>
        </is>
      </c>
      <c r="D15" s="264" t="n"/>
      <c r="E15" s="282" t="n"/>
      <c r="F15" s="267" t="n"/>
      <c r="G15" s="26">
        <f>SUM(G12:G14)</f>
        <v/>
      </c>
    </row>
    <row r="16" ht="19.5" customHeight="1" s="204">
      <c r="A16" s="265" t="n"/>
      <c r="B16" s="264" t="n"/>
      <c r="C16" s="264" t="inlineStr">
        <is>
          <t>Всего по разделу «Оборудование»</t>
        </is>
      </c>
      <c r="D16" s="264" t="n"/>
      <c r="E16" s="282" t="n"/>
      <c r="F16" s="267" t="n"/>
      <c r="G16" s="26">
        <f>G10+G15</f>
        <v/>
      </c>
    </row>
    <row r="17">
      <c r="A17" s="200" t="n"/>
      <c r="B17" s="201" t="n"/>
      <c r="C17" s="200" t="n"/>
      <c r="D17" s="200" t="n"/>
      <c r="E17" s="200" t="n"/>
      <c r="F17" s="200" t="n"/>
      <c r="G17" s="200" t="n"/>
    </row>
    <row r="18">
      <c r="A18" s="192" t="inlineStr">
        <is>
          <t>Составил ______________________    Е.Р. Брызгалова</t>
        </is>
      </c>
      <c r="B18" s="202" t="n"/>
      <c r="C18" s="202" t="n"/>
      <c r="D18" s="200" t="n"/>
      <c r="E18" s="200" t="n"/>
      <c r="F18" s="200" t="n"/>
      <c r="G18" s="200" t="n"/>
    </row>
    <row r="19">
      <c r="A19" s="203" t="inlineStr">
        <is>
          <t xml:space="preserve">                         (подпись, инициалы, фамилия)</t>
        </is>
      </c>
      <c r="B19" s="202" t="n"/>
      <c r="C19" s="202" t="n"/>
      <c r="D19" s="200" t="n"/>
      <c r="E19" s="200" t="n"/>
      <c r="F19" s="200" t="n"/>
      <c r="G19" s="200" t="n"/>
    </row>
    <row r="20">
      <c r="A20" s="192" t="n"/>
      <c r="B20" s="202" t="n"/>
      <c r="C20" s="202" t="n"/>
      <c r="D20" s="200" t="n"/>
      <c r="E20" s="200" t="n"/>
      <c r="F20" s="200" t="n"/>
      <c r="G20" s="200" t="n"/>
    </row>
    <row r="21">
      <c r="A21" s="192" t="inlineStr">
        <is>
          <t>Проверил ______________________        А.В. Костянецкая</t>
        </is>
      </c>
      <c r="B21" s="202" t="n"/>
      <c r="C21" s="202" t="n"/>
      <c r="D21" s="200" t="n"/>
      <c r="E21" s="200" t="n"/>
      <c r="F21" s="200" t="n"/>
      <c r="G21" s="200" t="n"/>
    </row>
    <row r="22">
      <c r="A22" s="203" t="inlineStr">
        <is>
          <t xml:space="preserve">                        (подпись, инициалы, фамилия)</t>
        </is>
      </c>
      <c r="B22" s="202" t="n"/>
      <c r="C22" s="202" t="n"/>
      <c r="D22" s="200" t="n"/>
      <c r="E22" s="200" t="n"/>
      <c r="F22" s="200" t="n"/>
      <c r="G22" s="200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14" sqref="C14"/>
    </sheetView>
  </sheetViews>
  <sheetFormatPr baseColWidth="8" defaultColWidth="8.85546875" defaultRowHeight="15"/>
  <cols>
    <col width="14.42578125" customWidth="1" style="204" min="1" max="1"/>
    <col width="29.5703125" customWidth="1" style="204" min="2" max="2"/>
    <col width="39.140625" customWidth="1" style="204" min="3" max="3"/>
    <col width="51.42578125" customWidth="1" style="204" min="4" max="4"/>
  </cols>
  <sheetData>
    <row r="1">
      <c r="B1" s="192" t="n"/>
      <c r="C1" s="192" t="n"/>
      <c r="D1" s="278" t="inlineStr">
        <is>
          <t>Приложение №7</t>
        </is>
      </c>
    </row>
    <row r="2">
      <c r="A2" s="278" t="n"/>
      <c r="B2" s="278" t="n"/>
      <c r="C2" s="278" t="n"/>
      <c r="D2" s="278" t="n"/>
    </row>
    <row r="3" ht="24.75" customHeight="1" s="204">
      <c r="A3" s="238" t="inlineStr">
        <is>
          <t>Расчет показателя УНЦ</t>
        </is>
      </c>
    </row>
    <row r="4" ht="24.75" customHeight="1" s="204">
      <c r="A4" s="238" t="n"/>
      <c r="B4" s="238" t="n"/>
      <c r="C4" s="238" t="n"/>
      <c r="D4" s="238" t="n"/>
    </row>
    <row r="5" ht="24.6" customHeight="1" s="204">
      <c r="A5" s="241" t="inlineStr">
        <is>
          <t xml:space="preserve">Наименование разрабатываемого показателя УНЦ - </t>
        </is>
      </c>
      <c r="D5" s="241">
        <f>'Прил.5 Расчет СМР и ОБ'!D6:J6</f>
        <v/>
      </c>
    </row>
    <row r="6" ht="19.9" customHeight="1" s="204">
      <c r="A6" s="241" t="inlineStr">
        <is>
          <t>Единица измерения  — 1 комплект</t>
        </is>
      </c>
      <c r="D6" s="241" t="n"/>
    </row>
    <row r="7">
      <c r="A7" s="192" t="n"/>
      <c r="B7" s="192" t="n"/>
      <c r="C7" s="192" t="n"/>
      <c r="D7" s="192" t="n"/>
    </row>
    <row r="8" ht="14.45" customHeight="1" s="204">
      <c r="A8" s="250" t="inlineStr">
        <is>
          <t>Код показателя</t>
        </is>
      </c>
      <c r="B8" s="250" t="inlineStr">
        <is>
          <t>Наименование показателя</t>
        </is>
      </c>
      <c r="C8" s="250" t="inlineStr">
        <is>
          <t>Наименование РМ, входящих в состав показателя</t>
        </is>
      </c>
      <c r="D8" s="250" t="inlineStr">
        <is>
          <t>Норматив цены на 01.01.2023, тыс.руб.</t>
        </is>
      </c>
    </row>
    <row r="9" ht="15" customHeight="1" s="204">
      <c r="A9" s="334" t="n"/>
      <c r="B9" s="334" t="n"/>
      <c r="C9" s="334" t="n"/>
      <c r="D9" s="334" t="n"/>
    </row>
    <row r="10">
      <c r="A10" s="265" t="n">
        <v>1</v>
      </c>
      <c r="B10" s="265" t="n">
        <v>2</v>
      </c>
      <c r="C10" s="265" t="n">
        <v>3</v>
      </c>
      <c r="D10" s="265" t="n">
        <v>4</v>
      </c>
    </row>
    <row r="11" ht="41.45" customHeight="1" s="204">
      <c r="A11" s="265" t="inlineStr">
        <is>
          <t>М9-07-2</t>
        </is>
      </c>
      <c r="B11" s="265" t="inlineStr">
        <is>
          <t xml:space="preserve">УНЦ ячейки трансформатора 110 - 500 кВ </t>
        </is>
      </c>
      <c r="C11" s="197">
        <f>D5</f>
        <v/>
      </c>
      <c r="D11" s="198">
        <f>'Прил.4 РМ'!C41/1000</f>
        <v/>
      </c>
      <c r="E11" s="199" t="n"/>
    </row>
    <row r="12">
      <c r="A12" s="200" t="n"/>
      <c r="B12" s="201" t="n"/>
      <c r="C12" s="200" t="n"/>
      <c r="D12" s="200" t="n"/>
    </row>
    <row r="13">
      <c r="A13" s="192" t="inlineStr">
        <is>
          <t>Составил ______________________      Е.Р. Брызгалова</t>
        </is>
      </c>
      <c r="B13" s="202" t="n"/>
      <c r="C13" s="202" t="n"/>
      <c r="D13" s="200" t="n"/>
    </row>
    <row r="14">
      <c r="A14" s="203" t="inlineStr">
        <is>
          <t xml:space="preserve">                         (подпись, инициалы, фамилия)</t>
        </is>
      </c>
      <c r="B14" s="202" t="n"/>
      <c r="C14" s="202" t="n"/>
      <c r="D14" s="200" t="n"/>
    </row>
    <row r="15">
      <c r="A15" s="192" t="n"/>
      <c r="B15" s="202" t="n"/>
      <c r="C15" s="202" t="n"/>
      <c r="D15" s="200" t="n"/>
    </row>
    <row r="16">
      <c r="A16" s="192" t="inlineStr">
        <is>
          <t>Проверил ______________________        А.В. Костянецкая</t>
        </is>
      </c>
      <c r="B16" s="202" t="n"/>
      <c r="C16" s="202" t="n"/>
      <c r="D16" s="200" t="n"/>
    </row>
    <row r="17">
      <c r="A17" s="203" t="inlineStr">
        <is>
          <t xml:space="preserve">                        (подпись, инициалы, фамилия)</t>
        </is>
      </c>
      <c r="B17" s="202" t="n"/>
      <c r="C17" s="202" t="n"/>
      <c r="D17" s="200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65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E30"/>
  <sheetViews>
    <sheetView view="pageBreakPreview" topLeftCell="A4" zoomScale="60" zoomScaleNormal="85" workbookViewId="0">
      <selection activeCell="D24" sqref="D24"/>
    </sheetView>
  </sheetViews>
  <sheetFormatPr baseColWidth="8" defaultRowHeight="15"/>
  <cols>
    <col width="9.140625" customWidth="1" style="204" min="1" max="1"/>
    <col width="40.7109375" customWidth="1" style="204" min="2" max="2"/>
    <col width="37" customWidth="1" style="204" min="3" max="3"/>
    <col width="32" customWidth="1" style="204" min="4" max="4"/>
    <col width="9.140625" customWidth="1" style="204" min="5" max="5"/>
  </cols>
  <sheetData>
    <row r="4" ht="15.75" customHeight="1" s="204">
      <c r="B4" s="245" t="inlineStr">
        <is>
          <t>Приложение № 10</t>
        </is>
      </c>
    </row>
    <row r="5" ht="18.75" customHeight="1" s="204">
      <c r="B5" s="115" t="n"/>
    </row>
    <row r="6" ht="15.75" customHeight="1" s="204">
      <c r="B6" s="246" t="inlineStr">
        <is>
          <t>Используемые индексы изменений сметной стоимости и нормы сопутствующих затрат</t>
        </is>
      </c>
    </row>
    <row r="7">
      <c r="B7" s="284" t="n"/>
    </row>
    <row r="8">
      <c r="B8" s="284" t="n"/>
      <c r="C8" s="284" t="n"/>
      <c r="D8" s="284" t="n"/>
      <c r="E8" s="284" t="n"/>
    </row>
    <row r="9" ht="47.25" customHeight="1" s="204">
      <c r="B9" s="250" t="inlineStr">
        <is>
          <t>Наименование индекса / норм сопутствующих затрат</t>
        </is>
      </c>
      <c r="C9" s="250" t="inlineStr">
        <is>
          <t>Дата применения и обоснование индекса / норм сопутствующих затрат</t>
        </is>
      </c>
      <c r="D9" s="250" t="inlineStr">
        <is>
          <t>Размер индекса / норма сопутствующих затрат</t>
        </is>
      </c>
    </row>
    <row r="10" ht="15.75" customHeight="1" s="204">
      <c r="B10" s="250" t="n">
        <v>1</v>
      </c>
      <c r="C10" s="250" t="n">
        <v>2</v>
      </c>
      <c r="D10" s="250" t="n">
        <v>3</v>
      </c>
    </row>
    <row r="11" ht="45" customHeight="1" s="204">
      <c r="B11" s="250" t="inlineStr">
        <is>
          <t xml:space="preserve">Индекс изменения сметной стоимости на 1 квартал 2023 года. ОЗП </t>
        </is>
      </c>
      <c r="C11" s="250" t="inlineStr">
        <is>
          <t>Письмо Минстроя России от 30.03.2023г. №17106-ИФ/09  прил.1</t>
        </is>
      </c>
      <c r="D11" s="250" t="n">
        <v>44.29</v>
      </c>
    </row>
    <row r="12" ht="29.25" customHeight="1" s="204">
      <c r="B12" s="250" t="inlineStr">
        <is>
          <t>Индекс изменения сметной стоимости на 1 квартал 2023 года. ЭМ</t>
        </is>
      </c>
      <c r="C12" s="250" t="inlineStr">
        <is>
          <t>Письмо Минстроя России от 30.03.2023г. №17106-ИФ/09  прил.1</t>
        </is>
      </c>
      <c r="D12" s="250" t="n">
        <v>13.47</v>
      </c>
    </row>
    <row r="13" ht="29.25" customHeight="1" s="204">
      <c r="B13" s="250" t="inlineStr">
        <is>
          <t>Индекс изменения сметной стоимости на 1 квартал 2023 года. МАТ</t>
        </is>
      </c>
      <c r="C13" s="250" t="inlineStr">
        <is>
          <t>Письмо Минстроя России от 30.03.2023г. №17106-ИФ/09  прил.1</t>
        </is>
      </c>
      <c r="D13" s="250" t="n">
        <v>8.039999999999999</v>
      </c>
    </row>
    <row r="14" ht="30.75" customHeight="1" s="204">
      <c r="B14" s="250" t="inlineStr">
        <is>
          <t>Индекс изменения сметной стоимости на 1 квартал 2023 года. ОБ</t>
        </is>
      </c>
      <c r="C14" s="111" t="inlineStr">
        <is>
          <t>Письмо Минстроя России от 23.02.2023г. №9791-ИФ/09 прил.6</t>
        </is>
      </c>
      <c r="D14" s="250" t="n">
        <v>6.26</v>
      </c>
    </row>
    <row r="15" ht="89.45" customHeight="1" s="204">
      <c r="B15" s="250" t="inlineStr">
        <is>
          <t>Временные здания и сооружения</t>
        </is>
      </c>
      <c r="C15" s="250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17" t="n">
        <v>0.039</v>
      </c>
    </row>
    <row r="16" ht="94.7" customHeight="1" s="204">
      <c r="B16" s="250" t="inlineStr">
        <is>
          <t>Дополнительные затраты при производстве строительно-монтажных работ в зимнее время</t>
        </is>
      </c>
      <c r="C16" s="250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17" t="n">
        <v>0.021</v>
      </c>
    </row>
    <row r="17" ht="31.7" customHeight="1" s="204">
      <c r="B17" s="250" t="inlineStr">
        <is>
          <t>Строительный контроль</t>
        </is>
      </c>
      <c r="C17" s="250" t="inlineStr">
        <is>
          <t>Постановление Правительства РФ от 21.06.10 г. № 468</t>
        </is>
      </c>
      <c r="D17" s="117" t="n">
        <v>0.0214</v>
      </c>
    </row>
    <row r="18" ht="31.7" customHeight="1" s="204">
      <c r="B18" s="250" t="inlineStr">
        <is>
          <t>Авторский надзор - 0,2%</t>
        </is>
      </c>
      <c r="C18" s="250" t="inlineStr">
        <is>
          <t>Приказ от 4.08.2020 № 421/пр п.173</t>
        </is>
      </c>
      <c r="D18" s="117" t="n">
        <v>0.002</v>
      </c>
    </row>
    <row r="19" ht="24" customHeight="1" s="204">
      <c r="B19" s="250" t="inlineStr">
        <is>
          <t>Непредвиденные расходы</t>
        </is>
      </c>
      <c r="C19" s="250" t="inlineStr">
        <is>
          <t>Приказ от 4.08.2020 № 421/пр п.179</t>
        </is>
      </c>
      <c r="D19" s="117" t="n">
        <v>0.03</v>
      </c>
    </row>
    <row r="20" ht="18.75" customHeight="1" s="204">
      <c r="B20" s="116" t="n"/>
    </row>
    <row r="21" ht="18.75" customHeight="1" s="204">
      <c r="B21" s="116" t="n"/>
    </row>
    <row r="22" ht="18.75" customHeight="1" s="204">
      <c r="B22" s="116" t="n"/>
    </row>
    <row r="23" ht="18.75" customHeight="1" s="204">
      <c r="B23" s="116" t="n"/>
    </row>
    <row r="26">
      <c r="B26" s="192" t="inlineStr">
        <is>
          <t>Составил ______________________        Е.А. Князева</t>
        </is>
      </c>
      <c r="C26" s="202" t="n"/>
    </row>
    <row r="27">
      <c r="B27" s="203" t="inlineStr">
        <is>
          <t xml:space="preserve">                         (подпись, инициалы, фамилия)</t>
        </is>
      </c>
      <c r="C27" s="202" t="n"/>
    </row>
    <row r="28">
      <c r="B28" s="192" t="n"/>
      <c r="C28" s="202" t="n"/>
    </row>
    <row r="29">
      <c r="B29" s="192" t="inlineStr">
        <is>
          <t>Проверил ______________________        А.В. Костянецкая</t>
        </is>
      </c>
      <c r="C29" s="202" t="n"/>
    </row>
    <row r="30">
      <c r="B30" s="203" t="inlineStr">
        <is>
          <t xml:space="preserve">                        (подпись, инициалы, фамилия)</t>
        </is>
      </c>
      <c r="C30" s="20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53"/>
  <sheetViews>
    <sheetView view="pageBreakPreview" workbookViewId="0">
      <selection activeCell="U24" sqref="U24"/>
    </sheetView>
  </sheetViews>
  <sheetFormatPr baseColWidth="8" defaultColWidth="9.140625" defaultRowHeight="15"/>
  <cols>
    <col width="9.140625" customWidth="1" style="204" min="1" max="1"/>
    <col width="44.85546875" customWidth="1" style="204" min="2" max="2"/>
    <col width="13" customWidth="1" style="204" min="3" max="3"/>
    <col width="22.85546875" customWidth="1" style="204" min="4" max="4"/>
    <col width="21.5703125" customWidth="1" style="204" min="5" max="5"/>
    <col width="43.85546875" customWidth="1" style="204" min="6" max="6"/>
    <col width="9.140625" customWidth="1" style="204" min="7" max="7"/>
  </cols>
  <sheetData>
    <row r="2" ht="17.25" customHeight="1" s="204">
      <c r="A2" s="246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204">
      <c r="A4" s="205" t="inlineStr">
        <is>
          <t>Составлен в уровне цен на 01.01.2023 г.</t>
        </is>
      </c>
      <c r="B4" s="230" t="n"/>
      <c r="C4" s="230" t="n"/>
      <c r="D4" s="230" t="n"/>
      <c r="E4" s="230" t="n"/>
      <c r="F4" s="230" t="n"/>
      <c r="G4" s="230" t="n"/>
    </row>
    <row r="5" ht="15.75" customHeight="1" s="204">
      <c r="A5" s="232" t="inlineStr">
        <is>
          <t>№ пп.</t>
        </is>
      </c>
      <c r="B5" s="232" t="inlineStr">
        <is>
          <t>Наименование элемента</t>
        </is>
      </c>
      <c r="C5" s="232" t="inlineStr">
        <is>
          <t>Обозначение</t>
        </is>
      </c>
      <c r="D5" s="232" t="inlineStr">
        <is>
          <t>Формула</t>
        </is>
      </c>
      <c r="E5" s="232" t="inlineStr">
        <is>
          <t>Величина элемента</t>
        </is>
      </c>
      <c r="F5" s="232" t="inlineStr">
        <is>
          <t>Наименования обосновывающих документов</t>
        </is>
      </c>
      <c r="G5" s="230" t="n"/>
    </row>
    <row r="6" ht="15.75" customHeight="1" s="204">
      <c r="A6" s="232" t="n">
        <v>1</v>
      </c>
      <c r="B6" s="232" t="n">
        <v>2</v>
      </c>
      <c r="C6" s="232" t="n">
        <v>3</v>
      </c>
      <c r="D6" s="232" t="n">
        <v>4</v>
      </c>
      <c r="E6" s="232" t="n">
        <v>5</v>
      </c>
      <c r="F6" s="232" t="n">
        <v>6</v>
      </c>
      <c r="G6" s="230" t="n"/>
    </row>
    <row r="7" ht="110.25" customHeight="1" s="204">
      <c r="A7" s="208" t="inlineStr">
        <is>
          <t>1.1</t>
        </is>
      </c>
      <c r="B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50" t="inlineStr">
        <is>
          <t>С1ср</t>
        </is>
      </c>
      <c r="D7" s="250" t="inlineStr">
        <is>
          <t>-</t>
        </is>
      </c>
      <c r="E7" s="211" t="n">
        <v>47872.94</v>
      </c>
      <c r="F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30" t="n"/>
    </row>
    <row r="8" ht="31.5" customHeight="1" s="204">
      <c r="A8" s="208" t="inlineStr">
        <is>
          <t>1.2</t>
        </is>
      </c>
      <c r="B8" s="213" t="inlineStr">
        <is>
          <t>Среднегодовое нормативное число часов работы одного рабочего в месяц, часы (ч.)</t>
        </is>
      </c>
      <c r="C8" s="250" t="inlineStr">
        <is>
          <t>tср</t>
        </is>
      </c>
      <c r="D8" s="250" t="inlineStr">
        <is>
          <t>1973ч/12мес.</t>
        </is>
      </c>
      <c r="E8" s="212">
        <f>1973/12</f>
        <v/>
      </c>
      <c r="F8" s="213" t="inlineStr">
        <is>
          <t>Производственный календарь 2023 год
(40-часов.неделя)</t>
        </is>
      </c>
      <c r="G8" s="215" t="n"/>
    </row>
    <row r="9" ht="15.75" customHeight="1" s="204">
      <c r="A9" s="208" t="inlineStr">
        <is>
          <t>1.3</t>
        </is>
      </c>
      <c r="B9" s="213" t="inlineStr">
        <is>
          <t>Коэффициент увеличения</t>
        </is>
      </c>
      <c r="C9" s="250" t="inlineStr">
        <is>
          <t>Кув</t>
        </is>
      </c>
      <c r="D9" s="250" t="inlineStr">
        <is>
          <t>-</t>
        </is>
      </c>
      <c r="E9" s="212" t="n">
        <v>1</v>
      </c>
      <c r="F9" s="213" t="n"/>
      <c r="G9" s="215" t="n"/>
    </row>
    <row r="10" ht="15.75" customHeight="1" s="204">
      <c r="A10" s="208" t="inlineStr">
        <is>
          <t>1.4</t>
        </is>
      </c>
      <c r="B10" s="213" t="inlineStr">
        <is>
          <t>Средний разряд работ</t>
        </is>
      </c>
      <c r="C10" s="250" t="n"/>
      <c r="D10" s="250" t="n"/>
      <c r="E10" s="216" t="n">
        <v>4</v>
      </c>
      <c r="F10" s="213" t="inlineStr">
        <is>
          <t>РТМ</t>
        </is>
      </c>
      <c r="G10" s="215" t="n"/>
    </row>
    <row r="11" ht="78.75" customHeight="1" s="204">
      <c r="A11" s="208" t="inlineStr">
        <is>
          <t>1.5</t>
        </is>
      </c>
      <c r="B11" s="213" t="inlineStr">
        <is>
          <t>Тарифный коэффициент среднего разряда работ</t>
        </is>
      </c>
      <c r="C11" s="250" t="inlineStr">
        <is>
          <t>КТ</t>
        </is>
      </c>
      <c r="D11" s="250" t="inlineStr">
        <is>
          <t>-</t>
        </is>
      </c>
      <c r="E11" s="217" t="n">
        <v>1.34</v>
      </c>
      <c r="F11" s="213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30" t="n"/>
    </row>
    <row r="12" ht="78.75" customHeight="1" s="204">
      <c r="A12" s="208" t="inlineStr">
        <is>
          <t>1.6</t>
        </is>
      </c>
      <c r="B12" s="218" t="inlineStr">
        <is>
          <t>Коэффициент инфляции, определяемый поквартально</t>
        </is>
      </c>
      <c r="C12" s="250" t="inlineStr">
        <is>
          <t>Кинф</t>
        </is>
      </c>
      <c r="D12" s="250" t="inlineStr">
        <is>
          <t>-</t>
        </is>
      </c>
      <c r="E12" s="219" t="n">
        <v>1.139</v>
      </c>
      <c r="F1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215" t="n"/>
    </row>
    <row r="13" ht="63" customHeight="1" s="204">
      <c r="A13" s="221" t="inlineStr">
        <is>
          <t>1.7</t>
        </is>
      </c>
      <c r="B13" s="222" t="inlineStr">
        <is>
          <t>Размер средств на оплату труда рабочих-строителей в текущем уровне цен (ФОТр.тек.), руб/чел.-ч</t>
        </is>
      </c>
      <c r="C13" s="223" t="inlineStr">
        <is>
          <t>ФОТр.тек.</t>
        </is>
      </c>
      <c r="D13" s="223" t="inlineStr">
        <is>
          <t>(С1ср/tср*КТ*Т*Кув)*Кинф</t>
        </is>
      </c>
      <c r="E13" s="224">
        <f>((E7*E9/E8)*E11)*E12</f>
        <v/>
      </c>
      <c r="F13" s="225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30" t="n"/>
    </row>
    <row r="14" ht="14.45" customHeight="1" s="204">
      <c r="A14" s="226" t="n"/>
      <c r="B14" s="286" t="inlineStr">
        <is>
          <t>Ведущий инженер</t>
        </is>
      </c>
      <c r="C14" s="331" t="n"/>
      <c r="D14" s="331" t="n"/>
      <c r="E14" s="331" t="n"/>
      <c r="F14" s="332" t="n"/>
    </row>
    <row r="15" ht="110.25" customHeight="1" s="204">
      <c r="A15" s="208" t="inlineStr">
        <is>
          <t>1.1</t>
        </is>
      </c>
      <c r="B15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15" s="250" t="inlineStr">
        <is>
          <t>С1ср</t>
        </is>
      </c>
      <c r="D15" s="250" t="inlineStr">
        <is>
          <t>-</t>
        </is>
      </c>
      <c r="E15" s="211" t="n">
        <v>47872.94</v>
      </c>
      <c r="F15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15" s="230" t="n"/>
    </row>
    <row r="16" ht="31.5" customHeight="1" s="204">
      <c r="A16" s="208" t="inlineStr">
        <is>
          <t>1.2</t>
        </is>
      </c>
      <c r="B16" s="213" t="inlineStr">
        <is>
          <t>Среднегодовое нормативное число часов работы одного рабочего в месяц, часы (ч.)</t>
        </is>
      </c>
      <c r="C16" s="250" t="inlineStr">
        <is>
          <t>tср</t>
        </is>
      </c>
      <c r="D16" s="250" t="inlineStr">
        <is>
          <t>1973ч/12мес.</t>
        </is>
      </c>
      <c r="E16" s="212">
        <f>1973/12</f>
        <v/>
      </c>
      <c r="F16" s="213" t="inlineStr">
        <is>
          <t>Производственный календарь 2023 год
(40-часов.неделя)</t>
        </is>
      </c>
      <c r="G16" s="215" t="n"/>
    </row>
    <row r="17" ht="15.75" customHeight="1" s="204">
      <c r="A17" s="208" t="inlineStr">
        <is>
          <t>1.3</t>
        </is>
      </c>
      <c r="B17" s="213" t="inlineStr">
        <is>
          <t>Коэффициент увеличения</t>
        </is>
      </c>
      <c r="C17" s="250" t="inlineStr">
        <is>
          <t>Кув</t>
        </is>
      </c>
      <c r="D17" s="250" t="inlineStr">
        <is>
          <t>-</t>
        </is>
      </c>
      <c r="E17" s="212" t="n">
        <v>1</v>
      </c>
      <c r="F17" s="213" t="n"/>
      <c r="G17" s="215" t="n"/>
    </row>
    <row r="18" ht="15.75" customHeight="1" s="204">
      <c r="A18" s="208" t="inlineStr">
        <is>
          <t>1.4</t>
        </is>
      </c>
      <c r="B18" s="213" t="inlineStr">
        <is>
          <t>Средний разряд работ</t>
        </is>
      </c>
      <c r="C18" s="250" t="n"/>
      <c r="D18" s="250" t="n"/>
      <c r="E18" s="216" t="n"/>
      <c r="F18" s="213" t="inlineStr">
        <is>
          <t>РТМ</t>
        </is>
      </c>
      <c r="G18" s="215" t="n"/>
    </row>
    <row r="19" ht="78.75" customHeight="1" s="204">
      <c r="A19" s="221" t="inlineStr">
        <is>
          <t>1.5</t>
        </is>
      </c>
      <c r="B19" s="225" t="inlineStr">
        <is>
          <t>Тарифный коэффициент среднего разряда работ</t>
        </is>
      </c>
      <c r="C19" s="223" t="inlineStr">
        <is>
          <t>КТ</t>
        </is>
      </c>
      <c r="D19" s="223" t="inlineStr">
        <is>
          <t>-</t>
        </is>
      </c>
      <c r="E19" s="227" t="n">
        <v>2.35</v>
      </c>
      <c r="F19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9" s="230" t="n"/>
    </row>
    <row r="20" ht="78.75" customHeight="1" s="204">
      <c r="A20" s="208" t="inlineStr">
        <is>
          <t>1.6</t>
        </is>
      </c>
      <c r="B20" s="218" t="inlineStr">
        <is>
          <t>Коэффициент инфляции, определяемый поквартально</t>
        </is>
      </c>
      <c r="C20" s="250" t="inlineStr">
        <is>
          <t>Кинф</t>
        </is>
      </c>
      <c r="D20" s="250" t="inlineStr">
        <is>
          <t>-</t>
        </is>
      </c>
      <c r="E20" s="219" t="n">
        <v>1.139</v>
      </c>
      <c r="F20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0" s="215" t="n"/>
    </row>
    <row r="21" ht="63" customHeight="1" s="204">
      <c r="A21" s="208" t="inlineStr">
        <is>
          <t>1.7</t>
        </is>
      </c>
      <c r="B21" s="228" t="inlineStr">
        <is>
          <t>Размер средств на оплату труда рабочих-строителей в текущем уровне цен (ФОТр.тек.), руб/чел.-ч</t>
        </is>
      </c>
      <c r="C21" s="250" t="inlineStr">
        <is>
          <t>ФОТр.тек.</t>
        </is>
      </c>
      <c r="D21" s="250" t="inlineStr">
        <is>
          <t>(С1ср/tср*КТ*Т*Кув)*Кинф</t>
        </is>
      </c>
      <c r="E21" s="229">
        <f>((E15*E17/E16)*E19)*E20</f>
        <v/>
      </c>
      <c r="F21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1" s="230" t="n"/>
    </row>
    <row r="22" ht="15.75" customHeight="1" s="204">
      <c r="A22" s="226" t="n"/>
      <c r="B22" s="286" t="inlineStr">
        <is>
          <t>Инженер I категории</t>
        </is>
      </c>
      <c r="C22" s="331" t="n"/>
      <c r="D22" s="331" t="n"/>
      <c r="E22" s="331" t="n"/>
      <c r="F22" s="332" t="n"/>
    </row>
    <row r="23" ht="110.25" customHeight="1" s="204">
      <c r="A23" s="208" t="inlineStr">
        <is>
          <t>1.1</t>
        </is>
      </c>
      <c r="B23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23" s="250" t="inlineStr">
        <is>
          <t>С1ср</t>
        </is>
      </c>
      <c r="D23" s="250" t="inlineStr">
        <is>
          <t>-</t>
        </is>
      </c>
      <c r="E23" s="211" t="n">
        <v>47872.94</v>
      </c>
      <c r="F23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23" s="230" t="n"/>
    </row>
    <row r="24" ht="31.5" customHeight="1" s="204">
      <c r="A24" s="208" t="inlineStr">
        <is>
          <t>1.2</t>
        </is>
      </c>
      <c r="B24" s="213" t="inlineStr">
        <is>
          <t>Среднегодовое нормативное число часов работы одного рабочего в месяц, часы (ч.)</t>
        </is>
      </c>
      <c r="C24" s="250" t="inlineStr">
        <is>
          <t>tср</t>
        </is>
      </c>
      <c r="D24" s="250" t="inlineStr">
        <is>
          <t>1973ч/12мес.</t>
        </is>
      </c>
      <c r="E24" s="212">
        <f>1973/12</f>
        <v/>
      </c>
      <c r="F24" s="213" t="inlineStr">
        <is>
          <t>Производственный календарь 2023 год
(40-часов.неделя)</t>
        </is>
      </c>
      <c r="G24" s="215" t="n"/>
    </row>
    <row r="25" ht="15.75" customHeight="1" s="204">
      <c r="A25" s="208" t="inlineStr">
        <is>
          <t>1.3</t>
        </is>
      </c>
      <c r="B25" s="213" t="inlineStr">
        <is>
          <t>Коэффициент увеличения</t>
        </is>
      </c>
      <c r="C25" s="250" t="inlineStr">
        <is>
          <t>Кув</t>
        </is>
      </c>
      <c r="D25" s="250" t="inlineStr">
        <is>
          <t>-</t>
        </is>
      </c>
      <c r="E25" s="212" t="n">
        <v>1</v>
      </c>
      <c r="F25" s="213" t="n"/>
      <c r="G25" s="215" t="n"/>
    </row>
    <row r="26" ht="15.75" customHeight="1" s="204">
      <c r="A26" s="208" t="inlineStr">
        <is>
          <t>1.4</t>
        </is>
      </c>
      <c r="B26" s="213" t="inlineStr">
        <is>
          <t>Средний разряд работ</t>
        </is>
      </c>
      <c r="C26" s="250" t="n"/>
      <c r="D26" s="250" t="n"/>
      <c r="E26" s="216" t="n">
        <v>1</v>
      </c>
      <c r="F26" s="213" t="inlineStr">
        <is>
          <t>РТМ</t>
        </is>
      </c>
      <c r="G26" s="215" t="n"/>
    </row>
    <row r="27" ht="78.75" customHeight="1" s="204">
      <c r="A27" s="221" t="inlineStr">
        <is>
          <t>1.5</t>
        </is>
      </c>
      <c r="B27" s="225" t="inlineStr">
        <is>
          <t>Тарифный коэффициент среднего разряда работ</t>
        </is>
      </c>
      <c r="C27" s="223" t="inlineStr">
        <is>
          <t>КТ</t>
        </is>
      </c>
      <c r="D27" s="223" t="inlineStr">
        <is>
          <t>-</t>
        </is>
      </c>
      <c r="E27" s="227" t="n">
        <v>2.15</v>
      </c>
      <c r="F27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27" s="230" t="n"/>
    </row>
    <row r="28" ht="78.75" customHeight="1" s="204">
      <c r="A28" s="208" t="inlineStr">
        <is>
          <t>1.6</t>
        </is>
      </c>
      <c r="B28" s="218" t="inlineStr">
        <is>
          <t>Коэффициент инфляции, определяемый поквартально</t>
        </is>
      </c>
      <c r="C28" s="250" t="inlineStr">
        <is>
          <t>Кинф</t>
        </is>
      </c>
      <c r="D28" s="250" t="inlineStr">
        <is>
          <t>-</t>
        </is>
      </c>
      <c r="E28" s="219" t="n">
        <v>1.139</v>
      </c>
      <c r="F28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28" s="215" t="n"/>
    </row>
    <row r="29" ht="63" customHeight="1" s="204">
      <c r="A29" s="208" t="inlineStr">
        <is>
          <t>1.7</t>
        </is>
      </c>
      <c r="B29" s="228" t="inlineStr">
        <is>
          <t>Размер средств на оплату труда рабочих-строителей в текущем уровне цен (ФОТр.тек.), руб/чел.-ч</t>
        </is>
      </c>
      <c r="C29" s="250" t="inlineStr">
        <is>
          <t>ФОТр.тек.</t>
        </is>
      </c>
      <c r="D29" s="250" t="inlineStr">
        <is>
          <t>(С1ср/tср*КТ*Т*Кув)*Кинф</t>
        </is>
      </c>
      <c r="E29" s="229">
        <f>((E23*E25/E24)*E27)*E28</f>
        <v/>
      </c>
      <c r="F29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29" s="230" t="n"/>
    </row>
    <row r="30" ht="15.75" customHeight="1" s="204">
      <c r="A30" s="226" t="n"/>
      <c r="B30" s="286" t="inlineStr">
        <is>
          <t>Инженер II категории</t>
        </is>
      </c>
      <c r="C30" s="331" t="n"/>
      <c r="D30" s="331" t="n"/>
      <c r="E30" s="331" t="n"/>
      <c r="F30" s="332" t="n"/>
    </row>
    <row r="31" ht="110.25" customHeight="1" s="204">
      <c r="A31" s="208" t="inlineStr">
        <is>
          <t>1.1</t>
        </is>
      </c>
      <c r="B31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1" s="250" t="inlineStr">
        <is>
          <t>С1ср</t>
        </is>
      </c>
      <c r="D31" s="250" t="inlineStr">
        <is>
          <t>-</t>
        </is>
      </c>
      <c r="E31" s="211" t="n">
        <v>47872.94</v>
      </c>
      <c r="F31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1" s="230" t="n"/>
    </row>
    <row r="32" ht="31.5" customHeight="1" s="204">
      <c r="A32" s="208" t="inlineStr">
        <is>
          <t>1.2</t>
        </is>
      </c>
      <c r="B32" s="213" t="inlineStr">
        <is>
          <t>Среднегодовое нормативное число часов работы одного рабочего в месяц, часы (ч.)</t>
        </is>
      </c>
      <c r="C32" s="250" t="inlineStr">
        <is>
          <t>tср</t>
        </is>
      </c>
      <c r="D32" s="250" t="inlineStr">
        <is>
          <t>1973ч/12мес.</t>
        </is>
      </c>
      <c r="E32" s="212">
        <f>1973/12</f>
        <v/>
      </c>
      <c r="F32" s="213" t="inlineStr">
        <is>
          <t>Производственный календарь 2023 год
(40-часов.неделя)</t>
        </is>
      </c>
      <c r="G32" s="215" t="n"/>
    </row>
    <row r="33" ht="15.75" customHeight="1" s="204">
      <c r="A33" s="208" t="inlineStr">
        <is>
          <t>1.3</t>
        </is>
      </c>
      <c r="B33" s="213" t="inlineStr">
        <is>
          <t>Коэффициент увеличения</t>
        </is>
      </c>
      <c r="C33" s="250" t="inlineStr">
        <is>
          <t>Кув</t>
        </is>
      </c>
      <c r="D33" s="250" t="inlineStr">
        <is>
          <t>-</t>
        </is>
      </c>
      <c r="E33" s="212" t="n">
        <v>1</v>
      </c>
      <c r="F33" s="213" t="n"/>
      <c r="G33" s="215" t="n"/>
    </row>
    <row r="34" ht="15.75" customHeight="1" s="204">
      <c r="A34" s="208" t="inlineStr">
        <is>
          <t>1.4</t>
        </is>
      </c>
      <c r="B34" s="213" t="inlineStr">
        <is>
          <t>Средний разряд работ</t>
        </is>
      </c>
      <c r="C34" s="250" t="n"/>
      <c r="D34" s="250" t="n"/>
      <c r="E34" s="216" t="n">
        <v>2</v>
      </c>
      <c r="F34" s="213" t="inlineStr">
        <is>
          <t>РТМ</t>
        </is>
      </c>
      <c r="G34" s="215" t="n"/>
    </row>
    <row r="35" ht="78.75" customHeight="1" s="204">
      <c r="A35" s="221" t="inlineStr">
        <is>
          <t>1.5</t>
        </is>
      </c>
      <c r="B35" s="225" t="inlineStr">
        <is>
          <t>Тарифный коэффициент среднего разряда работ</t>
        </is>
      </c>
      <c r="C35" s="223" t="inlineStr">
        <is>
          <t>КТ</t>
        </is>
      </c>
      <c r="D35" s="223" t="inlineStr">
        <is>
          <t>-</t>
        </is>
      </c>
      <c r="E35" s="227" t="n">
        <v>1.96</v>
      </c>
      <c r="F35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35" s="230" t="n"/>
    </row>
    <row r="36" ht="78.75" customHeight="1" s="204">
      <c r="A36" s="208" t="inlineStr">
        <is>
          <t>1.6</t>
        </is>
      </c>
      <c r="B36" s="218" t="inlineStr">
        <is>
          <t>Коэффициент инфляции, определяемый поквартально</t>
        </is>
      </c>
      <c r="C36" s="250" t="inlineStr">
        <is>
          <t>Кинф</t>
        </is>
      </c>
      <c r="D36" s="250" t="inlineStr">
        <is>
          <t>-</t>
        </is>
      </c>
      <c r="E36" s="219" t="n">
        <v>1.139</v>
      </c>
      <c r="F36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36" s="215" t="n"/>
    </row>
    <row r="37" ht="63" customHeight="1" s="204">
      <c r="A37" s="208" t="inlineStr">
        <is>
          <t>1.7</t>
        </is>
      </c>
      <c r="B37" s="228" t="inlineStr">
        <is>
          <t>Размер средств на оплату труда рабочих-строителей в текущем уровне цен (ФОТр.тек.), руб/чел.-ч</t>
        </is>
      </c>
      <c r="C37" s="250" t="inlineStr">
        <is>
          <t>ФОТр.тек.</t>
        </is>
      </c>
      <c r="D37" s="250" t="inlineStr">
        <is>
          <t>(С1ср/tср*КТ*Т*Кув)*Кинф</t>
        </is>
      </c>
      <c r="E37" s="229">
        <f>((E31*E33/E32)*E35)*E36</f>
        <v/>
      </c>
      <c r="F37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37" s="230" t="n"/>
    </row>
    <row r="38" ht="15.75" customHeight="1" s="204">
      <c r="A38" s="226" t="n"/>
      <c r="B38" s="286" t="inlineStr">
        <is>
          <t>Инженер III категории</t>
        </is>
      </c>
      <c r="C38" s="331" t="n"/>
      <c r="D38" s="331" t="n"/>
      <c r="E38" s="331" t="n"/>
      <c r="F38" s="332" t="n"/>
    </row>
    <row r="39" ht="110.25" customHeight="1" s="204">
      <c r="A39" s="208" t="inlineStr">
        <is>
          <t>1.1</t>
        </is>
      </c>
      <c r="B39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39" s="250" t="inlineStr">
        <is>
          <t>С1ср</t>
        </is>
      </c>
      <c r="D39" s="250" t="inlineStr">
        <is>
          <t>-</t>
        </is>
      </c>
      <c r="E39" s="211" t="n">
        <v>47872.94</v>
      </c>
      <c r="F39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39" s="230" t="n"/>
    </row>
    <row r="40" ht="31.5" customHeight="1" s="204">
      <c r="A40" s="208" t="inlineStr">
        <is>
          <t>1.2</t>
        </is>
      </c>
      <c r="B40" s="213" t="inlineStr">
        <is>
          <t>Среднегодовое нормативное число часов работы одного рабочего в месяц, часы (ч.)</t>
        </is>
      </c>
      <c r="C40" s="250" t="inlineStr">
        <is>
          <t>tср</t>
        </is>
      </c>
      <c r="D40" s="250" t="inlineStr">
        <is>
          <t>1973ч/12мес.</t>
        </is>
      </c>
      <c r="E40" s="212">
        <f>1973/12</f>
        <v/>
      </c>
      <c r="F40" s="213" t="inlineStr">
        <is>
          <t>Производственный календарь 2023 год
(40-часов.неделя)</t>
        </is>
      </c>
      <c r="G40" s="215" t="n"/>
    </row>
    <row r="41" ht="15.75" customHeight="1" s="204">
      <c r="A41" s="208" t="inlineStr">
        <is>
          <t>1.3</t>
        </is>
      </c>
      <c r="B41" s="213" t="inlineStr">
        <is>
          <t>Коэффициент увеличения</t>
        </is>
      </c>
      <c r="C41" s="250" t="inlineStr">
        <is>
          <t>Кув</t>
        </is>
      </c>
      <c r="D41" s="250" t="inlineStr">
        <is>
          <t>-</t>
        </is>
      </c>
      <c r="E41" s="212" t="n">
        <v>1</v>
      </c>
      <c r="F41" s="213" t="n"/>
      <c r="G41" s="215" t="n"/>
    </row>
    <row r="42" ht="15.75" customHeight="1" s="204">
      <c r="A42" s="208" t="inlineStr">
        <is>
          <t>1.4</t>
        </is>
      </c>
      <c r="B42" s="213" t="inlineStr">
        <is>
          <t>Средний разряд работ</t>
        </is>
      </c>
      <c r="C42" s="250" t="n"/>
      <c r="D42" s="250" t="n"/>
      <c r="E42" s="216" t="n">
        <v>3</v>
      </c>
      <c r="F42" s="213" t="inlineStr">
        <is>
          <t>РТМ</t>
        </is>
      </c>
      <c r="G42" s="215" t="n"/>
    </row>
    <row r="43" ht="78.75" customHeight="1" s="204">
      <c r="A43" s="221" t="inlineStr">
        <is>
          <t>1.5</t>
        </is>
      </c>
      <c r="B43" s="225" t="inlineStr">
        <is>
          <t>Тарифный коэффициент среднего разряда работ</t>
        </is>
      </c>
      <c r="C43" s="223" t="inlineStr">
        <is>
          <t>КТ</t>
        </is>
      </c>
      <c r="D43" s="223" t="inlineStr">
        <is>
          <t>-</t>
        </is>
      </c>
      <c r="E43" s="227" t="n">
        <v>1.76</v>
      </c>
      <c r="F43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43" s="230" t="n"/>
    </row>
    <row r="44" ht="78.75" customHeight="1" s="204">
      <c r="A44" s="208" t="inlineStr">
        <is>
          <t>1.6</t>
        </is>
      </c>
      <c r="B44" s="218" t="inlineStr">
        <is>
          <t>Коэффициент инфляции, определяемый поквартально</t>
        </is>
      </c>
      <c r="C44" s="250" t="inlineStr">
        <is>
          <t>Кинф</t>
        </is>
      </c>
      <c r="D44" s="250" t="inlineStr">
        <is>
          <t>-</t>
        </is>
      </c>
      <c r="E44" s="219" t="n">
        <v>1.139</v>
      </c>
      <c r="F44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44" s="215" t="n"/>
    </row>
    <row r="45" ht="63" customHeight="1" s="204">
      <c r="A45" s="208" t="inlineStr">
        <is>
          <t>1.7</t>
        </is>
      </c>
      <c r="B45" s="228" t="inlineStr">
        <is>
          <t>Размер средств на оплату труда рабочих-строителей в текущем уровне цен (ФОТр.тек.), руб/чел.-ч</t>
        </is>
      </c>
      <c r="C45" s="250" t="inlineStr">
        <is>
          <t>ФОТр.тек.</t>
        </is>
      </c>
      <c r="D45" s="250" t="inlineStr">
        <is>
          <t>(С1ср/tср*КТ*Т*Кув)*Кинф</t>
        </is>
      </c>
      <c r="E45" s="229">
        <f>((E39*E41/E40)*E43)*E44</f>
        <v/>
      </c>
      <c r="F45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45" s="230" t="n"/>
    </row>
    <row r="46" ht="15.75" customHeight="1" s="204">
      <c r="A46" s="226" t="n"/>
      <c r="B46" s="286" t="inlineStr">
        <is>
          <t>Техник I категории</t>
        </is>
      </c>
      <c r="C46" s="331" t="n"/>
      <c r="D46" s="331" t="n"/>
      <c r="E46" s="331" t="n"/>
      <c r="F46" s="332" t="n"/>
    </row>
    <row r="47" ht="110.25" customHeight="1" s="204">
      <c r="A47" s="208" t="inlineStr">
        <is>
          <t>1.1</t>
        </is>
      </c>
      <c r="B47" s="213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47" s="250" t="inlineStr">
        <is>
          <t>С1ср</t>
        </is>
      </c>
      <c r="D47" s="250" t="inlineStr">
        <is>
          <t>-</t>
        </is>
      </c>
      <c r="E47" s="211" t="n">
        <v>47872.94</v>
      </c>
      <c r="F47" s="213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47" s="230" t="n"/>
    </row>
    <row r="48" ht="31.5" customHeight="1" s="204">
      <c r="A48" s="208" t="inlineStr">
        <is>
          <t>1.2</t>
        </is>
      </c>
      <c r="B48" s="213" t="inlineStr">
        <is>
          <t>Среднегодовое нормативное число часов работы одного рабочего в месяц, часы (ч.)</t>
        </is>
      </c>
      <c r="C48" s="250" t="inlineStr">
        <is>
          <t>tср</t>
        </is>
      </c>
      <c r="D48" s="250" t="inlineStr">
        <is>
          <t>1973ч/12мес.</t>
        </is>
      </c>
      <c r="E48" s="212">
        <f>1973/12</f>
        <v/>
      </c>
      <c r="F48" s="213" t="inlineStr">
        <is>
          <t>Производственный календарь 2023 год
(40-часов.неделя)</t>
        </is>
      </c>
      <c r="G48" s="215" t="n"/>
    </row>
    <row r="49" ht="15.75" customHeight="1" s="204">
      <c r="A49" s="208" t="inlineStr">
        <is>
          <t>1.3</t>
        </is>
      </c>
      <c r="B49" s="213" t="inlineStr">
        <is>
          <t>Коэффициент увеличения</t>
        </is>
      </c>
      <c r="C49" s="250" t="inlineStr">
        <is>
          <t>Кув</t>
        </is>
      </c>
      <c r="D49" s="250" t="inlineStr">
        <is>
          <t>-</t>
        </is>
      </c>
      <c r="E49" s="212" t="n">
        <v>1</v>
      </c>
      <c r="F49" s="213" t="n"/>
      <c r="G49" s="215" t="n"/>
    </row>
    <row r="50" ht="15.75" customHeight="1" s="204">
      <c r="A50" s="208" t="inlineStr">
        <is>
          <t>1.4</t>
        </is>
      </c>
      <c r="B50" s="213" t="inlineStr">
        <is>
          <t>Средний разряд работ</t>
        </is>
      </c>
      <c r="C50" s="250" t="n"/>
      <c r="D50" s="250" t="n"/>
      <c r="E50" s="216" t="n">
        <v>1</v>
      </c>
      <c r="F50" s="213" t="inlineStr">
        <is>
          <t>РТМ</t>
        </is>
      </c>
      <c r="G50" s="215" t="n"/>
    </row>
    <row r="51" ht="78.75" customHeight="1" s="204">
      <c r="A51" s="221" t="inlineStr">
        <is>
          <t>1.5</t>
        </is>
      </c>
      <c r="B51" s="225" t="inlineStr">
        <is>
          <t>Тарифный коэффициент среднего разряда работ</t>
        </is>
      </c>
      <c r="C51" s="223" t="inlineStr">
        <is>
          <t>КТ</t>
        </is>
      </c>
      <c r="D51" s="223" t="inlineStr">
        <is>
          <t>-</t>
        </is>
      </c>
      <c r="E51" s="227" t="n">
        <v>1.42</v>
      </c>
      <c r="F51" s="225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51" s="230" t="n"/>
    </row>
    <row r="52" ht="78.75" customHeight="1" s="204">
      <c r="A52" s="208" t="inlineStr">
        <is>
          <t>1.6</t>
        </is>
      </c>
      <c r="B52" s="218" t="inlineStr">
        <is>
          <t>Коэффициент инфляции, определяемый поквартально</t>
        </is>
      </c>
      <c r="C52" s="250" t="inlineStr">
        <is>
          <t>Кинф</t>
        </is>
      </c>
      <c r="D52" s="250" t="inlineStr">
        <is>
          <t>-</t>
        </is>
      </c>
      <c r="E52" s="219" t="n">
        <v>1.139</v>
      </c>
      <c r="F52" s="220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52" s="215" t="n"/>
    </row>
    <row r="53" ht="63" customHeight="1" s="204">
      <c r="A53" s="208" t="inlineStr">
        <is>
          <t>1.7</t>
        </is>
      </c>
      <c r="B53" s="228" t="inlineStr">
        <is>
          <t>Размер средств на оплату труда рабочих-строителей в текущем уровне цен (ФОТр.тек.), руб/чел.-ч</t>
        </is>
      </c>
      <c r="C53" s="250" t="inlineStr">
        <is>
          <t>ФОТр.тек.</t>
        </is>
      </c>
      <c r="D53" s="250" t="inlineStr">
        <is>
          <t>(С1ср/tср*КТ*Т*Кув)*Кинф</t>
        </is>
      </c>
      <c r="E53" s="229">
        <f>((E47*E49/E48)*E51)*E52</f>
        <v/>
      </c>
      <c r="F53" s="213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53" s="230" t="n"/>
    </row>
  </sheetData>
  <mergeCells count="6">
    <mergeCell ref="B30:F30"/>
    <mergeCell ref="A2:F2"/>
    <mergeCell ref="B38:F38"/>
    <mergeCell ref="B46:F46"/>
    <mergeCell ref="B22:F22"/>
    <mergeCell ref="B14:F14"/>
  </mergeCells>
  <pageMargins left="0.7" right="0.7" top="0.75" bottom="0.75" header="0.3" footer="0.3"/>
  <pageSetup orientation="portrait" paperSize="9" scale="56" fitToHeight="0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2025-01-24T12:16:41Z</dcterms:modified>
  <cp:lastModifiedBy>REDMIBOOK</cp:lastModifiedBy>
  <cp:lastPrinted>2023-11-28T07:45:10Z</cp:lastPrinted>
</cp:coreProperties>
</file>