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4" borderId="1" applyAlignment="1" pivotButton="0" quotePrefix="0" xfId="0">
      <alignment horizontal="right" vertical="center"/>
    </xf>
    <xf numFmtId="0" fontId="1" fillId="4" borderId="2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6" applyAlignment="1" pivotButton="0" quotePrefix="0" xfId="0">
      <alignment horizontal="left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4" fontId="1" fillId="4" borderId="7" applyAlignment="1" pivotButton="0" quotePrefix="0" xfId="0">
      <alignment horizontal="right" vertical="center" wrapText="1"/>
    </xf>
    <xf numFmtId="0" fontId="1" fillId="4" borderId="4" applyAlignment="1" pivotButton="0" quotePrefix="0" xfId="0">
      <alignment horizontal="center" vertical="center" wrapText="1"/>
    </xf>
    <xf numFmtId="0" fontId="1" fillId="4" borderId="4" applyAlignment="1" pivotButton="0" quotePrefix="0" xfId="0">
      <alignment horizontal="left" vertical="center" wrapText="1"/>
    </xf>
    <xf numFmtId="167" fontId="1" fillId="4" borderId="4" applyAlignment="1" pivotButton="0" quotePrefix="0" xfId="0">
      <alignment horizontal="center" vertical="center" wrapText="1"/>
    </xf>
    <xf numFmtId="2" fontId="1" fillId="4" borderId="4" applyAlignment="1" pivotButton="0" quotePrefix="0" xfId="0">
      <alignment horizontal="right" vertical="center" wrapText="1"/>
    </xf>
    <xf numFmtId="4" fontId="1" fillId="4" borderId="4" applyAlignment="1" pivotButton="0" quotePrefix="0" xfId="0">
      <alignment horizontal="right" vertical="center" wrapText="1"/>
    </xf>
    <xf numFmtId="10" fontId="1" fillId="4" borderId="4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0" fontId="15" fillId="4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5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7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70" zoomScaleNormal="55" workbookViewId="0">
      <selection activeCell="C56" sqref="C56"/>
    </sheetView>
  </sheetViews>
  <sheetFormatPr baseColWidth="8" defaultColWidth="9.140625" defaultRowHeight="15.75"/>
  <cols>
    <col width="9.140625" customWidth="1" style="241" min="1" max="2"/>
    <col width="51.7109375" customWidth="1" style="241" min="3" max="3"/>
    <col width="47" customWidth="1" style="241" min="4" max="4"/>
    <col width="37.42578125" customWidth="1" style="241" min="5" max="5"/>
    <col width="9.140625" customWidth="1" style="241" min="6" max="6"/>
  </cols>
  <sheetData>
    <row r="3">
      <c r="B3" s="256" t="inlineStr">
        <is>
          <t>Приложение № 1</t>
        </is>
      </c>
    </row>
    <row r="4">
      <c r="B4" s="257" t="inlineStr">
        <is>
          <t>Сравнительная таблица отбора объекта-представителя</t>
        </is>
      </c>
    </row>
    <row r="5" ht="84.2" customHeight="1" s="215">
      <c r="B5" s="2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5">
      <c r="B6" s="166" t="n"/>
      <c r="C6" s="166" t="n"/>
      <c r="D6" s="166" t="n"/>
    </row>
    <row r="7" ht="64.5" customHeight="1" s="215">
      <c r="B7" s="258" t="inlineStr">
        <is>
          <t>Наименование разрабатываемого показателя УНЦ - РЗА Ячейка АТ330 кВ менее 200 МВА</t>
        </is>
      </c>
    </row>
    <row r="8" ht="31.7" customHeight="1" s="215">
      <c r="B8" s="258" t="inlineStr">
        <is>
          <t>Сопоставимый уровень цен:  4 квартал 2012 г</t>
        </is>
      </c>
    </row>
    <row r="9" ht="15.75" customHeight="1" s="215">
      <c r="B9" s="258" t="inlineStr">
        <is>
          <t>Единица измерения  — 1 комплект</t>
        </is>
      </c>
    </row>
    <row r="10">
      <c r="B10" s="258" t="n"/>
    </row>
    <row r="11">
      <c r="B11" s="261" t="inlineStr">
        <is>
          <t>№ п/п</t>
        </is>
      </c>
      <c r="C11" s="261" t="inlineStr">
        <is>
          <t>Параметр</t>
        </is>
      </c>
      <c r="D11" s="261" t="inlineStr">
        <is>
          <t xml:space="preserve">Объект-представитель </t>
        </is>
      </c>
      <c r="E11" s="147" t="n"/>
    </row>
    <row r="12" ht="96.75" customHeight="1" s="215">
      <c r="B12" s="261" t="n">
        <v>1</v>
      </c>
      <c r="C12" s="229" t="inlineStr">
        <is>
          <t>Наименование объекта-представителя</t>
        </is>
      </c>
      <c r="D12" s="213" t="inlineStr">
        <is>
          <t>ПС 330 кВ Кисловодск (МЭС Юга)</t>
        </is>
      </c>
    </row>
    <row r="13">
      <c r="B13" s="261" t="n">
        <v>2</v>
      </c>
      <c r="C13" s="229" t="inlineStr">
        <is>
          <t>Наименование субъекта Российской Федерации</t>
        </is>
      </c>
      <c r="D13" s="213" t="inlineStr">
        <is>
          <t>Ставропольский край</t>
        </is>
      </c>
    </row>
    <row r="14">
      <c r="B14" s="261" t="n">
        <v>3</v>
      </c>
      <c r="C14" s="229" t="inlineStr">
        <is>
          <t>Климатический район и подрайон</t>
        </is>
      </c>
      <c r="D14" s="214" t="inlineStr">
        <is>
          <t>IIIВ</t>
        </is>
      </c>
    </row>
    <row r="15">
      <c r="B15" s="261" t="n">
        <v>4</v>
      </c>
      <c r="C15" s="229" t="inlineStr">
        <is>
          <t>Мощность объекта</t>
        </is>
      </c>
      <c r="D15" s="213" t="n">
        <v>2</v>
      </c>
    </row>
    <row r="16" ht="116.45" customHeight="1" s="215">
      <c r="B16" s="261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79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</t>
        </is>
      </c>
    </row>
    <row r="17" ht="79.5" customHeight="1" s="215">
      <c r="B17" s="261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 t="n">
        <v>7339.1572795782</v>
      </c>
      <c r="E17" s="165" t="n"/>
    </row>
    <row r="18">
      <c r="B18" s="146" t="inlineStr">
        <is>
          <t>6.1</t>
        </is>
      </c>
      <c r="C18" s="229" t="inlineStr">
        <is>
          <t>строительно-монтажные работы</t>
        </is>
      </c>
      <c r="D18" s="179">
        <f>'Прил.2 Расч стоим'!G13</f>
        <v/>
      </c>
    </row>
    <row r="19" ht="15.75" customHeight="1" s="215">
      <c r="B19" s="146" t="inlineStr">
        <is>
          <t>6.2</t>
        </is>
      </c>
      <c r="C19" s="229" t="inlineStr">
        <is>
          <t>оборудование и инвентарь</t>
        </is>
      </c>
      <c r="D19" s="179">
        <f>'Прил.2 Расч стоим'!H13</f>
        <v/>
      </c>
    </row>
    <row r="20" ht="16.5" customHeight="1" s="215">
      <c r="B20" s="146" t="inlineStr">
        <is>
          <t>6.3</t>
        </is>
      </c>
      <c r="C20" s="229" t="inlineStr">
        <is>
          <t>пусконаладочные работы</t>
        </is>
      </c>
      <c r="D20" s="179" t="n"/>
    </row>
    <row r="21" ht="35.45" customHeight="1" s="215">
      <c r="B21" s="146" t="inlineStr">
        <is>
          <t>6.4</t>
        </is>
      </c>
      <c r="C21" s="145" t="inlineStr">
        <is>
          <t>прочие и лимитированные затраты</t>
        </is>
      </c>
      <c r="D21" s="179">
        <f>'Прил.2 Расч стоим'!I13</f>
        <v/>
      </c>
    </row>
    <row r="22">
      <c r="B22" s="261" t="n">
        <v>7</v>
      </c>
      <c r="C22" s="145" t="inlineStr">
        <is>
          <t>Сопоставимый уровень цен</t>
        </is>
      </c>
      <c r="D22" s="180" t="inlineStr">
        <is>
          <t>4 квартал 2012 г</t>
        </is>
      </c>
      <c r="E22" s="143" t="n"/>
    </row>
    <row r="23" ht="123" customHeight="1" s="215">
      <c r="B23" s="261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>
        <f>D17</f>
        <v/>
      </c>
      <c r="E23" s="165" t="n"/>
    </row>
    <row r="24" ht="60.75" customHeight="1" s="215">
      <c r="B24" s="261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79">
        <f>D23/D15</f>
        <v/>
      </c>
      <c r="E24" s="143" t="n"/>
    </row>
    <row r="25" ht="48.2" customHeight="1" s="215">
      <c r="B25" s="261" t="n">
        <v>10</v>
      </c>
      <c r="C25" s="229" t="inlineStr">
        <is>
          <t>Примечание</t>
        </is>
      </c>
      <c r="D25" s="261" t="n"/>
    </row>
    <row r="26">
      <c r="B26" s="142" t="n"/>
      <c r="C26" s="141" t="n"/>
      <c r="D26" s="141" t="n"/>
    </row>
    <row r="27" ht="37.5" customHeight="1" s="215">
      <c r="B27" s="140" t="n"/>
    </row>
    <row r="28">
      <c r="B28" s="241" t="inlineStr">
        <is>
          <t>Составил ______________________    Е.Р. Брызгалова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41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C56" sqref="C56"/>
    </sheetView>
  </sheetViews>
  <sheetFormatPr baseColWidth="8" defaultColWidth="9.140625" defaultRowHeight="15.75"/>
  <cols>
    <col width="5.5703125" customWidth="1" style="241" min="1" max="1"/>
    <col width="9.140625" customWidth="1" style="241" min="2" max="2"/>
    <col width="35.28515625" customWidth="1" style="241" min="3" max="3"/>
    <col width="13.85546875" customWidth="1" style="241" min="4" max="4"/>
    <col width="24.85546875" customWidth="1" style="241" min="5" max="5"/>
    <col width="15.5703125" customWidth="1" style="241" min="6" max="6"/>
    <col width="14.85546875" customWidth="1" style="241" min="7" max="7"/>
    <col width="16.7109375" customWidth="1" style="241" min="8" max="8"/>
    <col width="13" customWidth="1" style="241" min="9" max="10"/>
    <col width="18" customWidth="1" style="241" min="11" max="11"/>
    <col width="9.140625" customWidth="1" style="241" min="12" max="12"/>
  </cols>
  <sheetData>
    <row r="3">
      <c r="B3" s="256" t="inlineStr">
        <is>
          <t>Приложение № 2</t>
        </is>
      </c>
      <c r="K3" s="140" t="n"/>
    </row>
    <row r="4">
      <c r="B4" s="257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15">
      <c r="B6" s="258">
        <f>'Прил.1 Сравнит табл'!B7:D7</f>
        <v/>
      </c>
    </row>
    <row r="7">
      <c r="B7" s="258">
        <f>'Прил.1 Сравнит табл'!B9:D9</f>
        <v/>
      </c>
    </row>
    <row r="8" ht="18.75" customHeight="1" s="215">
      <c r="B8" s="116" t="n"/>
    </row>
    <row r="9" ht="15.75" customHeight="1" s="215">
      <c r="A9" s="241" t="n"/>
      <c r="B9" s="261" t="inlineStr">
        <is>
          <t>№ п/п</t>
        </is>
      </c>
      <c r="C9" s="2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61" t="inlineStr">
        <is>
          <t xml:space="preserve">Объект-представитель </t>
        </is>
      </c>
      <c r="E9" s="342" t="n"/>
      <c r="F9" s="342" t="n"/>
      <c r="G9" s="342" t="n"/>
      <c r="H9" s="342" t="n"/>
      <c r="I9" s="342" t="n"/>
      <c r="J9" s="343" t="n"/>
      <c r="K9" s="241" t="n"/>
      <c r="L9" s="241" t="n"/>
    </row>
    <row r="10" ht="15.75" customHeight="1" s="215">
      <c r="A10" s="241" t="n"/>
      <c r="B10" s="344" t="n"/>
      <c r="C10" s="344" t="n"/>
      <c r="D10" s="261" t="inlineStr">
        <is>
          <t>Номер сметы</t>
        </is>
      </c>
      <c r="E10" s="261" t="inlineStr">
        <is>
          <t>Наименование сметы</t>
        </is>
      </c>
      <c r="F10" s="261" t="inlineStr">
        <is>
          <t>Сметная стоимость в уровне цен 4 кв. 2012 г., тыс. руб.</t>
        </is>
      </c>
      <c r="G10" s="342" t="n"/>
      <c r="H10" s="342" t="n"/>
      <c r="I10" s="342" t="n"/>
      <c r="J10" s="343" t="n"/>
      <c r="K10" s="241" t="n"/>
      <c r="L10" s="241" t="n"/>
    </row>
    <row r="11" ht="31.5" customHeight="1" s="215">
      <c r="A11" s="241" t="n"/>
      <c r="B11" s="345" t="n"/>
      <c r="C11" s="345" t="n"/>
      <c r="D11" s="345" t="n"/>
      <c r="E11" s="345" t="n"/>
      <c r="F11" s="261" t="inlineStr">
        <is>
          <t>Строительные работы</t>
        </is>
      </c>
      <c r="G11" s="261" t="inlineStr">
        <is>
          <t>Монтажные работы</t>
        </is>
      </c>
      <c r="H11" s="261" t="inlineStr">
        <is>
          <t>Оборудование</t>
        </is>
      </c>
      <c r="I11" s="261" t="inlineStr">
        <is>
          <t>Прочее</t>
        </is>
      </c>
      <c r="J11" s="261" t="inlineStr">
        <is>
          <t>Всего</t>
        </is>
      </c>
      <c r="K11" s="241" t="n"/>
      <c r="L11" s="241" t="n"/>
    </row>
    <row r="12" ht="175.5" customHeight="1" s="215">
      <c r="B12" s="243" t="n">
        <v>1</v>
      </c>
      <c r="C12" s="229" t="inlineStr">
        <is>
          <t>Комплект основных защит автотрансформатора
Комплект резервных защит автотрансформатора
Шкаф автоматики регулирования напряжения
Дифференциальная защита ошиновки</t>
        </is>
      </c>
      <c r="D12" s="244" t="inlineStr">
        <is>
          <t>7.02-05-01</t>
        </is>
      </c>
      <c r="E12" s="229" t="inlineStr">
        <is>
          <t xml:space="preserve">VII этап. Релейная защита ШР 500 кВ </t>
        </is>
      </c>
      <c r="F12" s="245" t="n"/>
      <c r="G12" s="245">
        <f>552642*6.75/1000</f>
        <v/>
      </c>
      <c r="H12" s="245">
        <f>18633464*3.82/1000</f>
        <v/>
      </c>
      <c r="I12" s="246">
        <f>(F12+G12)*3.9%+((F12+G12)*3.9%+F12+G12)*0.6%*1.2</f>
        <v/>
      </c>
      <c r="J12" s="247">
        <f>SUM(F12:I12)</f>
        <v/>
      </c>
    </row>
    <row r="13" ht="15.75" customHeight="1" s="215">
      <c r="A13" s="241" t="n"/>
      <c r="B13" s="260" t="inlineStr">
        <is>
          <t>Всего по объекту:</t>
        </is>
      </c>
      <c r="C13" s="342" t="n"/>
      <c r="D13" s="342" t="n"/>
      <c r="E13" s="343" t="n"/>
      <c r="F13" s="248">
        <f>F12</f>
        <v/>
      </c>
      <c r="G13" s="248">
        <f>G12</f>
        <v/>
      </c>
      <c r="H13" s="248">
        <f>H12</f>
        <v/>
      </c>
      <c r="I13" s="248">
        <f>I12</f>
        <v/>
      </c>
      <c r="J13" s="248">
        <f>J12</f>
        <v/>
      </c>
      <c r="K13" s="241" t="n"/>
      <c r="L13" s="241" t="n"/>
    </row>
    <row r="14">
      <c r="A14" s="241" t="n"/>
      <c r="B14" s="260" t="inlineStr">
        <is>
          <t>Всего по объекту в сопоставимом уровне цен 4 кв. 2012 г:</t>
        </is>
      </c>
      <c r="C14" s="342" t="n"/>
      <c r="D14" s="342" t="n"/>
      <c r="E14" s="343" t="n"/>
      <c r="F14" s="248">
        <f>F13</f>
        <v/>
      </c>
      <c r="G14" s="248">
        <f>G13</f>
        <v/>
      </c>
      <c r="H14" s="248">
        <f>H13</f>
        <v/>
      </c>
      <c r="I14" s="248">
        <f>I13</f>
        <v/>
      </c>
      <c r="J14" s="248">
        <f>J13</f>
        <v/>
      </c>
      <c r="K14" s="241" t="n"/>
      <c r="L14" s="241" t="n"/>
    </row>
    <row r="15" ht="15" customHeight="1" s="215"/>
    <row r="16" ht="15" customHeight="1" s="215"/>
    <row r="17" ht="15" customHeight="1" s="215"/>
    <row r="18" ht="15" customHeight="1" s="215">
      <c r="C18" s="201" t="inlineStr">
        <is>
          <t>Составил ______________________     Е.Р. Брызгалова</t>
        </is>
      </c>
      <c r="D18" s="211" t="n"/>
      <c r="E18" s="211" t="n"/>
    </row>
    <row r="19" ht="15" customHeight="1" s="215">
      <c r="C19" s="212" t="inlineStr">
        <is>
          <t xml:space="preserve">                         (подпись, инициалы, фамилия)</t>
        </is>
      </c>
      <c r="D19" s="211" t="n"/>
      <c r="E19" s="211" t="n"/>
    </row>
    <row r="20" ht="15" customHeight="1" s="215">
      <c r="C20" s="201" t="n"/>
      <c r="D20" s="211" t="n"/>
      <c r="E20" s="211" t="n"/>
    </row>
    <row r="21" ht="15" customHeight="1" s="215">
      <c r="C21" s="201" t="inlineStr">
        <is>
          <t>Проверил ______________________        А.В. Костянецкая</t>
        </is>
      </c>
      <c r="D21" s="211" t="n"/>
      <c r="E21" s="211" t="n"/>
    </row>
    <row r="22" ht="15" customHeight="1" s="215">
      <c r="C22" s="212" t="inlineStr">
        <is>
          <t xml:space="preserve">                        (подпись, инициалы, фамилия)</t>
        </is>
      </c>
      <c r="D22" s="211" t="n"/>
      <c r="E22" s="211" t="n"/>
    </row>
    <row r="23" ht="15" customHeight="1" s="215"/>
    <row r="24" ht="15" customHeight="1" s="215"/>
    <row r="25" ht="15" customHeight="1" s="215"/>
    <row r="26" ht="15" customHeight="1" s="215"/>
    <row r="27" ht="15" customHeight="1" s="215"/>
    <row r="28" ht="15" customHeight="1" s="21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81"/>
  <sheetViews>
    <sheetView view="pageBreakPreview" zoomScale="25" zoomScaleSheetLayoutView="25" workbookViewId="0">
      <selection activeCell="Z86" sqref="Z86"/>
    </sheetView>
  </sheetViews>
  <sheetFormatPr baseColWidth="8" defaultColWidth="9.140625" defaultRowHeight="15.75"/>
  <cols>
    <col width="9.140625" customWidth="1" style="241" min="1" max="1"/>
    <col width="12.5703125" customWidth="1" style="241" min="2" max="2"/>
    <col width="22.42578125" customWidth="1" style="241" min="3" max="3"/>
    <col width="49.7109375" customWidth="1" style="241" min="4" max="4"/>
    <col width="10.140625" customWidth="1" style="241" min="5" max="5"/>
    <col width="20.7109375" customWidth="1" style="241" min="6" max="6"/>
    <col width="20" customWidth="1" style="241" min="7" max="7"/>
    <col width="16.7109375" customWidth="1" style="241" min="8" max="8"/>
    <col width="9.140625" customWidth="1" style="241" min="9" max="10"/>
    <col width="15" customWidth="1" style="241" min="11" max="11"/>
    <col width="9.140625" customWidth="1" style="241" min="12" max="12"/>
  </cols>
  <sheetData>
    <row r="2" s="215">
      <c r="A2" s="241" t="n"/>
      <c r="B2" s="241" t="n"/>
      <c r="C2" s="241" t="n"/>
      <c r="D2" s="241" t="n"/>
      <c r="E2" s="241" t="n"/>
      <c r="F2" s="241" t="n"/>
      <c r="G2" s="241" t="n"/>
      <c r="H2" s="241" t="n"/>
      <c r="I2" s="241" t="n"/>
      <c r="J2" s="241" t="n"/>
      <c r="K2" s="241" t="n"/>
      <c r="L2" s="241" t="n"/>
    </row>
    <row r="3">
      <c r="A3" s="256" t="inlineStr">
        <is>
          <t xml:space="preserve">Приложение № 3 </t>
        </is>
      </c>
    </row>
    <row r="4">
      <c r="A4" s="257" t="inlineStr">
        <is>
          <t>Объектная ресурсная ведомость</t>
        </is>
      </c>
    </row>
    <row r="5" ht="18.75" customHeight="1" s="215">
      <c r="A5" s="177" t="n"/>
      <c r="B5" s="177" t="n"/>
      <c r="C5" s="2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58" t="n"/>
    </row>
    <row r="7">
      <c r="A7" s="265" t="inlineStr">
        <is>
          <t>Наименование разрабатываемого показателя УНЦ - РЗА Ячейка АТ330 кВ менее 200 МВА</t>
        </is>
      </c>
    </row>
    <row r="8">
      <c r="A8" s="265" t="n"/>
      <c r="B8" s="265" t="n"/>
      <c r="C8" s="265" t="n"/>
      <c r="D8" s="265" t="n"/>
      <c r="E8" s="265" t="n"/>
      <c r="F8" s="265" t="n"/>
      <c r="G8" s="265" t="n"/>
      <c r="H8" s="265" t="n"/>
    </row>
    <row r="9" ht="38.25" customHeight="1" s="215">
      <c r="A9" s="261" t="inlineStr">
        <is>
          <t>п/п</t>
        </is>
      </c>
      <c r="B9" s="261" t="inlineStr">
        <is>
          <t>№ЛСР</t>
        </is>
      </c>
      <c r="C9" s="261" t="inlineStr">
        <is>
          <t>Код ресурса</t>
        </is>
      </c>
      <c r="D9" s="261" t="inlineStr">
        <is>
          <t>Наименование ресурса</t>
        </is>
      </c>
      <c r="E9" s="261" t="inlineStr">
        <is>
          <t>Ед. изм.</t>
        </is>
      </c>
      <c r="F9" s="261" t="inlineStr">
        <is>
          <t>Кол-во единиц по данным объекта-представителя</t>
        </is>
      </c>
      <c r="G9" s="261" t="inlineStr">
        <is>
          <t>Сметная стоимость в ценах на 01.01.2000 (руб.)</t>
        </is>
      </c>
      <c r="H9" s="343" t="n"/>
    </row>
    <row r="10" ht="40.7" customHeight="1" s="215">
      <c r="A10" s="345" t="n"/>
      <c r="B10" s="345" t="n"/>
      <c r="C10" s="345" t="n"/>
      <c r="D10" s="345" t="n"/>
      <c r="E10" s="345" t="n"/>
      <c r="F10" s="345" t="n"/>
      <c r="G10" s="261" t="inlineStr">
        <is>
          <t>на ед.изм.</t>
        </is>
      </c>
      <c r="H10" s="261" t="inlineStr">
        <is>
          <t>общая</t>
        </is>
      </c>
    </row>
    <row r="11">
      <c r="A11" s="234" t="n">
        <v>1</v>
      </c>
      <c r="B11" s="234" t="n"/>
      <c r="C11" s="234" t="n">
        <v>2</v>
      </c>
      <c r="D11" s="234" t="inlineStr">
        <is>
          <t>З</t>
        </is>
      </c>
      <c r="E11" s="234" t="n">
        <v>4</v>
      </c>
      <c r="F11" s="234" t="n">
        <v>5</v>
      </c>
      <c r="G11" s="234" t="n">
        <v>6</v>
      </c>
      <c r="H11" s="234" t="n">
        <v>7</v>
      </c>
    </row>
    <row r="12" customFormat="1" s="151">
      <c r="A12" s="262" t="inlineStr">
        <is>
          <t>Затраты труда рабочих</t>
        </is>
      </c>
      <c r="B12" s="342" t="n"/>
      <c r="C12" s="342" t="n"/>
      <c r="D12" s="342" t="n"/>
      <c r="E12" s="343" t="n"/>
      <c r="F12" s="173">
        <f>SUM(F13:F16)</f>
        <v/>
      </c>
      <c r="G12" s="10" t="n"/>
      <c r="H12" s="173">
        <f>SUM(H13:H16)</f>
        <v/>
      </c>
    </row>
    <row r="13" ht="25.5" customHeight="1" s="215">
      <c r="A13" s="294" t="n">
        <v>1</v>
      </c>
      <c r="B13" s="154" t="n"/>
      <c r="C13" s="170" t="inlineStr">
        <is>
          <t>1-4-2</t>
        </is>
      </c>
      <c r="D13" s="169" t="inlineStr">
        <is>
          <t>Затраты труда рабочих (средний разряд работы 4,2)</t>
        </is>
      </c>
      <c r="E13" s="294" t="inlineStr">
        <is>
          <t>чел.-ч</t>
        </is>
      </c>
      <c r="F13" s="176" t="n">
        <v>159.26</v>
      </c>
      <c r="G13" s="167" t="n">
        <v>9.92</v>
      </c>
      <c r="H13" s="167">
        <f>ROUND(F13*G13,2)</f>
        <v/>
      </c>
      <c r="M13" s="178" t="n"/>
    </row>
    <row r="14" ht="25.5" customHeight="1" s="215">
      <c r="A14" s="294" t="n">
        <v>2</v>
      </c>
      <c r="B14" s="154" t="n"/>
      <c r="C14" s="170" t="inlineStr">
        <is>
          <t>1-3-8</t>
        </is>
      </c>
      <c r="D14" s="169" t="inlineStr">
        <is>
          <t>Затраты труда рабочих (средний разряд работы 3,8)</t>
        </is>
      </c>
      <c r="E14" s="294" t="inlineStr">
        <is>
          <t>чел.-ч</t>
        </is>
      </c>
      <c r="F14" s="176" t="n">
        <v>38.69</v>
      </c>
      <c r="G14" s="167" t="n">
        <v>9.4</v>
      </c>
      <c r="H14" s="167">
        <f>ROUND(F14*G14,2)</f>
        <v/>
      </c>
    </row>
    <row r="15" ht="25.5" customHeight="1" s="215">
      <c r="A15" s="294" t="n">
        <v>3</v>
      </c>
      <c r="B15" s="154" t="n"/>
      <c r="C15" s="170" t="inlineStr">
        <is>
          <t>1-4-0</t>
        </is>
      </c>
      <c r="D15" s="169" t="inlineStr">
        <is>
          <t>Затраты труда рабочих (средний разряд работы 4,0)</t>
        </is>
      </c>
      <c r="E15" s="294" t="inlineStr">
        <is>
          <t>чел.-ч</t>
        </is>
      </c>
      <c r="F15" s="176" t="n">
        <v>18.96</v>
      </c>
      <c r="G15" s="167" t="n">
        <v>9.619999999999999</v>
      </c>
      <c r="H15" s="167">
        <f>ROUND(F15*G15,2)</f>
        <v/>
      </c>
    </row>
    <row r="16" ht="25.5" customHeight="1" s="215">
      <c r="A16" s="294" t="n">
        <v>4</v>
      </c>
      <c r="B16" s="154" t="n"/>
      <c r="C16" s="170" t="inlineStr">
        <is>
          <t>1-4-1</t>
        </is>
      </c>
      <c r="D16" s="169" t="inlineStr">
        <is>
          <t>Затраты труда рабочих (средний разряд работы 4,1)</t>
        </is>
      </c>
      <c r="E16" s="294" t="inlineStr">
        <is>
          <t>чел.-ч</t>
        </is>
      </c>
      <c r="F16" s="176" t="n">
        <v>0.65</v>
      </c>
      <c r="G16" s="167" t="n">
        <v>9.76</v>
      </c>
      <c r="H16" s="167">
        <f>ROUND(F16*G16,2)</f>
        <v/>
      </c>
    </row>
    <row r="17" ht="15.75" customHeight="1" s="215">
      <c r="A17" s="262" t="inlineStr">
        <is>
          <t>Затраты труда машинистов</t>
        </is>
      </c>
      <c r="B17" s="342" t="n"/>
      <c r="C17" s="342" t="n"/>
      <c r="D17" s="342" t="n"/>
      <c r="E17" s="343" t="n"/>
      <c r="F17" s="262" t="n"/>
      <c r="G17" s="152" t="n"/>
      <c r="H17" s="173">
        <f>H18</f>
        <v/>
      </c>
    </row>
    <row r="18">
      <c r="A18" s="294" t="n">
        <v>5</v>
      </c>
      <c r="B18" s="263" t="n"/>
      <c r="C18" s="170" t="n">
        <v>2</v>
      </c>
      <c r="D18" s="169" t="inlineStr">
        <is>
          <t>Затраты труда машинистов(справочно)</t>
        </is>
      </c>
      <c r="E18" s="294" t="inlineStr">
        <is>
          <t>чел.-ч</t>
        </is>
      </c>
      <c r="F18" s="176" t="n">
        <v>22.48</v>
      </c>
      <c r="G18" s="167" t="n"/>
      <c r="H18" s="175" t="n">
        <v>296.43</v>
      </c>
    </row>
    <row r="19" customFormat="1" s="151">
      <c r="A19" s="262" t="inlineStr">
        <is>
          <t>Машины и механизмы</t>
        </is>
      </c>
      <c r="B19" s="342" t="n"/>
      <c r="C19" s="342" t="n"/>
      <c r="D19" s="342" t="n"/>
      <c r="E19" s="343" t="n"/>
      <c r="F19" s="262" t="n"/>
      <c r="G19" s="152" t="n"/>
      <c r="H19" s="173">
        <f>SUM(H20:H27)</f>
        <v/>
      </c>
    </row>
    <row r="20" ht="25.5" customHeight="1" s="215">
      <c r="A20" s="294" t="n">
        <v>6</v>
      </c>
      <c r="B20" s="263" t="n"/>
      <c r="C20" s="170" t="inlineStr">
        <is>
          <t>91.05.04-010</t>
        </is>
      </c>
      <c r="D20" s="169" t="inlineStr">
        <is>
          <t>Краны мостовые электрические, грузоподъемность 50 т</t>
        </is>
      </c>
      <c r="E20" s="294" t="inlineStr">
        <is>
          <t>маш.час</t>
        </is>
      </c>
      <c r="F20" s="294" t="n">
        <v>1.15</v>
      </c>
      <c r="G20" s="174" t="n">
        <v>197.01</v>
      </c>
      <c r="H20" s="167">
        <f>ROUND(F20*G20,2)</f>
        <v/>
      </c>
      <c r="I20" s="172" t="n"/>
      <c r="J20" s="172" t="n"/>
      <c r="L20" s="172" t="n"/>
    </row>
    <row r="21" ht="25.5" customFormat="1" customHeight="1" s="151">
      <c r="A21" s="294" t="n">
        <v>7</v>
      </c>
      <c r="B21" s="263" t="n"/>
      <c r="C21" s="170" t="inlineStr">
        <is>
          <t>91.05.05-014</t>
        </is>
      </c>
      <c r="D21" s="169" t="inlineStr">
        <is>
          <t>Краны на автомобильном ходу, грузоподъемность 10 т</t>
        </is>
      </c>
      <c r="E21" s="294" t="inlineStr">
        <is>
          <t>маш.час</t>
        </is>
      </c>
      <c r="F21" s="294" t="n">
        <v>1.32</v>
      </c>
      <c r="G21" s="174" t="n">
        <v>111.99</v>
      </c>
      <c r="H21" s="167">
        <f>ROUND(F21*G21,2)</f>
        <v/>
      </c>
      <c r="I21" s="172" t="n"/>
      <c r="J21" s="172" t="n"/>
      <c r="L21" s="172" t="n"/>
    </row>
    <row r="22" ht="25.5" customHeight="1" s="215">
      <c r="A22" s="294" t="n">
        <v>8</v>
      </c>
      <c r="B22" s="263" t="n"/>
      <c r="C22" s="170" t="inlineStr">
        <is>
          <t>91.17.04-233</t>
        </is>
      </c>
      <c r="D22" s="169" t="inlineStr">
        <is>
          <t>Установки для сварки: ручной дуговой (постоянного тока)</t>
        </is>
      </c>
      <c r="E22" s="294" t="inlineStr">
        <is>
          <t>маш.час</t>
        </is>
      </c>
      <c r="F22" s="294" t="n">
        <v>17.44</v>
      </c>
      <c r="G22" s="174" t="n">
        <v>8.1</v>
      </c>
      <c r="H22" s="167">
        <f>ROUND(F22*G22,2)</f>
        <v/>
      </c>
      <c r="I22" s="172" t="n"/>
      <c r="J22" s="172" t="n"/>
      <c r="L22" s="172" t="n"/>
    </row>
    <row r="23" ht="25.5" customHeight="1" s="215">
      <c r="A23" s="294" t="n">
        <v>9</v>
      </c>
      <c r="B23" s="263" t="n"/>
      <c r="C23" s="170" t="inlineStr">
        <is>
          <t>91.14.02-001</t>
        </is>
      </c>
      <c r="D23" s="169" t="inlineStr">
        <is>
          <t>Автомобили бортовые, грузоподъемность: до 5 т</t>
        </is>
      </c>
      <c r="E23" s="294" t="inlineStr">
        <is>
          <t>маш.час</t>
        </is>
      </c>
      <c r="F23" s="294" t="n">
        <v>1.32</v>
      </c>
      <c r="G23" s="174" t="n">
        <v>65.70999999999999</v>
      </c>
      <c r="H23" s="167">
        <f>ROUND(F23*G23,2)</f>
        <v/>
      </c>
      <c r="I23" s="172" t="n"/>
      <c r="J23" s="172" t="n"/>
      <c r="L23" s="172" t="n"/>
    </row>
    <row r="24" ht="25.5" customHeight="1" s="215">
      <c r="A24" s="294" t="n">
        <v>10</v>
      </c>
      <c r="B24" s="263" t="n"/>
      <c r="C24" s="170" t="inlineStr">
        <is>
          <t>91.17.04-161</t>
        </is>
      </c>
      <c r="D24" s="169" t="inlineStr">
        <is>
          <t>Полуавтоматы сварочные номинальным сварочным током 40-500 А</t>
        </is>
      </c>
      <c r="E24" s="294" t="inlineStr">
        <is>
          <t>маш.час</t>
        </is>
      </c>
      <c r="F24" s="294" t="n">
        <v>0.36</v>
      </c>
      <c r="G24" s="174" t="n">
        <v>16.44</v>
      </c>
      <c r="H24" s="167">
        <f>ROUND(F24*G24,2)</f>
        <v/>
      </c>
      <c r="I24" s="172" t="n"/>
      <c r="J24" s="172" t="n"/>
      <c r="L24" s="172" t="n"/>
    </row>
    <row r="25" ht="25.5" customHeight="1" s="215">
      <c r="A25" s="294" t="n">
        <v>11</v>
      </c>
      <c r="B25" s="263" t="n"/>
      <c r="C25" s="170" t="inlineStr">
        <is>
          <t>91.06.06-042</t>
        </is>
      </c>
      <c r="D25" s="169" t="inlineStr">
        <is>
          <t>Подъемники гидравлические высотой подъема 10 м</t>
        </is>
      </c>
      <c r="E25" s="294" t="inlineStr">
        <is>
          <t>маш.час</t>
        </is>
      </c>
      <c r="F25" s="294" t="n">
        <v>0.04</v>
      </c>
      <c r="G25" s="174" t="n">
        <v>29.6</v>
      </c>
      <c r="H25" s="167">
        <f>ROUND(F25*G25,2)</f>
        <v/>
      </c>
      <c r="I25" s="172" t="n"/>
      <c r="J25" s="172" t="n"/>
      <c r="L25" s="172" t="n"/>
    </row>
    <row r="26" ht="25.5" customHeight="1" s="215">
      <c r="A26" s="294" t="n">
        <v>12</v>
      </c>
      <c r="B26" s="263" t="n"/>
      <c r="C26" s="170" t="inlineStr">
        <is>
          <t>91.06.03-061</t>
        </is>
      </c>
      <c r="D26" s="169" t="inlineStr">
        <is>
          <t>Лебедки электрические тяговым усилием: до 12,26 кН (1,25 т)</t>
        </is>
      </c>
      <c r="E26" s="294" t="inlineStr">
        <is>
          <t>маш.час</t>
        </is>
      </c>
      <c r="F26" s="294" t="n">
        <v>0.02</v>
      </c>
      <c r="G26" s="174" t="n">
        <v>3.28</v>
      </c>
      <c r="H26" s="167">
        <f>ROUND(F26*G26,2)</f>
        <v/>
      </c>
      <c r="I26" s="172" t="n"/>
      <c r="J26" s="172" t="n"/>
    </row>
    <row r="27" ht="25.5" customHeight="1" s="215">
      <c r="A27" s="294" t="n">
        <v>13</v>
      </c>
      <c r="B27" s="263" t="n"/>
      <c r="C27" s="170" t="inlineStr">
        <is>
          <t>91.06.01-003</t>
        </is>
      </c>
      <c r="D27" s="169" t="inlineStr">
        <is>
          <t>Домкраты гидравлические, грузоподъемность 63-100 т</t>
        </is>
      </c>
      <c r="E27" s="294" t="inlineStr">
        <is>
          <t>маш.час</t>
        </is>
      </c>
      <c r="F27" s="294" t="n">
        <v>0.02</v>
      </c>
      <c r="G27" s="174" t="n">
        <v>0.9</v>
      </c>
      <c r="H27" s="167">
        <f>ROUND(F27*G27,2)</f>
        <v/>
      </c>
      <c r="J27" s="172" t="n"/>
    </row>
    <row r="28" ht="15" customHeight="1" s="215">
      <c r="A28" s="262" t="inlineStr">
        <is>
          <t>Оборудование</t>
        </is>
      </c>
      <c r="B28" s="342" t="n"/>
      <c r="C28" s="342" t="n"/>
      <c r="D28" s="342" t="n"/>
      <c r="E28" s="343" t="n"/>
      <c r="F28" s="10" t="n"/>
      <c r="G28" s="10" t="n"/>
      <c r="H28" s="173">
        <f>SUM(H29:H34)</f>
        <v/>
      </c>
      <c r="J28" s="172" t="n"/>
    </row>
    <row r="29" ht="25.5" customHeight="1" s="215">
      <c r="A29" s="171" t="n">
        <v>14</v>
      </c>
      <c r="B29" s="280" t="n"/>
      <c r="C29" s="170" t="inlineStr">
        <is>
          <t>Прайс из СД ОП</t>
        </is>
      </c>
      <c r="D29" s="169" t="inlineStr">
        <is>
          <t>Комплект основных защит автотрансформатора 330-750 кВ типа ШЭТ 310.02-0</t>
        </is>
      </c>
      <c r="E29" s="294" t="inlineStr">
        <is>
          <t>шт</t>
        </is>
      </c>
      <c r="F29" s="294" t="n">
        <v>1</v>
      </c>
      <c r="G29" s="167" t="n">
        <v>690977.48</v>
      </c>
      <c r="H29" s="167">
        <f>ROUND(F29*G29,2)</f>
        <v/>
      </c>
      <c r="I29" s="164" t="n"/>
      <c r="J29" s="172" t="n"/>
    </row>
    <row r="30" ht="27" customHeight="1" s="215">
      <c r="A30" s="171" t="n">
        <v>15</v>
      </c>
      <c r="B30" s="280" t="n"/>
      <c r="C30" s="170" t="inlineStr">
        <is>
          <t>Прайс из СД ОП</t>
        </is>
      </c>
      <c r="D30" s="169" t="inlineStr">
        <is>
          <t>Комплект основных защит автотрансформатора 330-750 кВ и ошиновки 6-35 кВ типа ШЭТ 310.01-0</t>
        </is>
      </c>
      <c r="E30" s="294" t="inlineStr">
        <is>
          <t>шт</t>
        </is>
      </c>
      <c r="F30" s="294" t="n">
        <v>1</v>
      </c>
      <c r="G30" s="167" t="n">
        <v>666367.89</v>
      </c>
      <c r="H30" s="167">
        <f>ROUND(F30*G30,2)</f>
        <v/>
      </c>
      <c r="J30" s="172" t="n"/>
    </row>
    <row r="31" ht="27" customHeight="1" s="215">
      <c r="A31" s="171" t="n">
        <v>16</v>
      </c>
      <c r="B31" s="280" t="n"/>
      <c r="C31" s="170" t="inlineStr">
        <is>
          <t>Прайс из СД ОП</t>
        </is>
      </c>
      <c r="D31" s="169" t="inlineStr">
        <is>
          <t>Комплект резервных защит автотрансформатора 220-750 кВ типа  ШЭТ 410.01-0</t>
        </is>
      </c>
      <c r="E31" s="294" t="inlineStr">
        <is>
          <t>шт</t>
        </is>
      </c>
      <c r="F31" s="294" t="n">
        <v>2</v>
      </c>
      <c r="G31" s="167" t="n">
        <v>325471.73</v>
      </c>
      <c r="H31" s="167">
        <f>ROUND(F31*G31,2)</f>
        <v/>
      </c>
      <c r="J31" s="172" t="n"/>
    </row>
    <row r="32" ht="25.5" customHeight="1" s="215">
      <c r="A32" s="171" t="n">
        <v>17</v>
      </c>
      <c r="B32" s="280" t="n"/>
      <c r="C32" s="170" t="inlineStr">
        <is>
          <t>Прайс из СД ОП</t>
        </is>
      </c>
      <c r="D32" s="169" t="inlineStr">
        <is>
          <t>Дифференциальная защита ошиновки 6 – 750 кВ (два комплекта) типа ШЭТ 440.01-0</t>
        </is>
      </c>
      <c r="E32" s="294" t="inlineStr">
        <is>
          <t>шт</t>
        </is>
      </c>
      <c r="F32" s="294" t="n">
        <v>1</v>
      </c>
      <c r="G32" s="167" t="n">
        <v>511950.8</v>
      </c>
      <c r="H32" s="167">
        <f>ROUND(F32*G32,2)</f>
        <v/>
      </c>
      <c r="I32" s="164" t="n"/>
      <c r="J32" s="172" t="n"/>
    </row>
    <row r="33" ht="27" customHeight="1" s="215">
      <c r="A33" s="171" t="n">
        <v>18</v>
      </c>
      <c r="B33" s="280" t="n"/>
      <c r="C33" s="170" t="inlineStr">
        <is>
          <t>Прайс из СД ОП</t>
        </is>
      </c>
      <c r="D33" s="169" t="inlineStr">
        <is>
          <t>Дифференциальная защита ошиновки 6 – 750 кВ типа ШЭТ 440.02-0</t>
        </is>
      </c>
      <c r="E33" s="294" t="inlineStr">
        <is>
          <t>шт</t>
        </is>
      </c>
      <c r="F33" s="294" t="n">
        <v>1</v>
      </c>
      <c r="G33" s="167" t="n">
        <v>317092.65</v>
      </c>
      <c r="H33" s="167">
        <f>ROUND(F33*G33,2)</f>
        <v/>
      </c>
      <c r="J33" s="172" t="n"/>
    </row>
    <row r="34" ht="27" customHeight="1" s="215">
      <c r="A34" s="171" t="n">
        <v>19</v>
      </c>
      <c r="B34" s="280" t="n"/>
      <c r="C34" s="170" t="inlineStr">
        <is>
          <t>Прайс из СД ОП</t>
        </is>
      </c>
      <c r="D34" s="169" t="inlineStr">
        <is>
          <t>Шкаф автоматики регулирования напряжения для одного автотрансформатора типа ШЭТ 410.05-0</t>
        </is>
      </c>
      <c r="E34" s="294" t="inlineStr">
        <is>
          <t>шт</t>
        </is>
      </c>
      <c r="F34" s="294" t="n">
        <v>1</v>
      </c>
      <c r="G34" s="167" t="n">
        <v>244710.38</v>
      </c>
      <c r="H34" s="167">
        <f>ROUND(F34*G34,2)</f>
        <v/>
      </c>
      <c r="J34" s="172" t="n"/>
    </row>
    <row r="35">
      <c r="A35" s="262" t="inlineStr">
        <is>
          <t>Материалы</t>
        </is>
      </c>
      <c r="B35" s="342" t="n"/>
      <c r="C35" s="342" t="n"/>
      <c r="D35" s="342" t="n"/>
      <c r="E35" s="343" t="n"/>
      <c r="F35" s="262" t="n"/>
      <c r="G35" s="152" t="n"/>
      <c r="H35" s="173">
        <f>SUM(H36:H74)</f>
        <v/>
      </c>
    </row>
    <row r="36">
      <c r="A36" s="171" t="n">
        <v>20</v>
      </c>
      <c r="B36" s="263" t="n"/>
      <c r="C36" s="170" t="inlineStr">
        <is>
          <t>21.1.08.03-0574</t>
        </is>
      </c>
      <c r="D36" s="169" t="inlineStr">
        <is>
          <t>Кабель контрольный КВВГЭнг(A)-LS 4х2,5</t>
        </is>
      </c>
      <c r="E36" s="294" t="inlineStr">
        <is>
          <t>1000 м</t>
        </is>
      </c>
      <c r="F36" s="294" t="n">
        <v>3</v>
      </c>
      <c r="G36" s="167" t="n">
        <v>32828.83</v>
      </c>
      <c r="H36" s="167">
        <f>ROUND(F36*G36,2)</f>
        <v/>
      </c>
      <c r="I36" s="164" t="n"/>
      <c r="J36" s="172" t="n"/>
      <c r="K36" s="172" t="n"/>
    </row>
    <row r="37" ht="25.5" customHeight="1" s="215">
      <c r="A37" s="171" t="n">
        <v>21</v>
      </c>
      <c r="B37" s="263" t="n"/>
      <c r="C37" s="170" t="inlineStr">
        <is>
          <t>07.2.07.04-0007</t>
        </is>
      </c>
      <c r="D37" s="169" t="inlineStr">
        <is>
          <t>Конструкции стальные индивидуальные: решетчатые сварные массой до 0,1 т</t>
        </is>
      </c>
      <c r="E37" s="294" t="inlineStr">
        <is>
          <t>т</t>
        </is>
      </c>
      <c r="F37" s="294" t="n">
        <v>0.4616</v>
      </c>
      <c r="G37" s="167" t="n">
        <v>11500</v>
      </c>
      <c r="H37" s="167">
        <f>ROUND(F37*G37,2)</f>
        <v/>
      </c>
      <c r="I37" s="164" t="n"/>
      <c r="J37" s="172" t="n"/>
      <c r="K37" s="172" t="n"/>
    </row>
    <row r="38" ht="38.25" customHeight="1" s="215">
      <c r="A38" s="171" t="n">
        <v>22</v>
      </c>
      <c r="B38" s="263" t="n"/>
      <c r="C38" s="170" t="inlineStr">
        <is>
          <t>20.5.02.02-0001</t>
        </is>
      </c>
      <c r="D38" s="169" t="inlineStr">
        <is>
          <t>Коробка клеммная взрывозащищенная SA141410(1C10-1N-1PE- 1C2-1N-1PE-1FL3(C)-1FL2(C) 2Exel IT6, IP66</t>
        </is>
      </c>
      <c r="E38" s="294" t="inlineStr">
        <is>
          <t>шт</t>
        </is>
      </c>
      <c r="F38" s="294" t="n">
        <v>1</v>
      </c>
      <c r="G38" s="167" t="n">
        <v>2639.24</v>
      </c>
      <c r="H38" s="167">
        <f>ROUND(F38*G38,2)</f>
        <v/>
      </c>
      <c r="I38" s="164" t="n"/>
      <c r="J38" s="172" t="n"/>
      <c r="K38" s="172" t="n"/>
    </row>
    <row r="39">
      <c r="A39" s="171" t="n">
        <v>23</v>
      </c>
      <c r="B39" s="263" t="n"/>
      <c r="C39" s="170" t="inlineStr">
        <is>
          <t>14.4.02.09-0001</t>
        </is>
      </c>
      <c r="D39" s="169" t="inlineStr">
        <is>
          <t>Краска</t>
        </is>
      </c>
      <c r="E39" s="294" t="inlineStr">
        <is>
          <t>кг</t>
        </is>
      </c>
      <c r="F39" s="294" t="n">
        <v>45.78</v>
      </c>
      <c r="G39" s="167" t="n">
        <v>28.6</v>
      </c>
      <c r="H39" s="167">
        <f>ROUND(F39*G39,2)</f>
        <v/>
      </c>
      <c r="I39" s="164" t="n"/>
      <c r="J39" s="172" t="n"/>
    </row>
    <row r="40">
      <c r="A40" s="171" t="n">
        <v>24</v>
      </c>
      <c r="B40" s="263" t="n"/>
      <c r="C40" s="170" t="inlineStr">
        <is>
          <t>08.1.02.13-0005</t>
        </is>
      </c>
      <c r="D40" s="169" t="inlineStr">
        <is>
          <t>Рукава металлические диаметром 15 мм РЗ-Ц-Х</t>
        </is>
      </c>
      <c r="E40" s="294" t="inlineStr">
        <is>
          <t>м</t>
        </is>
      </c>
      <c r="F40" s="294" t="n">
        <v>90</v>
      </c>
      <c r="G40" s="167" t="n">
        <v>8.279999999999999</v>
      </c>
      <c r="H40" s="167">
        <f>ROUND(F40*G40,2)</f>
        <v/>
      </c>
      <c r="I40" s="164" t="n"/>
      <c r="J40" s="172" t="n"/>
    </row>
    <row r="41" ht="25.5" customHeight="1" s="215">
      <c r="A41" s="171" t="n">
        <v>25</v>
      </c>
      <c r="B41" s="263" t="n"/>
      <c r="C41" s="170" t="inlineStr">
        <is>
          <t>21.2.01.02-0141</t>
        </is>
      </c>
      <c r="D41" s="169" t="inlineStr">
        <is>
          <t>Провода неизолированные для воздушных линий электропередачи медные марки: М, сечением 4 мм2</t>
        </is>
      </c>
      <c r="E41" s="294" t="inlineStr">
        <is>
          <t>т</t>
        </is>
      </c>
      <c r="F41" s="294" t="n">
        <v>0.0029</v>
      </c>
      <c r="G41" s="167" t="n">
        <v>96440</v>
      </c>
      <c r="H41" s="167">
        <f>ROUND(F41*G41,2)</f>
        <v/>
      </c>
      <c r="I41" s="164" t="n"/>
      <c r="J41" s="172" t="n"/>
    </row>
    <row r="42">
      <c r="A42" s="171" t="n">
        <v>26</v>
      </c>
      <c r="B42" s="263" t="n"/>
      <c r="C42" s="170" t="inlineStr">
        <is>
          <t>18.5.08.09-0001</t>
        </is>
      </c>
      <c r="D42" s="169" t="inlineStr">
        <is>
          <t>Патрубки</t>
        </is>
      </c>
      <c r="E42" s="294" t="inlineStr">
        <is>
          <t>10 шт</t>
        </is>
      </c>
      <c r="F42" s="294" t="n">
        <v>0.9</v>
      </c>
      <c r="G42" s="167" t="n">
        <v>277.5</v>
      </c>
      <c r="H42" s="167">
        <f>ROUND(F42*G42,2)</f>
        <v/>
      </c>
      <c r="I42" s="164" t="n"/>
      <c r="J42" s="172" t="n"/>
    </row>
    <row r="43" ht="25.5" customHeight="1" s="215">
      <c r="A43" s="171" t="n">
        <v>27</v>
      </c>
      <c r="B43" s="263" t="n"/>
      <c r="C43" s="170" t="inlineStr">
        <is>
          <t>08.3.07.01-0076</t>
        </is>
      </c>
      <c r="D43" s="169" t="inlineStr">
        <is>
          <t>Сталь полосовая, марка стали: Ст3сп шириной 50-200 мм толщиной 4-5 мм</t>
        </is>
      </c>
      <c r="E43" s="294" t="inlineStr">
        <is>
          <t>т</t>
        </is>
      </c>
      <c r="F43" s="294" t="n">
        <v>0.0486</v>
      </c>
      <c r="G43" s="167" t="n">
        <v>5000</v>
      </c>
      <c r="H43" s="167">
        <f>ROUND(F43*G43,2)</f>
        <v/>
      </c>
      <c r="I43" s="164" t="n"/>
      <c r="J43" s="172" t="n"/>
    </row>
    <row r="44">
      <c r="A44" s="171" t="n">
        <v>28</v>
      </c>
      <c r="B44" s="263" t="n"/>
      <c r="C44" s="170" t="inlineStr">
        <is>
          <t>14.4.02.09-0301</t>
        </is>
      </c>
      <c r="D44" s="169" t="inlineStr">
        <is>
          <t>Краска "Цинол"</t>
        </is>
      </c>
      <c r="E44" s="294" t="inlineStr">
        <is>
          <t>кг</t>
        </is>
      </c>
      <c r="F44" s="294" t="n">
        <v>1</v>
      </c>
      <c r="G44" s="167" t="n">
        <v>238.48</v>
      </c>
      <c r="H44" s="167">
        <f>ROUND(F44*G44,2)</f>
        <v/>
      </c>
      <c r="I44" s="164" t="n"/>
      <c r="J44" s="172" t="n"/>
    </row>
    <row r="45" ht="38.25" customHeight="1" s="215">
      <c r="A45" s="171" t="n">
        <v>29</v>
      </c>
      <c r="B45" s="263" t="n"/>
      <c r="C45" s="170" t="inlineStr">
        <is>
          <t>20.2.04.04-0001</t>
        </is>
      </c>
      <c r="D45" s="169" t="inlineStr">
        <is>
          <t>Короб кабельный прямой из оцинкованный стали толщиной 1,5 мм размером 2000х150х100 мм, 1-канальный</t>
        </is>
      </c>
      <c r="E45" s="294" t="inlineStr">
        <is>
          <t>шт</t>
        </is>
      </c>
      <c r="F45" s="294" t="n">
        <v>1.5</v>
      </c>
      <c r="G45" s="167" t="n">
        <v>157.3</v>
      </c>
      <c r="H45" s="167">
        <f>ROUND(F45*G45,2)</f>
        <v/>
      </c>
      <c r="I45" s="164" t="n"/>
      <c r="J45" s="172" t="n"/>
    </row>
    <row r="46" ht="25.5" customHeight="1" s="215">
      <c r="A46" s="171" t="n">
        <v>30</v>
      </c>
      <c r="B46" s="263" t="n"/>
      <c r="C46" s="170" t="inlineStr">
        <is>
          <t>10.3.02.03-0011</t>
        </is>
      </c>
      <c r="D46" s="169" t="inlineStr">
        <is>
          <t>Припои оловянно-свинцовые бессурьмянистые марки: ПОС30</t>
        </is>
      </c>
      <c r="E46" s="294" t="inlineStr">
        <is>
          <t>кг</t>
        </is>
      </c>
      <c r="F46" s="294" t="n">
        <v>1.3026</v>
      </c>
      <c r="G46" s="167" t="n">
        <v>68.05</v>
      </c>
      <c r="H46" s="167">
        <f>ROUND(F46*G46,2)</f>
        <v/>
      </c>
      <c r="I46" s="164" t="n"/>
      <c r="J46" s="172" t="n"/>
    </row>
    <row r="47">
      <c r="A47" s="171" t="n">
        <v>31</v>
      </c>
      <c r="B47" s="263" t="n"/>
      <c r="C47" s="170" t="inlineStr">
        <is>
          <t>01.7.15.03-0042</t>
        </is>
      </c>
      <c r="D47" s="169" t="inlineStr">
        <is>
          <t>Болты с гайками и шайбами строительные</t>
        </is>
      </c>
      <c r="E47" s="294" t="inlineStr">
        <is>
          <t>кг</t>
        </is>
      </c>
      <c r="F47" s="294" t="n">
        <v>7.235</v>
      </c>
      <c r="G47" s="167" t="n">
        <v>9.039999999999999</v>
      </c>
      <c r="H47" s="167">
        <f>ROUND(F47*G47,2)</f>
        <v/>
      </c>
      <c r="I47" s="164" t="n"/>
      <c r="J47" s="172" t="n"/>
    </row>
    <row r="48">
      <c r="A48" s="171" t="n">
        <v>32</v>
      </c>
      <c r="B48" s="263" t="n"/>
      <c r="C48" s="170" t="inlineStr">
        <is>
          <t>20.1.02.06-0001</t>
        </is>
      </c>
      <c r="D48" s="169" t="inlineStr">
        <is>
          <t>Жир паяльный</t>
        </is>
      </c>
      <c r="E48" s="294" t="inlineStr">
        <is>
          <t>кг</t>
        </is>
      </c>
      <c r="F48" s="294" t="n">
        <v>0.52</v>
      </c>
      <c r="G48" s="167" t="n">
        <v>100.8</v>
      </c>
      <c r="H48" s="167">
        <f>ROUND(F48*G48,2)</f>
        <v/>
      </c>
      <c r="I48" s="164" t="n"/>
      <c r="J48" s="172" t="n"/>
    </row>
    <row r="49" customFormat="1" s="151">
      <c r="A49" s="171" t="n">
        <v>33</v>
      </c>
      <c r="B49" s="263" t="n"/>
      <c r="C49" s="170" t="inlineStr">
        <is>
          <t>20.1.02.23-0082</t>
        </is>
      </c>
      <c r="D49" s="169" t="inlineStr">
        <is>
          <t>Перемычки гибкие, тип ПГС-50</t>
        </is>
      </c>
      <c r="E49" s="294" t="inlineStr">
        <is>
          <t>10 шт</t>
        </is>
      </c>
      <c r="F49" s="294" t="n">
        <v>1.11</v>
      </c>
      <c r="G49" s="167" t="n">
        <v>39</v>
      </c>
      <c r="H49" s="167">
        <f>ROUND(F49*G49,2)</f>
        <v/>
      </c>
      <c r="I49" s="164" t="n"/>
      <c r="J49" s="172" t="n"/>
    </row>
    <row r="50" ht="25.5" customHeight="1" s="215">
      <c r="A50" s="171" t="n">
        <v>34</v>
      </c>
      <c r="B50" s="263" t="n"/>
      <c r="C50" s="170" t="inlineStr">
        <is>
          <t>999-9950</t>
        </is>
      </c>
      <c r="D50" s="169" t="inlineStr">
        <is>
          <t>Вспомогательные ненормируемые ресурсы (2% от Оплаты труда рабочих)</t>
        </is>
      </c>
      <c r="E50" s="294" t="inlineStr">
        <is>
          <t>руб.</t>
        </is>
      </c>
      <c r="F50" s="294" t="n">
        <v>37.3293</v>
      </c>
      <c r="G50" s="167" t="n">
        <v>1</v>
      </c>
      <c r="H50" s="167">
        <f>ROUND(F50*G50,2)</f>
        <v/>
      </c>
      <c r="I50" s="164" t="n"/>
      <c r="J50" s="172" t="n"/>
    </row>
    <row r="51">
      <c r="A51" s="171" t="n">
        <v>35</v>
      </c>
      <c r="B51" s="263" t="n"/>
      <c r="C51" s="170" t="inlineStr">
        <is>
          <t>01.3.01.01-0001</t>
        </is>
      </c>
      <c r="D51" s="169" t="inlineStr">
        <is>
          <t>Бензин авиационный Б-70</t>
        </is>
      </c>
      <c r="E51" s="294" t="inlineStr">
        <is>
          <t>т</t>
        </is>
      </c>
      <c r="F51" s="294" t="n">
        <v>0.008</v>
      </c>
      <c r="G51" s="167" t="n">
        <v>4488.4</v>
      </c>
      <c r="H51" s="167">
        <f>ROUND(F51*G51,2)</f>
        <v/>
      </c>
      <c r="I51" s="164" t="n"/>
      <c r="J51" s="172" t="n"/>
      <c r="K51" s="172" t="n"/>
    </row>
    <row r="52">
      <c r="A52" s="171" t="n">
        <v>36</v>
      </c>
      <c r="B52" s="263" t="n"/>
      <c r="C52" s="170" t="inlineStr">
        <is>
          <t>01.7.11.07-0034</t>
        </is>
      </c>
      <c r="D52" s="169" t="inlineStr">
        <is>
          <t>Электроды диаметром: 4 мм Э42А</t>
        </is>
      </c>
      <c r="E52" s="294" t="inlineStr">
        <is>
          <t>кг</t>
        </is>
      </c>
      <c r="F52" s="294" t="n">
        <v>2.6404</v>
      </c>
      <c r="G52" s="167" t="n">
        <v>10.57</v>
      </c>
      <c r="H52" s="167">
        <f>ROUND(F52*G52,2)</f>
        <v/>
      </c>
      <c r="I52" s="164" t="n"/>
      <c r="J52" s="172" t="n"/>
      <c r="K52" s="172" t="n"/>
    </row>
    <row r="53">
      <c r="A53" s="171" t="n">
        <v>37</v>
      </c>
      <c r="B53" s="263" t="n"/>
      <c r="C53" s="170" t="inlineStr">
        <is>
          <t>01.7.15.04-0011</t>
        </is>
      </c>
      <c r="D53" s="169" t="inlineStr">
        <is>
          <t>Винты с полукруглой головкой длиной: 50 мм</t>
        </is>
      </c>
      <c r="E53" s="294" t="inlineStr">
        <is>
          <t>т</t>
        </is>
      </c>
      <c r="F53" s="294" t="n">
        <v>0.002</v>
      </c>
      <c r="G53" s="167" t="n">
        <v>12430</v>
      </c>
      <c r="H53" s="167">
        <f>ROUND(F53*G53,2)</f>
        <v/>
      </c>
      <c r="I53" s="164" t="n"/>
      <c r="J53" s="172" t="n"/>
      <c r="K53" s="172" t="n"/>
    </row>
    <row r="54" ht="25.5" customHeight="1" s="215">
      <c r="A54" s="171" t="n">
        <v>38</v>
      </c>
      <c r="B54" s="263" t="n"/>
      <c r="C54" s="170" t="inlineStr">
        <is>
          <t>01.7.06.05-0041</t>
        </is>
      </c>
      <c r="D54" s="169" t="inlineStr">
        <is>
          <t>Лента изоляционная прорезиненная односторонняя ширина 20 мм, толщина 0,25-0,35 мм</t>
        </is>
      </c>
      <c r="E54" s="294" t="inlineStr">
        <is>
          <t>кг</t>
        </is>
      </c>
      <c r="F54" s="294" t="n">
        <v>0.5600000000000001</v>
      </c>
      <c r="G54" s="167" t="n">
        <v>30.4</v>
      </c>
      <c r="H54" s="167">
        <f>ROUND(F54*G54,2)</f>
        <v/>
      </c>
      <c r="J54" s="172" t="n"/>
    </row>
    <row r="55">
      <c r="A55" s="171" t="n">
        <v>39</v>
      </c>
      <c r="B55" s="263" t="n"/>
      <c r="C55" s="170" t="inlineStr">
        <is>
          <t>08.3.07.01-0037</t>
        </is>
      </c>
      <c r="D55" s="169" t="inlineStr">
        <is>
          <t>Сталь полосовая 30х4 мм, марка Ст3сп</t>
        </is>
      </c>
      <c r="E55" s="294" t="inlineStr">
        <is>
          <t>т</t>
        </is>
      </c>
      <c r="F55" s="294" t="n">
        <v>0.002</v>
      </c>
      <c r="G55" s="167" t="n">
        <v>6674.64</v>
      </c>
      <c r="H55" s="167">
        <f>ROUND(F55*G55,2)</f>
        <v/>
      </c>
      <c r="J55" s="172" t="n"/>
    </row>
    <row r="56">
      <c r="A56" s="171" t="n">
        <v>40</v>
      </c>
      <c r="B56" s="263" t="n"/>
      <c r="C56" s="170" t="inlineStr">
        <is>
          <t>25.2.01.01-0001</t>
        </is>
      </c>
      <c r="D56" s="169" t="inlineStr">
        <is>
          <t>Бирки-оконцеватели</t>
        </is>
      </c>
      <c r="E56" s="294" t="inlineStr">
        <is>
          <t>100 шт</t>
        </is>
      </c>
      <c r="F56" s="294" t="n">
        <v>0.2</v>
      </c>
      <c r="G56" s="167" t="n">
        <v>63</v>
      </c>
      <c r="H56" s="167">
        <f>ROUND(F56*G56,2)</f>
        <v/>
      </c>
      <c r="J56" s="172" t="n"/>
    </row>
    <row r="57">
      <c r="A57" s="171" t="n">
        <v>41</v>
      </c>
      <c r="B57" s="263" t="n"/>
      <c r="C57" s="170" t="inlineStr">
        <is>
          <t>01.3.02.09-0022</t>
        </is>
      </c>
      <c r="D57" s="169" t="inlineStr">
        <is>
          <t>Пропан-бутан, смесь техническая</t>
        </is>
      </c>
      <c r="E57" s="294" t="inlineStr">
        <is>
          <t>кг</t>
        </is>
      </c>
      <c r="F57" s="294" t="n">
        <v>1.5</v>
      </c>
      <c r="G57" s="167" t="n">
        <v>6.09</v>
      </c>
      <c r="H57" s="167">
        <f>ROUND(F57*G57,2)</f>
        <v/>
      </c>
      <c r="J57" s="172" t="n"/>
    </row>
    <row r="58">
      <c r="A58" s="171" t="n">
        <v>42</v>
      </c>
      <c r="B58" s="263" t="n"/>
      <c r="C58" s="170" t="inlineStr">
        <is>
          <t>01.3.01.05-0009</t>
        </is>
      </c>
      <c r="D58" s="169" t="inlineStr">
        <is>
          <t>Парафины нефтяные твердые марки Т-1</t>
        </is>
      </c>
      <c r="E58" s="294" t="inlineStr">
        <is>
          <t>т</t>
        </is>
      </c>
      <c r="F58" s="294" t="n">
        <v>0.0004</v>
      </c>
      <c r="G58" s="167" t="n">
        <v>8105.71</v>
      </c>
      <c r="H58" s="167">
        <f>ROUND(F58*G58,2)</f>
        <v/>
      </c>
      <c r="J58" s="172" t="n"/>
    </row>
    <row r="59">
      <c r="A59" s="171" t="n">
        <v>43</v>
      </c>
      <c r="B59" s="263" t="n"/>
      <c r="C59" s="170" t="inlineStr">
        <is>
          <t>01.7.06.07-0001</t>
        </is>
      </c>
      <c r="D59" s="169" t="inlineStr">
        <is>
          <t>Лента К226</t>
        </is>
      </c>
      <c r="E59" s="294" t="inlineStr">
        <is>
          <t>100 м</t>
        </is>
      </c>
      <c r="F59" s="294" t="n">
        <v>0.0242</v>
      </c>
      <c r="G59" s="167" t="n">
        <v>120</v>
      </c>
      <c r="H59" s="167">
        <f>ROUND(F59*G59,2)</f>
        <v/>
      </c>
      <c r="J59" s="172" t="n"/>
    </row>
    <row r="60">
      <c r="A60" s="171" t="n">
        <v>44</v>
      </c>
      <c r="B60" s="263" t="n"/>
      <c r="C60" s="170" t="inlineStr">
        <is>
          <t>20.2.02.01-0019</t>
        </is>
      </c>
      <c r="D60" s="169" t="inlineStr">
        <is>
          <t>Втулки изолирующие</t>
        </is>
      </c>
      <c r="E60" s="294" t="inlineStr">
        <is>
          <t>1000 шт</t>
        </is>
      </c>
      <c r="F60" s="294" t="n">
        <v>0.008999999999999999</v>
      </c>
      <c r="G60" s="167" t="n">
        <v>270</v>
      </c>
      <c r="H60" s="167">
        <f>ROUND(F60*G60,2)</f>
        <v/>
      </c>
      <c r="J60" s="172" t="n"/>
    </row>
    <row r="61">
      <c r="A61" s="171" t="n">
        <v>45</v>
      </c>
      <c r="B61" s="263" t="n"/>
      <c r="C61" s="170" t="inlineStr">
        <is>
          <t>01.7.15.07-0014</t>
        </is>
      </c>
      <c r="D61" s="169" t="inlineStr">
        <is>
          <t>Дюбели распорные полипропиленовые</t>
        </is>
      </c>
      <c r="E61" s="294" t="inlineStr">
        <is>
          <t>100 шт</t>
        </is>
      </c>
      <c r="F61" s="294" t="n">
        <v>0.026</v>
      </c>
      <c r="G61" s="167" t="n">
        <v>86</v>
      </c>
      <c r="H61" s="167">
        <f>ROUND(F61*G61,2)</f>
        <v/>
      </c>
      <c r="J61" s="172" t="n"/>
    </row>
    <row r="62">
      <c r="A62" s="171" t="n">
        <v>46</v>
      </c>
      <c r="B62" s="263" t="n"/>
      <c r="C62" s="170" t="inlineStr">
        <is>
          <t>25.2.01.01-0017</t>
        </is>
      </c>
      <c r="D62" s="169" t="inlineStr">
        <is>
          <t>Бирки маркировочные пластмассовые</t>
        </is>
      </c>
      <c r="E62" s="294" t="inlineStr">
        <is>
          <t>100 шт</t>
        </is>
      </c>
      <c r="F62" s="294" t="n">
        <v>0.07000000000000001</v>
      </c>
      <c r="G62" s="167" t="n">
        <v>30.74</v>
      </c>
      <c r="H62" s="167">
        <f>ROUND(F62*G62,2)</f>
        <v/>
      </c>
      <c r="J62" s="172" t="n"/>
    </row>
    <row r="63">
      <c r="A63" s="171" t="n">
        <v>47</v>
      </c>
      <c r="B63" s="263" t="n"/>
      <c r="C63" s="170" t="inlineStr">
        <is>
          <t>20.2.08.07-0033</t>
        </is>
      </c>
      <c r="D63" s="169" t="inlineStr">
        <is>
          <t>Скоба: У1078</t>
        </is>
      </c>
      <c r="E63" s="294" t="inlineStr">
        <is>
          <t>100 шт</t>
        </is>
      </c>
      <c r="F63" s="294" t="n">
        <v>0.0033</v>
      </c>
      <c r="G63" s="167" t="n">
        <v>617</v>
      </c>
      <c r="H63" s="167">
        <f>ROUND(F63*G63,2)</f>
        <v/>
      </c>
      <c r="J63" s="172" t="n"/>
    </row>
    <row r="64" customFormat="1" s="151">
      <c r="A64" s="171" t="n">
        <v>48</v>
      </c>
      <c r="B64" s="263" t="n"/>
      <c r="C64" s="170" t="inlineStr">
        <is>
          <t>01.3.01.02-0002</t>
        </is>
      </c>
      <c r="D64" s="169" t="inlineStr">
        <is>
          <t>Вазелин технический</t>
        </is>
      </c>
      <c r="E64" s="294" t="inlineStr">
        <is>
          <t>кг</t>
        </is>
      </c>
      <c r="F64" s="294" t="n">
        <v>0.02</v>
      </c>
      <c r="G64" s="167" t="n">
        <v>44.97</v>
      </c>
      <c r="H64" s="167">
        <f>ROUND(F64*G64,2)</f>
        <v/>
      </c>
      <c r="J64" s="172" t="n"/>
    </row>
    <row r="65">
      <c r="A65" s="171" t="n">
        <v>49</v>
      </c>
      <c r="B65" s="263" t="n"/>
      <c r="C65" s="170" t="inlineStr">
        <is>
          <t>14.4.03.17-0011</t>
        </is>
      </c>
      <c r="D65" s="169" t="inlineStr">
        <is>
          <t>Лак электроизоляционный 318</t>
        </is>
      </c>
      <c r="E65" s="294" t="inlineStr">
        <is>
          <t>кг</t>
        </is>
      </c>
      <c r="F65" s="294" t="n">
        <v>0.02</v>
      </c>
      <c r="G65" s="167" t="n">
        <v>35.63</v>
      </c>
      <c r="H65" s="167">
        <f>ROUND(F65*G65,2)</f>
        <v/>
      </c>
      <c r="J65" s="172" t="n"/>
    </row>
    <row r="66" ht="25.5" customHeight="1" s="215">
      <c r="A66" s="171" t="n">
        <v>50</v>
      </c>
      <c r="B66" s="263" t="n"/>
      <c r="C66" s="170" t="inlineStr">
        <is>
          <t>10.3.02.03-0013</t>
        </is>
      </c>
      <c r="D66" s="169" t="inlineStr">
        <is>
          <t>Припои оловянно-свинцовые бессурьмянистые марки: ПОС61</t>
        </is>
      </c>
      <c r="E66" s="294" t="inlineStr">
        <is>
          <t>кг</t>
        </is>
      </c>
      <c r="F66" s="294" t="n">
        <v>0.0054</v>
      </c>
      <c r="G66" s="167" t="n">
        <v>114.22</v>
      </c>
      <c r="H66" s="167">
        <f>ROUND(F66*G66,2)</f>
        <v/>
      </c>
      <c r="J66" s="172" t="n"/>
      <c r="K66" s="172" t="n"/>
    </row>
    <row r="67">
      <c r="A67" s="171" t="n">
        <v>51</v>
      </c>
      <c r="B67" s="263" t="n"/>
      <c r="C67" s="170" t="inlineStr">
        <is>
          <t>01.7.15.07-0031</t>
        </is>
      </c>
      <c r="D67" s="169" t="inlineStr">
        <is>
          <t>Дюбели распорные с гайкой</t>
        </is>
      </c>
      <c r="E67" s="294" t="inlineStr">
        <is>
          <t>100 шт</t>
        </is>
      </c>
      <c r="F67" s="294" t="n">
        <v>0.0048</v>
      </c>
      <c r="G67" s="167" t="n">
        <v>110</v>
      </c>
      <c r="H67" s="167">
        <f>ROUND(F67*G67,2)</f>
        <v/>
      </c>
      <c r="J67" s="172" t="n"/>
      <c r="K67" s="172" t="n"/>
    </row>
    <row r="68" ht="25.5" customHeight="1" s="215">
      <c r="A68" s="171" t="n">
        <v>52</v>
      </c>
      <c r="B68" s="263" t="n"/>
      <c r="C68" s="170" t="inlineStr">
        <is>
          <t>03.2.01.01-0003</t>
        </is>
      </c>
      <c r="D68" s="169" t="inlineStr">
        <is>
          <t>Портландцемент общестроительного назначения бездобавочный, марки: 500</t>
        </is>
      </c>
      <c r="E68" s="294" t="inlineStr">
        <is>
          <t>т</t>
        </is>
      </c>
      <c r="F68" s="294" t="n">
        <v>0.0011</v>
      </c>
      <c r="G68" s="167" t="n">
        <v>480</v>
      </c>
      <c r="H68" s="167">
        <f>ROUND(F68*G68,2)</f>
        <v/>
      </c>
      <c r="J68" s="172" t="n"/>
      <c r="K68" s="172" t="n"/>
    </row>
    <row r="69">
      <c r="A69" s="171" t="n">
        <v>53</v>
      </c>
      <c r="B69" s="263" t="n"/>
      <c r="C69" s="170" t="inlineStr">
        <is>
          <t>01.7.20.04-0005</t>
        </is>
      </c>
      <c r="D69" s="169" t="inlineStr">
        <is>
          <t>Нитки швейные</t>
        </is>
      </c>
      <c r="E69" s="294" t="inlineStr">
        <is>
          <t>кг</t>
        </is>
      </c>
      <c r="F69" s="294" t="n">
        <v>0.002</v>
      </c>
      <c r="G69" s="167" t="n">
        <v>133.05</v>
      </c>
      <c r="H69" s="167">
        <f>ROUND(F69*G69,2)</f>
        <v/>
      </c>
      <c r="J69" s="172" t="n"/>
    </row>
    <row r="70">
      <c r="A70" s="171" t="n">
        <v>54</v>
      </c>
      <c r="B70" s="263" t="n"/>
      <c r="C70" s="170" t="inlineStr">
        <is>
          <t>24.3.01.01-0002</t>
        </is>
      </c>
      <c r="D70" s="169" t="inlineStr">
        <is>
          <t>Трубка полихлорвиниловая</t>
        </is>
      </c>
      <c r="E70" s="294" t="inlineStr">
        <is>
          <t>кг</t>
        </is>
      </c>
      <c r="F70" s="294" t="n">
        <v>0.0028</v>
      </c>
      <c r="G70" s="167" t="n">
        <v>35.7</v>
      </c>
      <c r="H70" s="167">
        <f>ROUND(F70*G70,2)</f>
        <v/>
      </c>
      <c r="J70" s="172" t="n"/>
    </row>
    <row r="71" ht="25.5" customHeight="1" s="215">
      <c r="A71" s="171" t="n">
        <v>55</v>
      </c>
      <c r="B71" s="263" t="n"/>
      <c r="C71" s="170" t="inlineStr">
        <is>
          <t>01.3.01.07-0009</t>
        </is>
      </c>
      <c r="D71" s="169" t="inlineStr">
        <is>
          <t>Спирт этиловый ректификованный технический, сорт I</t>
        </is>
      </c>
      <c r="E71" s="294" t="inlineStr">
        <is>
          <t>кг</t>
        </is>
      </c>
      <c r="F71" s="294" t="n">
        <v>0.002</v>
      </c>
      <c r="G71" s="167" t="n">
        <v>38.89</v>
      </c>
      <c r="H71" s="167">
        <f>ROUND(F71*G71,2)</f>
        <v/>
      </c>
      <c r="J71" s="172" t="n"/>
    </row>
    <row r="72" ht="25.5" customHeight="1" s="215">
      <c r="A72" s="171" t="n">
        <v>56</v>
      </c>
      <c r="B72" s="263" t="n"/>
      <c r="C72" s="170" t="inlineStr">
        <is>
          <t>02.3.01.02-0020</t>
        </is>
      </c>
      <c r="D72" s="169" t="inlineStr">
        <is>
          <t>Песок природный для строительных: растворов средний</t>
        </is>
      </c>
      <c r="E72" s="294" t="inlineStr">
        <is>
          <t>м3</t>
        </is>
      </c>
      <c r="F72" s="294" t="n">
        <v>0.0009</v>
      </c>
      <c r="G72" s="167" t="n">
        <v>59.99</v>
      </c>
      <c r="H72" s="167">
        <f>ROUND(F72*G72,2)</f>
        <v/>
      </c>
      <c r="J72" s="172" t="n"/>
    </row>
    <row r="73">
      <c r="A73" s="171" t="n">
        <v>57</v>
      </c>
      <c r="B73" s="263" t="n"/>
      <c r="C73" s="170" t="inlineStr">
        <is>
          <t>01.7.02.09-0002</t>
        </is>
      </c>
      <c r="D73" s="169" t="inlineStr">
        <is>
          <t>Шпагат бумажный</t>
        </is>
      </c>
      <c r="E73" s="294" t="inlineStr">
        <is>
          <t>кг</t>
        </is>
      </c>
      <c r="F73" s="294" t="n">
        <v>0.004</v>
      </c>
      <c r="G73" s="167" t="n">
        <v>11.5</v>
      </c>
      <c r="H73" s="167">
        <f>ROUND(F73*G73,2)</f>
        <v/>
      </c>
      <c r="J73" s="172" t="n"/>
    </row>
    <row r="74">
      <c r="A74" s="171" t="n">
        <v>58</v>
      </c>
      <c r="B74" s="263" t="n"/>
      <c r="C74" s="170" t="inlineStr">
        <is>
          <t>01.3.05.17-0002</t>
        </is>
      </c>
      <c r="D74" s="169" t="inlineStr">
        <is>
          <t>Канифоль сосновая</t>
        </is>
      </c>
      <c r="E74" s="294" t="inlineStr">
        <is>
          <t>кг</t>
        </is>
      </c>
      <c r="F74" s="294" t="n">
        <v>0.0013</v>
      </c>
      <c r="G74" s="167" t="n">
        <v>27.74</v>
      </c>
      <c r="H74" s="167">
        <f>ROUND(F74*G74,2)</f>
        <v/>
      </c>
      <c r="J74" s="172" t="n"/>
    </row>
    <row r="77">
      <c r="B77" s="241" t="inlineStr">
        <is>
          <t>Составил ______________________     Е.Р. Брызгалова</t>
        </is>
      </c>
    </row>
    <row r="78">
      <c r="B78" s="140" t="inlineStr">
        <is>
          <t xml:space="preserve">                         (подпись, инициалы, фамилия)</t>
        </is>
      </c>
    </row>
    <row r="80">
      <c r="B80" s="241" t="inlineStr">
        <is>
          <t>Проверил ______________________        А.В. Костянецкая</t>
        </is>
      </c>
    </row>
    <row r="81">
      <c r="B81" s="14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3:H3"/>
    <mergeCell ref="C9:C10"/>
    <mergeCell ref="A35:E35"/>
    <mergeCell ref="A12:E12"/>
    <mergeCell ref="F9:F10"/>
    <mergeCell ref="A7:H7"/>
    <mergeCell ref="A9:A10"/>
    <mergeCell ref="D9:D10"/>
    <mergeCell ref="C5:H5"/>
    <mergeCell ref="E9:E10"/>
    <mergeCell ref="A28:E28"/>
    <mergeCell ref="A19:E19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4" zoomScale="86" workbookViewId="0">
      <selection activeCell="C56" sqref="C56"/>
    </sheetView>
  </sheetViews>
  <sheetFormatPr baseColWidth="8" defaultRowHeight="15"/>
  <cols>
    <col width="4.140625" customWidth="1" style="215" min="1" max="1"/>
    <col width="36.28515625" customWidth="1" style="215" min="2" max="2"/>
    <col width="18.85546875" customWidth="1" style="215" min="3" max="3"/>
    <col width="18.28515625" customWidth="1" style="215" min="4" max="4"/>
    <col width="18.85546875" customWidth="1" style="215" min="5" max="5"/>
    <col width="11.42578125" customWidth="1" style="215" min="6" max="6"/>
    <col width="14.42578125" customWidth="1" style="215" min="7" max="7"/>
    <col width="9.140625" customWidth="1" style="215" min="8" max="11"/>
    <col width="13.5703125" customWidth="1" style="215" min="12" max="12"/>
    <col width="9.140625" customWidth="1" style="215" min="13" max="13"/>
  </cols>
  <sheetData>
    <row r="1">
      <c r="B1" s="201" t="n"/>
      <c r="C1" s="201" t="n"/>
      <c r="D1" s="201" t="n"/>
      <c r="E1" s="201" t="n"/>
    </row>
    <row r="2">
      <c r="B2" s="201" t="n"/>
      <c r="C2" s="201" t="n"/>
      <c r="D2" s="201" t="n"/>
      <c r="E2" s="289" t="inlineStr">
        <is>
          <t>Приложение № 4</t>
        </is>
      </c>
    </row>
    <row r="3">
      <c r="B3" s="201" t="n"/>
      <c r="C3" s="201" t="n"/>
      <c r="D3" s="201" t="n"/>
      <c r="E3" s="201" t="n"/>
    </row>
    <row r="4">
      <c r="B4" s="201" t="n"/>
      <c r="C4" s="201" t="n"/>
      <c r="D4" s="201" t="n"/>
      <c r="E4" s="201" t="n"/>
    </row>
    <row r="5">
      <c r="B5" s="249" t="inlineStr">
        <is>
          <t>Ресурсная модель</t>
        </is>
      </c>
    </row>
    <row r="6">
      <c r="B6" s="163" t="n"/>
      <c r="C6" s="201" t="n"/>
      <c r="D6" s="201" t="n"/>
      <c r="E6" s="201" t="n"/>
    </row>
    <row r="7" ht="25.5" customHeight="1" s="215">
      <c r="B7" s="267" t="inlineStr">
        <is>
          <t>Наименование разрабатываемого показателя УНЦ — РЗА Ячейка АТ330 кВ менее 200 МВА</t>
        </is>
      </c>
    </row>
    <row r="8">
      <c r="B8" s="268" t="inlineStr">
        <is>
          <t>Единица измерения  — 1 комплект</t>
        </is>
      </c>
    </row>
    <row r="9">
      <c r="B9" s="163" t="n"/>
      <c r="C9" s="201" t="n"/>
      <c r="D9" s="201" t="n"/>
      <c r="E9" s="201" t="n"/>
    </row>
    <row r="10" ht="51" customHeight="1" s="215">
      <c r="B10" s="272" t="inlineStr">
        <is>
          <t>Наименование</t>
        </is>
      </c>
      <c r="C10" s="272" t="inlineStr">
        <is>
          <t>Сметная стоимость в ценах на 01.01.2023
 (руб.)</t>
        </is>
      </c>
      <c r="D10" s="272" t="inlineStr">
        <is>
          <t>Удельный вес, 
(в СМР)</t>
        </is>
      </c>
      <c r="E10" s="27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206">
        <f>'Прил.5 Расчет СМР и ОБ'!J14</f>
        <v/>
      </c>
      <c r="D11" s="158">
        <f>C11/$C$24</f>
        <v/>
      </c>
      <c r="E11" s="158">
        <f>C11/$C$40</f>
        <v/>
      </c>
    </row>
    <row r="12">
      <c r="B12" s="99" t="inlineStr">
        <is>
          <t>Эксплуатация машин основных</t>
        </is>
      </c>
      <c r="C12" s="206">
        <f>'Прил.5 Расчет СМР и ОБ'!J23</f>
        <v/>
      </c>
      <c r="D12" s="158">
        <f>C12/$C$24</f>
        <v/>
      </c>
      <c r="E12" s="158">
        <f>C12/$C$40</f>
        <v/>
      </c>
    </row>
    <row r="13">
      <c r="B13" s="99" t="inlineStr">
        <is>
          <t>Эксплуатация машин прочих</t>
        </is>
      </c>
      <c r="C13" s="206">
        <f>'Прил.5 Расчет СМР и ОБ'!J28</f>
        <v/>
      </c>
      <c r="D13" s="158">
        <f>C13/$C$24</f>
        <v/>
      </c>
      <c r="E13" s="158">
        <f>C13/$C$40</f>
        <v/>
      </c>
    </row>
    <row r="14">
      <c r="B14" s="99" t="inlineStr">
        <is>
          <t>ЭКСПЛУАТАЦИЯ МАШИН, ВСЕГО:</t>
        </is>
      </c>
      <c r="C14" s="206">
        <f>C13+C12</f>
        <v/>
      </c>
      <c r="D14" s="158">
        <f>C14/$C$24</f>
        <v/>
      </c>
      <c r="E14" s="158">
        <f>C14/$C$40</f>
        <v/>
      </c>
    </row>
    <row r="15">
      <c r="B15" s="99" t="inlineStr">
        <is>
          <t>в том числе зарплата машинистов</t>
        </is>
      </c>
      <c r="C15" s="206">
        <f>'Прил.5 Расчет СМР и ОБ'!J16</f>
        <v/>
      </c>
      <c r="D15" s="158">
        <f>C15/$C$24</f>
        <v/>
      </c>
      <c r="E15" s="158">
        <f>C15/$C$40</f>
        <v/>
      </c>
    </row>
    <row r="16">
      <c r="B16" s="99" t="inlineStr">
        <is>
          <t>Материалы основные</t>
        </is>
      </c>
      <c r="C16" s="206">
        <f>'Прил.5 Расчет СМР и ОБ'!J45</f>
        <v/>
      </c>
      <c r="D16" s="158">
        <f>C16/$C$24</f>
        <v/>
      </c>
      <c r="E16" s="158">
        <f>C16/$C$40</f>
        <v/>
      </c>
    </row>
    <row r="17">
      <c r="B17" s="99" t="inlineStr">
        <is>
          <t>Материалы прочие</t>
        </is>
      </c>
      <c r="C17" s="206">
        <f>'Прил.5 Расчет СМР и ОБ'!J84</f>
        <v/>
      </c>
      <c r="D17" s="158">
        <f>C17/$C$24</f>
        <v/>
      </c>
      <c r="E17" s="158">
        <f>C17/$C$40</f>
        <v/>
      </c>
      <c r="G17" s="162" t="n"/>
    </row>
    <row r="18">
      <c r="B18" s="99" t="inlineStr">
        <is>
          <t>МАТЕРИАЛЫ, ВСЕГО:</t>
        </is>
      </c>
      <c r="C18" s="206">
        <f>C17+C16</f>
        <v/>
      </c>
      <c r="D18" s="158">
        <f>C18/$C$24</f>
        <v/>
      </c>
      <c r="E18" s="158">
        <f>C18/$C$40</f>
        <v/>
      </c>
    </row>
    <row r="19">
      <c r="B19" s="99" t="inlineStr">
        <is>
          <t>ИТОГО</t>
        </is>
      </c>
      <c r="C19" s="206">
        <f>C18+C14+C11</f>
        <v/>
      </c>
      <c r="D19" s="158" t="n"/>
      <c r="E19" s="99" t="n"/>
    </row>
    <row r="20">
      <c r="B20" s="99" t="inlineStr">
        <is>
          <t>Сметная прибыль, руб.</t>
        </is>
      </c>
      <c r="C20" s="206">
        <f>ROUND(C21*(C11+C15),2)</f>
        <v/>
      </c>
      <c r="D20" s="158">
        <f>C20/$C$24</f>
        <v/>
      </c>
      <c r="E20" s="158">
        <f>C20/$C$40</f>
        <v/>
      </c>
    </row>
    <row r="21">
      <c r="B21" s="99" t="inlineStr">
        <is>
          <t>Сметная прибыль, %</t>
        </is>
      </c>
      <c r="C21" s="161">
        <f>'Прил.5 Расчет СМР и ОБ'!D88</f>
        <v/>
      </c>
      <c r="D21" s="158" t="n"/>
      <c r="E21" s="99" t="n"/>
    </row>
    <row r="22">
      <c r="B22" s="99" t="inlineStr">
        <is>
          <t>Накладные расходы, руб.</t>
        </is>
      </c>
      <c r="C22" s="206">
        <f>ROUND(C23*(C11+C15),2)</f>
        <v/>
      </c>
      <c r="D22" s="158">
        <f>C22/$C$24</f>
        <v/>
      </c>
      <c r="E22" s="158">
        <f>C22/$C$40</f>
        <v/>
      </c>
    </row>
    <row r="23">
      <c r="B23" s="99" t="inlineStr">
        <is>
          <t>Накладные расходы, %</t>
        </is>
      </c>
      <c r="C23" s="161">
        <f>'Прил.5 Расчет СМР и ОБ'!D87</f>
        <v/>
      </c>
      <c r="D23" s="158" t="n"/>
      <c r="E23" s="99" t="n"/>
    </row>
    <row r="24">
      <c r="B24" s="99" t="inlineStr">
        <is>
          <t>ВСЕГО СМР с НР и СП</t>
        </is>
      </c>
      <c r="C24" s="206">
        <f>C19+C20+C22</f>
        <v/>
      </c>
      <c r="D24" s="158">
        <f>C24/$C$24</f>
        <v/>
      </c>
      <c r="E24" s="158">
        <f>C24/$C$40</f>
        <v/>
      </c>
    </row>
    <row r="25" ht="25.5" customHeight="1" s="215">
      <c r="B25" s="99" t="inlineStr">
        <is>
          <t>ВСЕГО стоимость оборудования, в том числе</t>
        </is>
      </c>
      <c r="C25" s="206">
        <f>'Прил.5 Расчет СМР и ОБ'!J40</f>
        <v/>
      </c>
      <c r="D25" s="158" t="n"/>
      <c r="E25" s="158">
        <f>C25/$C$40</f>
        <v/>
      </c>
    </row>
    <row r="26" ht="25.5" customHeight="1" s="215">
      <c r="B26" s="99" t="inlineStr">
        <is>
          <t>стоимость оборудования технологического</t>
        </is>
      </c>
      <c r="C26" s="206">
        <f>'Прил.5 Расчет СМР и ОБ'!J41</f>
        <v/>
      </c>
      <c r="D26" s="158" t="n"/>
      <c r="E26" s="158">
        <f>C26/$C$40</f>
        <v/>
      </c>
    </row>
    <row r="27">
      <c r="B27" s="99" t="inlineStr">
        <is>
          <t>ИТОГО (СМР + ОБОРУДОВАНИЕ)</t>
        </is>
      </c>
      <c r="C27" s="160">
        <f>C24+C25</f>
        <v/>
      </c>
      <c r="D27" s="158" t="n"/>
      <c r="E27" s="158">
        <f>C27/$C$40</f>
        <v/>
      </c>
    </row>
    <row r="28" ht="33" customHeight="1" s="215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9" t="n"/>
    </row>
    <row r="29" ht="25.5" customHeight="1" s="215">
      <c r="B29" s="99" t="inlineStr">
        <is>
          <t>Временные здания и сооружения - 3,9%</t>
        </is>
      </c>
      <c r="C29" s="160">
        <f>ROUND(C24*3.9%,2)</f>
        <v/>
      </c>
      <c r="D29" s="99" t="n"/>
      <c r="E29" s="158">
        <f>C29/$C$40</f>
        <v/>
      </c>
    </row>
    <row r="30" ht="38.25" customHeight="1" s="215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0">
        <f>ROUND((C24+C29)*2.1%,2)</f>
        <v/>
      </c>
      <c r="D30" s="99" t="n"/>
      <c r="E30" s="158">
        <f>C30/$C$40</f>
        <v/>
      </c>
      <c r="F30" s="159" t="n"/>
    </row>
    <row r="31">
      <c r="B31" s="99" t="inlineStr">
        <is>
          <t>Пусконаладочные работы</t>
        </is>
      </c>
      <c r="C31" s="184" t="n">
        <v>1651265.9459459</v>
      </c>
      <c r="D31" s="99" t="n"/>
      <c r="E31" s="158">
        <f>C31/$C$40</f>
        <v/>
      </c>
    </row>
    <row r="32" ht="25.5" customHeight="1" s="215">
      <c r="B32" s="99" t="inlineStr">
        <is>
          <t>Затраты по перевозке работников к месту работы и обратно</t>
        </is>
      </c>
      <c r="C32" s="160">
        <f>ROUND(C27*0%,2)</f>
        <v/>
      </c>
      <c r="D32" s="99" t="n"/>
      <c r="E32" s="158">
        <f>C32/$C$40</f>
        <v/>
      </c>
    </row>
    <row r="33" ht="25.5" customHeight="1" s="215">
      <c r="B33" s="99" t="inlineStr">
        <is>
          <t>Затраты, связанные с осуществлением работ вахтовым методом</t>
        </is>
      </c>
      <c r="C33" s="160">
        <f>ROUND(C28*0%,2)</f>
        <v/>
      </c>
      <c r="D33" s="99" t="n"/>
      <c r="E33" s="158">
        <f>C33/$C$40</f>
        <v/>
      </c>
    </row>
    <row r="34" ht="51" customHeight="1" s="215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0">
        <f>ROUND(C29*0%,2)</f>
        <v/>
      </c>
      <c r="D34" s="99" t="n"/>
      <c r="E34" s="158">
        <f>C34/$C$40</f>
        <v/>
      </c>
      <c r="H34" s="164" t="n"/>
    </row>
    <row r="35" ht="76.7" customHeight="1" s="215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0">
        <f>ROUND(C30*0%,2)</f>
        <v/>
      </c>
      <c r="D35" s="99" t="n"/>
      <c r="E35" s="158">
        <f>C35/$C$40</f>
        <v/>
      </c>
    </row>
    <row r="36" ht="25.5" customHeight="1" s="215">
      <c r="B36" s="99" t="inlineStr">
        <is>
          <t>Строительный контроль и содержание службы заказчика - 2,14%</t>
        </is>
      </c>
      <c r="C36" s="160">
        <f>ROUND((C27+C32+C33+C34+C35+C29+C31+C30)*2.14%,2)</f>
        <v/>
      </c>
      <c r="D36" s="99" t="n"/>
      <c r="E36" s="158">
        <f>C36/$C$40</f>
        <v/>
      </c>
      <c r="G36" s="182" t="n"/>
      <c r="L36" s="159" t="n"/>
    </row>
    <row r="37">
      <c r="B37" s="99" t="inlineStr">
        <is>
          <t>Авторский надзор - 0,2%</t>
        </is>
      </c>
      <c r="C37" s="160">
        <f>ROUND((C27+C32+C33+C34+C35+C29+C31+C30)*0.2%,2)</f>
        <v/>
      </c>
      <c r="D37" s="99" t="n"/>
      <c r="E37" s="158">
        <f>C37/$C$40</f>
        <v/>
      </c>
      <c r="G37" s="183" t="n"/>
      <c r="L37" s="159" t="n"/>
    </row>
    <row r="38" ht="38.25" customHeight="1" s="215">
      <c r="B38" s="99" t="inlineStr">
        <is>
          <t>ИТОГО (СМР+ОБОРУДОВАНИЕ+ПРОЧ. ЗАТР., УЧТЕННЫЕ ПОКАЗАТЕЛЕМ)</t>
        </is>
      </c>
      <c r="C38" s="206">
        <f>C27+C32+C33+C34+C35+C29+C31+C30+C36+C37</f>
        <v/>
      </c>
      <c r="D38" s="99" t="n"/>
      <c r="E38" s="158">
        <f>C38/$C$40</f>
        <v/>
      </c>
    </row>
    <row r="39" ht="13.7" customHeight="1" s="215">
      <c r="B39" s="99" t="inlineStr">
        <is>
          <t>Непредвиденные расходы</t>
        </is>
      </c>
      <c r="C39" s="206">
        <f>ROUND(C38*3%,2)</f>
        <v/>
      </c>
      <c r="D39" s="99" t="n"/>
      <c r="E39" s="158">
        <f>C39/$C$38</f>
        <v/>
      </c>
    </row>
    <row r="40">
      <c r="B40" s="99" t="inlineStr">
        <is>
          <t>ВСЕГО:</t>
        </is>
      </c>
      <c r="C40" s="206">
        <f>C39+C38</f>
        <v/>
      </c>
      <c r="D40" s="99" t="n"/>
      <c r="E40" s="158">
        <f>C40/$C$40</f>
        <v/>
      </c>
    </row>
    <row r="41">
      <c r="B41" s="99" t="inlineStr">
        <is>
          <t>ИТОГО ПОКАЗАТЕЛЬ НА ЕД. ИЗМ.</t>
        </is>
      </c>
      <c r="C41" s="206">
        <f>C40/'Прил.5 Расчет СМР и ОБ'!E91</f>
        <v/>
      </c>
      <c r="D41" s="99" t="n"/>
      <c r="E41" s="99" t="n"/>
    </row>
    <row r="42">
      <c r="B42" s="208" t="n"/>
      <c r="C42" s="201" t="n"/>
      <c r="D42" s="201" t="n"/>
      <c r="E42" s="201" t="n"/>
    </row>
    <row r="43">
      <c r="B43" s="208" t="inlineStr">
        <is>
          <t>Составил ____________________________ Е.Р. Брызгалова</t>
        </is>
      </c>
      <c r="C43" s="201" t="n"/>
      <c r="D43" s="201" t="n"/>
      <c r="E43" s="201" t="n"/>
    </row>
    <row r="44">
      <c r="B44" s="208" t="inlineStr">
        <is>
          <t xml:space="preserve">(должность, подпись, инициалы, фамилия) </t>
        </is>
      </c>
      <c r="C44" s="201" t="n"/>
      <c r="D44" s="201" t="n"/>
      <c r="E44" s="201" t="n"/>
    </row>
    <row r="45">
      <c r="B45" s="208" t="n"/>
      <c r="C45" s="201" t="n"/>
      <c r="D45" s="201" t="n"/>
      <c r="E45" s="201" t="n"/>
    </row>
    <row r="46">
      <c r="B46" s="208" t="inlineStr">
        <is>
          <t>Проверил ____________________________ А.В. Костянецкая</t>
        </is>
      </c>
      <c r="C46" s="201" t="n"/>
      <c r="D46" s="201" t="n"/>
      <c r="E46" s="201" t="n"/>
    </row>
    <row r="47">
      <c r="B47" s="268" t="inlineStr">
        <is>
          <t>(должность, подпись, инициалы, фамилия)</t>
        </is>
      </c>
      <c r="D47" s="201" t="n"/>
      <c r="E47" s="201" t="n"/>
    </row>
    <row r="49">
      <c r="B49" s="201" t="n"/>
      <c r="C49" s="201" t="n"/>
      <c r="D49" s="201" t="n"/>
      <c r="E49" s="201" t="n"/>
    </row>
    <row r="50">
      <c r="B50" s="201" t="n"/>
      <c r="C50" s="201" t="n"/>
      <c r="D50" s="201" t="n"/>
      <c r="E50" s="2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P97"/>
  <sheetViews>
    <sheetView tabSelected="1" view="pageBreakPreview" zoomScale="55" zoomScaleSheetLayoutView="55" workbookViewId="0">
      <selection activeCell="U85" sqref="U85"/>
    </sheetView>
  </sheetViews>
  <sheetFormatPr baseColWidth="8" defaultColWidth="9.140625" defaultRowHeight="15" outlineLevelRow="1"/>
  <cols>
    <col width="5.7109375" customWidth="1" style="211" min="1" max="1"/>
    <col width="22.5703125" customWidth="1" style="211" min="2" max="2"/>
    <col width="39.140625" customWidth="1" style="211" min="3" max="3"/>
    <col width="10.7109375" customWidth="1" style="211" min="4" max="4"/>
    <col width="12.7109375" customWidth="1" style="211" min="5" max="5"/>
    <col width="15" customWidth="1" style="211" min="6" max="6"/>
    <col width="13.42578125" customWidth="1" style="211" min="7" max="7"/>
    <col width="12.7109375" customWidth="1" style="211" min="8" max="8"/>
    <col width="13.85546875" customWidth="1" style="211" min="9" max="9"/>
    <col width="17.5703125" customWidth="1" style="211" min="10" max="10"/>
    <col width="10.85546875" customWidth="1" style="211" min="11" max="11"/>
    <col width="9.140625" customWidth="1" style="211" min="12" max="12"/>
  </cols>
  <sheetData>
    <row r="1">
      <c r="M1" s="211" t="n"/>
      <c r="N1" s="211" t="n"/>
    </row>
    <row r="2" ht="15.75" customHeight="1" s="215">
      <c r="H2" s="269" t="inlineStr">
        <is>
          <t>Приложение №5</t>
        </is>
      </c>
      <c r="M2" s="211" t="n"/>
      <c r="N2" s="211" t="n"/>
    </row>
    <row r="3">
      <c r="M3" s="211" t="n"/>
      <c r="N3" s="211" t="n"/>
    </row>
    <row r="4" ht="12.75" customFormat="1" customHeight="1" s="201">
      <c r="A4" s="249" t="inlineStr">
        <is>
          <t>Расчет стоимости СМР и оборудования</t>
        </is>
      </c>
    </row>
    <row r="5" ht="12.75" customFormat="1" customHeight="1" s="201">
      <c r="A5" s="249" t="n"/>
      <c r="B5" s="249" t="n"/>
      <c r="C5" s="298" t="n"/>
      <c r="D5" s="249" t="n"/>
      <c r="E5" s="249" t="n"/>
      <c r="F5" s="249" t="n"/>
      <c r="G5" s="249" t="n"/>
      <c r="H5" s="249" t="n"/>
      <c r="I5" s="249" t="n"/>
      <c r="J5" s="249" t="n"/>
    </row>
    <row r="6" ht="12.75" customFormat="1" customHeight="1" s="201">
      <c r="A6" s="134" t="inlineStr">
        <is>
          <t>Наименование разрабатываемого показателя УНЦ</t>
        </is>
      </c>
      <c r="B6" s="133" t="n"/>
      <c r="C6" s="133" t="n"/>
      <c r="D6" s="275" t="inlineStr">
        <is>
          <t>РЗА Ячейка АТ330 кВ менее 200 МВА</t>
        </is>
      </c>
    </row>
    <row r="7" ht="12.75" customFormat="1" customHeight="1" s="201">
      <c r="A7" s="252" t="inlineStr">
        <is>
          <t>Единица измерения  — 1 комплект</t>
        </is>
      </c>
      <c r="I7" s="267" t="n"/>
      <c r="J7" s="267" t="n"/>
    </row>
    <row r="8" ht="13.7" customFormat="1" customHeight="1" s="201">
      <c r="A8" s="252" t="n"/>
    </row>
    <row r="9" ht="27" customHeight="1" s="215">
      <c r="A9" s="272" t="inlineStr">
        <is>
          <t>№ пп.</t>
        </is>
      </c>
      <c r="B9" s="272" t="inlineStr">
        <is>
          <t>Код ресурса</t>
        </is>
      </c>
      <c r="C9" s="272" t="inlineStr">
        <is>
          <t>Наименование</t>
        </is>
      </c>
      <c r="D9" s="272" t="inlineStr">
        <is>
          <t>Ед. изм.</t>
        </is>
      </c>
      <c r="E9" s="272" t="inlineStr">
        <is>
          <t>Кол-во единиц по проектным данным</t>
        </is>
      </c>
      <c r="F9" s="272" t="inlineStr">
        <is>
          <t>Сметная стоимость в ценах на 01.01.2000 (руб.)</t>
        </is>
      </c>
      <c r="G9" s="343" t="n"/>
      <c r="H9" s="272" t="inlineStr">
        <is>
          <t>Удельный вес, %</t>
        </is>
      </c>
      <c r="I9" s="272" t="inlineStr">
        <is>
          <t>Сметная стоимость в ценах на 01.01.2023 (руб.)</t>
        </is>
      </c>
      <c r="J9" s="343" t="n"/>
      <c r="M9" s="211" t="n"/>
      <c r="N9" s="211" t="n"/>
    </row>
    <row r="10" ht="28.5" customHeight="1" s="215">
      <c r="A10" s="345" t="n"/>
      <c r="B10" s="345" t="n"/>
      <c r="C10" s="345" t="n"/>
      <c r="D10" s="345" t="n"/>
      <c r="E10" s="345" t="n"/>
      <c r="F10" s="272" t="inlineStr">
        <is>
          <t>на ед. изм.</t>
        </is>
      </c>
      <c r="G10" s="272" t="inlineStr">
        <is>
          <t>общая</t>
        </is>
      </c>
      <c r="H10" s="345" t="n"/>
      <c r="I10" s="272" t="inlineStr">
        <is>
          <t>на ед. изм.</t>
        </is>
      </c>
      <c r="J10" s="272" t="inlineStr">
        <is>
          <t>общая</t>
        </is>
      </c>
      <c r="M10" s="211" t="n"/>
      <c r="N10" s="211" t="n"/>
    </row>
    <row r="11">
      <c r="A11" s="272" t="n">
        <v>1</v>
      </c>
      <c r="B11" s="272" t="n">
        <v>2</v>
      </c>
      <c r="C11" s="272" t="n">
        <v>3</v>
      </c>
      <c r="D11" s="272" t="n">
        <v>4</v>
      </c>
      <c r="E11" s="272" t="n">
        <v>5</v>
      </c>
      <c r="F11" s="272" t="n">
        <v>6</v>
      </c>
      <c r="G11" s="272" t="n">
        <v>7</v>
      </c>
      <c r="H11" s="272" t="n">
        <v>8</v>
      </c>
      <c r="I11" s="273" t="n">
        <v>9</v>
      </c>
      <c r="J11" s="273" t="n">
        <v>10</v>
      </c>
      <c r="M11" s="211" t="n"/>
      <c r="N11" s="211" t="n"/>
    </row>
    <row r="12">
      <c r="A12" s="272" t="n"/>
      <c r="B12" s="280" t="inlineStr">
        <is>
          <t>Затраты труда рабочих-строителей</t>
        </is>
      </c>
      <c r="C12" s="342" t="n"/>
      <c r="D12" s="342" t="n"/>
      <c r="E12" s="342" t="n"/>
      <c r="F12" s="342" t="n"/>
      <c r="G12" s="342" t="n"/>
      <c r="H12" s="343" t="n"/>
      <c r="I12" s="122" t="n"/>
      <c r="J12" s="122" t="n"/>
    </row>
    <row r="13" ht="25.5" customHeight="1" s="215">
      <c r="A13" s="272" t="n">
        <v>1</v>
      </c>
      <c r="B13" s="132" t="inlineStr">
        <is>
          <t>1-4-1</t>
        </is>
      </c>
      <c r="C13" s="281" t="inlineStr">
        <is>
          <t>Затраты труда рабочих-строителей среднего разряда (4,1)</t>
        </is>
      </c>
      <c r="D13" s="272" t="inlineStr">
        <is>
          <t>чел.-ч.</t>
        </is>
      </c>
      <c r="E13" s="123">
        <f>G13/F13</f>
        <v/>
      </c>
      <c r="F13" s="26" t="n">
        <v>9.76</v>
      </c>
      <c r="G13" s="26" t="n">
        <v>2132.29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11">
      <c r="A14" s="272" t="n"/>
      <c r="B14" s="272" t="n"/>
      <c r="C14" s="280" t="inlineStr">
        <is>
          <t>Итого по разделу "Затраты труда рабочих-строителей"</t>
        </is>
      </c>
      <c r="D14" s="272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84" t="n">
        <v>1</v>
      </c>
      <c r="I14" s="122" t="n"/>
      <c r="J14" s="26">
        <f>SUM(J13:J13)</f>
        <v/>
      </c>
    </row>
    <row r="15" ht="14.25" customFormat="1" customHeight="1" s="211">
      <c r="A15" s="272" t="n"/>
      <c r="B15" s="281" t="inlineStr">
        <is>
          <t>Затраты труда машинистов</t>
        </is>
      </c>
      <c r="C15" s="342" t="n"/>
      <c r="D15" s="342" t="n"/>
      <c r="E15" s="342" t="n"/>
      <c r="F15" s="342" t="n"/>
      <c r="G15" s="342" t="n"/>
      <c r="H15" s="343" t="n"/>
      <c r="I15" s="122" t="n"/>
      <c r="J15" s="122" t="n"/>
    </row>
    <row r="16" ht="14.25" customFormat="1" customHeight="1" s="211">
      <c r="A16" s="272" t="n">
        <v>2</v>
      </c>
      <c r="B16" s="272" t="n">
        <v>2</v>
      </c>
      <c r="C16" s="281" t="inlineStr">
        <is>
          <t>Затраты труда машинистов</t>
        </is>
      </c>
      <c r="D16" s="272" t="inlineStr">
        <is>
          <t>чел.-ч.</t>
        </is>
      </c>
      <c r="E16" s="123" t="n">
        <v>22.48</v>
      </c>
      <c r="F16" s="26">
        <f>G16/E16</f>
        <v/>
      </c>
      <c r="G16" s="26" t="n">
        <v>296.43</v>
      </c>
      <c r="H16" s="284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211">
      <c r="A17" s="272" t="n"/>
      <c r="B17" s="280" t="inlineStr">
        <is>
          <t>Машины и механизмы</t>
        </is>
      </c>
      <c r="C17" s="342" t="n"/>
      <c r="D17" s="342" t="n"/>
      <c r="E17" s="342" t="n"/>
      <c r="F17" s="342" t="n"/>
      <c r="G17" s="342" t="n"/>
      <c r="H17" s="343" t="n"/>
      <c r="I17" s="122" t="n"/>
      <c r="J17" s="122" t="n"/>
    </row>
    <row r="18" ht="14.25" customFormat="1" customHeight="1" s="211">
      <c r="A18" s="272" t="n"/>
      <c r="B18" s="281" t="inlineStr">
        <is>
          <t>Основные машины и механизмы</t>
        </is>
      </c>
      <c r="C18" s="342" t="n"/>
      <c r="D18" s="342" t="n"/>
      <c r="E18" s="342" t="n"/>
      <c r="F18" s="342" t="n"/>
      <c r="G18" s="342" t="n"/>
      <c r="H18" s="343" t="n"/>
      <c r="I18" s="122" t="n"/>
      <c r="J18" s="122" t="n"/>
    </row>
    <row r="19" ht="25.5" customFormat="1" customHeight="1" s="211">
      <c r="A19" s="272" t="n">
        <v>3</v>
      </c>
      <c r="B19" s="132" t="inlineStr">
        <is>
          <t>91.05.04-010</t>
        </is>
      </c>
      <c r="C19" s="281" t="inlineStr">
        <is>
          <t>Краны мостовые электрические, грузоподъемность 50 т</t>
        </is>
      </c>
      <c r="D19" s="272" t="inlineStr">
        <is>
          <t>маш.час</t>
        </is>
      </c>
      <c r="E19" s="123" t="n">
        <v>1.15</v>
      </c>
      <c r="F19" s="283" t="n">
        <v>197.01</v>
      </c>
      <c r="G19" s="26">
        <f>ROUND(E19*F19,2)</f>
        <v/>
      </c>
      <c r="H19" s="125">
        <f>G19/$G$29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11">
      <c r="A20" s="272" t="n">
        <v>4</v>
      </c>
      <c r="B20" s="132" t="inlineStr">
        <is>
          <t>91.05.05-014</t>
        </is>
      </c>
      <c r="C20" s="281" t="inlineStr">
        <is>
          <t>Краны на автомобильном ходу, грузоподъемность 10 т</t>
        </is>
      </c>
      <c r="D20" s="272" t="inlineStr">
        <is>
          <t>маш.час</t>
        </is>
      </c>
      <c r="E20" s="123" t="n">
        <v>1.32</v>
      </c>
      <c r="F20" s="283" t="n">
        <v>111.99</v>
      </c>
      <c r="G20" s="26">
        <f>ROUND(E20*F20,2)</f>
        <v/>
      </c>
      <c r="H20" s="125">
        <f>G20/$G$29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11">
      <c r="A21" s="272" t="n">
        <v>5</v>
      </c>
      <c r="B21" s="132" t="inlineStr">
        <is>
          <t>91.17.04-233</t>
        </is>
      </c>
      <c r="C21" s="281" t="inlineStr">
        <is>
          <t>Установки для сварки: ручной дуговой (постоянного тока)</t>
        </is>
      </c>
      <c r="D21" s="272" t="inlineStr">
        <is>
          <t>маш.час</t>
        </is>
      </c>
      <c r="E21" s="123" t="n">
        <v>17.44</v>
      </c>
      <c r="F21" s="283" t="n">
        <v>8.1</v>
      </c>
      <c r="G21" s="26">
        <f>ROUND(E21*F21,2)</f>
        <v/>
      </c>
      <c r="H21" s="125">
        <f>G21/$G$29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11">
      <c r="A22" s="272" t="n">
        <v>6</v>
      </c>
      <c r="B22" s="132" t="inlineStr">
        <is>
          <t>91.14.02-001</t>
        </is>
      </c>
      <c r="C22" s="281" t="inlineStr">
        <is>
          <t>Автомобили бортовые, грузоподъемность: до 5 т</t>
        </is>
      </c>
      <c r="D22" s="272" t="inlineStr">
        <is>
          <t>маш.час</t>
        </is>
      </c>
      <c r="E22" s="123" t="n">
        <v>1.32</v>
      </c>
      <c r="F22" s="283" t="n">
        <v>65.70999999999999</v>
      </c>
      <c r="G22" s="26">
        <f>ROUND(E22*F22,2)</f>
        <v/>
      </c>
      <c r="H22" s="125">
        <f>G22/$G$29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11">
      <c r="A23" s="272" t="n"/>
      <c r="B23" s="272" t="n"/>
      <c r="C23" s="281" t="inlineStr">
        <is>
          <t>Итого основные машины и механизмы</t>
        </is>
      </c>
      <c r="D23" s="272" t="n"/>
      <c r="E23" s="123" t="n"/>
      <c r="F23" s="26" t="n"/>
      <c r="G23" s="26">
        <f>SUM(G19:G22)</f>
        <v/>
      </c>
      <c r="H23" s="284">
        <f>G23/G29</f>
        <v/>
      </c>
      <c r="I23" s="124" t="n"/>
      <c r="J23" s="26">
        <f>SUM(J19:J22)</f>
        <v/>
      </c>
    </row>
    <row r="24" hidden="1" outlineLevel="1" ht="25.5" customFormat="1" customHeight="1" s="211">
      <c r="A24" s="272" t="n">
        <v>7</v>
      </c>
      <c r="B24" s="132" t="inlineStr">
        <is>
          <t>91.17.04-161</t>
        </is>
      </c>
      <c r="C24" s="281" t="inlineStr">
        <is>
          <t>Полуавтоматы сварочные номинальным сварочным током 40-500 А</t>
        </is>
      </c>
      <c r="D24" s="272" t="inlineStr">
        <is>
          <t>маш.час</t>
        </is>
      </c>
      <c r="E24" s="123" t="n">
        <v>0.36</v>
      </c>
      <c r="F24" s="283" t="n">
        <v>16.44</v>
      </c>
      <c r="G24" s="26">
        <f>ROUND(E24*F24,2)</f>
        <v/>
      </c>
      <c r="H24" s="125">
        <f>G24/$G$29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211">
      <c r="A25" s="272" t="n">
        <v>8</v>
      </c>
      <c r="B25" s="132" t="inlineStr">
        <is>
          <t>91.06.06-042</t>
        </is>
      </c>
      <c r="C25" s="281" t="inlineStr">
        <is>
          <t>Подъемники гидравлические высотой подъема 10 м</t>
        </is>
      </c>
      <c r="D25" s="272" t="inlineStr">
        <is>
          <t>маш.час</t>
        </is>
      </c>
      <c r="E25" s="123" t="n">
        <v>0.04</v>
      </c>
      <c r="F25" s="283" t="n">
        <v>29.6</v>
      </c>
      <c r="G25" s="26">
        <f>ROUND(E25*F25,2)</f>
        <v/>
      </c>
      <c r="H25" s="125">
        <f>G25/$G$29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11">
      <c r="A26" s="272" t="n">
        <v>9</v>
      </c>
      <c r="B26" s="132" t="inlineStr">
        <is>
          <t>91.06.03-061</t>
        </is>
      </c>
      <c r="C26" s="281" t="inlineStr">
        <is>
          <t>Лебедки электрические тяговым усилием: до 12,26 кН (1,25 т)</t>
        </is>
      </c>
      <c r="D26" s="272" t="inlineStr">
        <is>
          <t>маш.час</t>
        </is>
      </c>
      <c r="E26" s="123" t="n">
        <v>0.02</v>
      </c>
      <c r="F26" s="283" t="n">
        <v>3.28</v>
      </c>
      <c r="G26" s="26">
        <f>ROUND(E26*F26,2)</f>
        <v/>
      </c>
      <c r="H26" s="125">
        <f>G26/$G$29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11">
      <c r="A27" s="272" t="n">
        <v>10</v>
      </c>
      <c r="B27" s="132" t="inlineStr">
        <is>
          <t>91.06.01-003</t>
        </is>
      </c>
      <c r="C27" s="281" t="inlineStr">
        <is>
          <t>Домкраты гидравлические, грузоподъемность 63-100 т</t>
        </is>
      </c>
      <c r="D27" s="272" t="inlineStr">
        <is>
          <t>маш.час</t>
        </is>
      </c>
      <c r="E27" s="123" t="n">
        <v>0.02</v>
      </c>
      <c r="F27" s="283" t="n">
        <v>0.9</v>
      </c>
      <c r="G27" s="26">
        <f>ROUND(E27*F27,2)</f>
        <v/>
      </c>
      <c r="H27" s="125">
        <f>G27/$G$29</f>
        <v/>
      </c>
      <c r="I27" s="26">
        <f>ROUND(F27*Прил.10!$D$12,2)</f>
        <v/>
      </c>
      <c r="J27" s="26">
        <f>ROUND(I27*E27,2)</f>
        <v/>
      </c>
    </row>
    <row r="28" collapsed="1" ht="14.25" customFormat="1" customHeight="1" s="211">
      <c r="A28" s="272" t="n"/>
      <c r="B28" s="272" t="n"/>
      <c r="C28" s="281" t="inlineStr">
        <is>
          <t>Итого прочие машины и механизмы</t>
        </is>
      </c>
      <c r="D28" s="272" t="n"/>
      <c r="E28" s="282" t="n"/>
      <c r="F28" s="26" t="n"/>
      <c r="G28" s="124">
        <f>SUM(G24:G27)</f>
        <v/>
      </c>
      <c r="H28" s="125">
        <f>G28/G29</f>
        <v/>
      </c>
      <c r="I28" s="26" t="n"/>
      <c r="J28" s="26">
        <f>SUM(J24:J27)</f>
        <v/>
      </c>
    </row>
    <row r="29" ht="25.5" customFormat="1" customHeight="1" s="211">
      <c r="A29" s="272" t="n"/>
      <c r="B29" s="272" t="n"/>
      <c r="C29" s="280" t="inlineStr">
        <is>
          <t>Итого по разделу «Машины и механизмы»</t>
        </is>
      </c>
      <c r="D29" s="272" t="n"/>
      <c r="E29" s="282" t="n"/>
      <c r="F29" s="26" t="n"/>
      <c r="G29" s="26">
        <f>G28+G23</f>
        <v/>
      </c>
      <c r="H29" s="126" t="n">
        <v>1</v>
      </c>
      <c r="I29" s="127" t="n"/>
      <c r="J29" s="128">
        <f>J28+J23</f>
        <v/>
      </c>
    </row>
    <row r="30" ht="14.25" customFormat="1" customHeight="1" s="211">
      <c r="A30" s="272" t="n"/>
      <c r="B30" s="280" t="inlineStr">
        <is>
          <t>Оборудование</t>
        </is>
      </c>
      <c r="C30" s="342" t="n"/>
      <c r="D30" s="342" t="n"/>
      <c r="E30" s="342" t="n"/>
      <c r="F30" s="342" t="n"/>
      <c r="G30" s="342" t="n"/>
      <c r="H30" s="343" t="n"/>
      <c r="I30" s="122" t="n"/>
      <c r="J30" s="122" t="n"/>
    </row>
    <row r="31">
      <c r="A31" s="272" t="n"/>
      <c r="B31" s="281" t="inlineStr">
        <is>
          <t>Основное оборудование</t>
        </is>
      </c>
      <c r="C31" s="342" t="n"/>
      <c r="D31" s="342" t="n"/>
      <c r="E31" s="342" t="n"/>
      <c r="F31" s="342" t="n"/>
      <c r="G31" s="342" t="n"/>
      <c r="H31" s="343" t="n"/>
      <c r="I31" s="122" t="n"/>
      <c r="J31" s="122" t="n"/>
    </row>
    <row r="32" ht="38.25" customFormat="1" customHeight="1" s="211">
      <c r="A32" s="185" t="n">
        <v>11</v>
      </c>
      <c r="B32" s="186" t="inlineStr">
        <is>
          <t>БЦ.30_1.47</t>
        </is>
      </c>
      <c r="C32" s="192" t="inlineStr">
        <is>
          <t>Комплект основных защит автотрансформатора 330-750 кВ типа ШЭТ 310.02-0</t>
        </is>
      </c>
      <c r="D32" s="186" t="inlineStr">
        <is>
          <t>шт</t>
        </is>
      </c>
      <c r="E32" s="188" t="n">
        <v>1</v>
      </c>
      <c r="F32" s="189">
        <f>ROUND(I32/Прил.10!$D$14,2)</f>
        <v/>
      </c>
      <c r="G32" s="190">
        <f>ROUND(E32*F32,2)</f>
        <v/>
      </c>
      <c r="H32" s="191">
        <f>G32/$G$40</f>
        <v/>
      </c>
      <c r="I32" s="190" t="n">
        <v>4325519</v>
      </c>
      <c r="J32" s="190">
        <f>ROUND(I32*E32,2)</f>
        <v/>
      </c>
    </row>
    <row r="33" ht="38.25" customFormat="1" customHeight="1" s="211">
      <c r="A33" s="185" t="n">
        <v>12</v>
      </c>
      <c r="B33" s="186" t="inlineStr">
        <is>
          <t>БЦ.30_1.46</t>
        </is>
      </c>
      <c r="C33" s="187" t="inlineStr">
        <is>
          <t>Комплект основных защит автотрансформатора 330-750 кВ и ошиновки 6-35 кВ типа ШЭТ 310.01-0</t>
        </is>
      </c>
      <c r="D33" s="186" t="inlineStr">
        <is>
          <t>шт</t>
        </is>
      </c>
      <c r="E33" s="188" t="n">
        <v>1</v>
      </c>
      <c r="F33" s="189">
        <f>ROUND(I33/Прил.10!$D$14,2)</f>
        <v/>
      </c>
      <c r="G33" s="190">
        <f>ROUND(E33*F33,2)</f>
        <v/>
      </c>
      <c r="H33" s="191">
        <f>G33/$G$40</f>
        <v/>
      </c>
      <c r="I33" s="190" t="n">
        <v>4171463</v>
      </c>
      <c r="J33" s="190">
        <f>ROUND(I33*E33,2)</f>
        <v/>
      </c>
    </row>
    <row r="34" ht="38.25" customFormat="1" customHeight="1" s="211">
      <c r="A34" s="185" t="n">
        <v>13</v>
      </c>
      <c r="B34" s="186" t="inlineStr">
        <is>
          <t>БЦ.30_1.48</t>
        </is>
      </c>
      <c r="C34" s="192" t="inlineStr">
        <is>
          <t>Комплект резервных защит автотрансформатора 220-750 кВ типа  ШЭТ 410.01-0</t>
        </is>
      </c>
      <c r="D34" s="186" t="inlineStr">
        <is>
          <t>шт</t>
        </is>
      </c>
      <c r="E34" s="188" t="n">
        <v>2</v>
      </c>
      <c r="F34" s="189">
        <f>ROUND(I34/Прил.10!$D$14,2)</f>
        <v/>
      </c>
      <c r="G34" s="190">
        <f>ROUND(E34*F34,2)</f>
        <v/>
      </c>
      <c r="H34" s="191">
        <f>G34/$G$40</f>
        <v/>
      </c>
      <c r="I34" s="190" t="n">
        <v>2037453</v>
      </c>
      <c r="J34" s="190">
        <f>ROUND(I34*E34,2)</f>
        <v/>
      </c>
    </row>
    <row r="35" ht="25.5" customFormat="1" customHeight="1" s="211">
      <c r="A35" s="185" t="n">
        <v>14</v>
      </c>
      <c r="B35" s="186" t="inlineStr">
        <is>
          <t>БЦ.30_1.16</t>
        </is>
      </c>
      <c r="C35" s="192" t="inlineStr">
        <is>
          <t>Дифференциальная защита ошиновки 6 – 750 кВ (два комплекта) типа ШЭТ 440.01-0</t>
        </is>
      </c>
      <c r="D35" s="186" t="inlineStr">
        <is>
          <t>шт</t>
        </is>
      </c>
      <c r="E35" s="188" t="n">
        <v>1</v>
      </c>
      <c r="F35" s="189">
        <f>ROUND(I35/Прил.10!$D$14,2)</f>
        <v/>
      </c>
      <c r="G35" s="190">
        <f>ROUND(E35*F35,2)</f>
        <v/>
      </c>
      <c r="H35" s="191">
        <f>G35/$G$40</f>
        <v/>
      </c>
      <c r="I35" s="193" t="n">
        <v>3204812</v>
      </c>
      <c r="J35" s="190">
        <f>ROUND(I35*E35,2)</f>
        <v/>
      </c>
    </row>
    <row r="36" ht="25.5" customFormat="1" customHeight="1" s="211">
      <c r="A36" s="185" t="n">
        <v>15</v>
      </c>
      <c r="B36" s="186" t="inlineStr">
        <is>
          <t>БЦ.30_1.17</t>
        </is>
      </c>
      <c r="C36" s="192" t="inlineStr">
        <is>
          <t>Дифференциальная защита ошиновки 6 – 750 кВ типа ШЭТ 440.02-0</t>
        </is>
      </c>
      <c r="D36" s="186" t="inlineStr">
        <is>
          <t>шт</t>
        </is>
      </c>
      <c r="E36" s="188" t="n">
        <v>1</v>
      </c>
      <c r="F36" s="189">
        <f>ROUND(I36/Прил.10!$D$14,2)</f>
        <v/>
      </c>
      <c r="G36" s="190">
        <f>ROUND(E36*F36,2)</f>
        <v/>
      </c>
      <c r="H36" s="191">
        <f>G36/$G$40</f>
        <v/>
      </c>
      <c r="I36" s="190" t="n">
        <v>1985000</v>
      </c>
      <c r="J36" s="190">
        <f>ROUND(I36*E36,2)</f>
        <v/>
      </c>
    </row>
    <row r="37">
      <c r="A37" s="186" t="n"/>
      <c r="B37" s="194" t="n"/>
      <c r="C37" s="195" t="inlineStr">
        <is>
          <t>Итого основное оборудование</t>
        </is>
      </c>
      <c r="D37" s="186" t="n"/>
      <c r="E37" s="196" t="n"/>
      <c r="F37" s="197" t="n"/>
      <c r="G37" s="198">
        <f>SUM(G32:G36)</f>
        <v/>
      </c>
      <c r="H37" s="199">
        <f>G37/$G$40</f>
        <v/>
      </c>
      <c r="I37" s="200" t="n"/>
      <c r="J37" s="198">
        <f>SUM(J32:J36)</f>
        <v/>
      </c>
    </row>
    <row r="38" hidden="1" outlineLevel="1" ht="38.25" customFormat="1" customHeight="1" s="211">
      <c r="A38" s="185" t="n">
        <v>16</v>
      </c>
      <c r="B38" s="186" t="inlineStr">
        <is>
          <t>БЦ.30_1.64</t>
        </is>
      </c>
      <c r="C38" s="192" t="inlineStr">
        <is>
          <t>Шкаф автоматики регулирования напряжения для одного автотрансформатора типа ШЭТ 410.05-0</t>
        </is>
      </c>
      <c r="D38" s="186" t="inlineStr">
        <is>
          <t>шт</t>
        </is>
      </c>
      <c r="E38" s="188" t="n">
        <v>1</v>
      </c>
      <c r="F38" s="189">
        <f>ROUND(I38/Прил.10!$D$14,2)</f>
        <v/>
      </c>
      <c r="G38" s="190">
        <f>ROUND(E38*F38,2)</f>
        <v/>
      </c>
      <c r="H38" s="191">
        <f>G38/$G$40</f>
        <v/>
      </c>
      <c r="I38" s="190" t="n">
        <v>1531887</v>
      </c>
      <c r="J38" s="190">
        <f>ROUND(I38*E38,2)</f>
        <v/>
      </c>
    </row>
    <row r="39" collapsed="1" s="215">
      <c r="A39" s="272" t="n"/>
      <c r="B39" s="272" t="n"/>
      <c r="C39" s="281" t="inlineStr">
        <is>
          <t>Итого прочее оборудование</t>
        </is>
      </c>
      <c r="D39" s="272" t="n"/>
      <c r="E39" s="123" t="n"/>
      <c r="F39" s="283" t="n"/>
      <c r="G39" s="26">
        <f>G38</f>
        <v/>
      </c>
      <c r="H39" s="125">
        <f>G39/$G$40</f>
        <v/>
      </c>
      <c r="I39" s="124" t="n"/>
      <c r="J39" s="26">
        <f>J38</f>
        <v/>
      </c>
    </row>
    <row r="40">
      <c r="A40" s="272" t="n"/>
      <c r="B40" s="272" t="n"/>
      <c r="C40" s="280" t="inlineStr">
        <is>
          <t>Итого по разделу «Оборудование»</t>
        </is>
      </c>
      <c r="D40" s="272" t="n"/>
      <c r="E40" s="282" t="n"/>
      <c r="F40" s="283" t="n"/>
      <c r="G40" s="26">
        <f>G37+G39</f>
        <v/>
      </c>
      <c r="H40" s="125">
        <f>G40/$G$40</f>
        <v/>
      </c>
      <c r="I40" s="124" t="n"/>
      <c r="J40" s="26">
        <f>J39+J37</f>
        <v/>
      </c>
    </row>
    <row r="41" ht="25.5" customHeight="1" s="215">
      <c r="A41" s="272" t="n"/>
      <c r="B41" s="272" t="n"/>
      <c r="C41" s="281" t="inlineStr">
        <is>
          <t>в том числе технологическое оборудование</t>
        </is>
      </c>
      <c r="D41" s="272" t="n"/>
      <c r="E41" s="129" t="n"/>
      <c r="F41" s="283" t="n"/>
      <c r="G41" s="26">
        <f>'Прил.6 Расчет ОБ'!G18</f>
        <v/>
      </c>
      <c r="H41" s="284" t="n"/>
      <c r="I41" s="124" t="n"/>
      <c r="J41" s="26">
        <f>J40</f>
        <v/>
      </c>
    </row>
    <row r="42" ht="14.25" customFormat="1" customHeight="1" s="211">
      <c r="A42" s="272" t="n"/>
      <c r="B42" s="280" t="inlineStr">
        <is>
          <t>Материалы</t>
        </is>
      </c>
      <c r="C42" s="342" t="n"/>
      <c r="D42" s="342" t="n"/>
      <c r="E42" s="342" t="n"/>
      <c r="F42" s="342" t="n"/>
      <c r="G42" s="342" t="n"/>
      <c r="H42" s="343" t="n"/>
      <c r="I42" s="122" t="n"/>
      <c r="J42" s="122" t="n"/>
    </row>
    <row r="43" ht="14.25" customFormat="1" customHeight="1" s="211">
      <c r="A43" s="273" t="n"/>
      <c r="B43" s="276" t="inlineStr">
        <is>
          <t>Основные материалы</t>
        </is>
      </c>
      <c r="C43" s="346" t="n"/>
      <c r="D43" s="346" t="n"/>
      <c r="E43" s="346" t="n"/>
      <c r="F43" s="346" t="n"/>
      <c r="G43" s="346" t="n"/>
      <c r="H43" s="347" t="n"/>
      <c r="I43" s="135" t="n"/>
      <c r="J43" s="135" t="n"/>
    </row>
    <row r="44" ht="14.25" customFormat="1" customHeight="1" s="211">
      <c r="A44" s="272" t="n">
        <v>17</v>
      </c>
      <c r="B44" s="272" t="inlineStr">
        <is>
          <t>21.1.08.03-0574</t>
        </is>
      </c>
      <c r="C44" s="281" t="inlineStr">
        <is>
          <t>Кабель контрольный КВВГЭнг(A)-LS 4х2,5</t>
        </is>
      </c>
      <c r="D44" s="272" t="inlineStr">
        <is>
          <t>1000 м</t>
        </is>
      </c>
      <c r="E44" s="129" t="n">
        <v>3</v>
      </c>
      <c r="F44" s="283" t="n">
        <v>32828.83</v>
      </c>
      <c r="G44" s="26">
        <f>ROUND(E44*F44,2)</f>
        <v/>
      </c>
      <c r="H44" s="125">
        <f>G44/$G$85</f>
        <v/>
      </c>
      <c r="I44" s="26">
        <f>ROUND(F44*Прил.10!$D$13,2)</f>
        <v/>
      </c>
      <c r="J44" s="26">
        <f>ROUND(I44*E44,2)</f>
        <v/>
      </c>
      <c r="P44" s="211" t="inlineStr">
        <is>
          <t>   </t>
        </is>
      </c>
    </row>
    <row r="45" ht="14.25" customFormat="1" customHeight="1" s="211">
      <c r="A45" s="274" t="n"/>
      <c r="B45" s="137" t="n"/>
      <c r="C45" s="138" t="inlineStr">
        <is>
          <t>Итого основные материалы</t>
        </is>
      </c>
      <c r="D45" s="274" t="n"/>
      <c r="E45" s="181" t="n"/>
      <c r="F45" s="128" t="n"/>
      <c r="G45" s="128">
        <f>SUM(G44:G44)</f>
        <v/>
      </c>
      <c r="H45" s="125">
        <f>G45/$G$85</f>
        <v/>
      </c>
      <c r="I45" s="26" t="n"/>
      <c r="J45" s="128">
        <f>SUM(J44:J44)</f>
        <v/>
      </c>
    </row>
    <row r="46" hidden="1" outlineLevel="1" ht="25.5" customFormat="1" customHeight="1" s="211">
      <c r="A46" s="272" t="n">
        <v>18</v>
      </c>
      <c r="B46" s="272" t="inlineStr">
        <is>
          <t>07.2.07.04-0007</t>
        </is>
      </c>
      <c r="C46" s="281" t="inlineStr">
        <is>
          <t>Конструкции стальные индивидуальные: решетчатые сварные массой до 0,1 т</t>
        </is>
      </c>
      <c r="D46" s="272" t="inlineStr">
        <is>
          <t>т</t>
        </is>
      </c>
      <c r="E46" s="129" t="n">
        <v>0.4616</v>
      </c>
      <c r="F46" s="283" t="n">
        <v>11500</v>
      </c>
      <c r="G46" s="26">
        <f>ROUND(E46*F46,2)</f>
        <v/>
      </c>
      <c r="H46" s="125">
        <f>G46/$G$85</f>
        <v/>
      </c>
      <c r="I46" s="26">
        <f>ROUND(F46*Прил.10!$D$13,2)</f>
        <v/>
      </c>
      <c r="J46" s="26">
        <f>ROUND(I46*E46,2)</f>
        <v/>
      </c>
    </row>
    <row r="47" hidden="1" outlineLevel="1" ht="38.25" customFormat="1" customHeight="1" s="211">
      <c r="A47" s="272" t="n">
        <v>19</v>
      </c>
      <c r="B47" s="272" t="inlineStr">
        <is>
          <t>20.5.02.02-0001</t>
        </is>
      </c>
      <c r="C47" s="281" t="inlineStr">
        <is>
          <t>Коробка клеммная взрывозащищенная SA141410(1C10-1N-1PE- 1C2-1N-1PE-1FL3(C)-1FL2(C) 2Exel IT6, IP66</t>
        </is>
      </c>
      <c r="D47" s="272" t="inlineStr">
        <is>
          <t>шт</t>
        </is>
      </c>
      <c r="E47" s="129" t="n">
        <v>1</v>
      </c>
      <c r="F47" s="283" t="n">
        <v>2639.24</v>
      </c>
      <c r="G47" s="26">
        <f>ROUND(E47*F47,2)</f>
        <v/>
      </c>
      <c r="H47" s="125">
        <f>G47/$G$85</f>
        <v/>
      </c>
      <c r="I47" s="26">
        <f>ROUND(F47*Прил.10!$D$13,2)</f>
        <v/>
      </c>
      <c r="J47" s="26">
        <f>ROUND(I47*E47,2)</f>
        <v/>
      </c>
    </row>
    <row r="48" hidden="1" outlineLevel="1" ht="14.25" customFormat="1" customHeight="1" s="211">
      <c r="A48" s="272" t="n">
        <v>20</v>
      </c>
      <c r="B48" s="272" t="inlineStr">
        <is>
          <t>14.4.02.09-0001</t>
        </is>
      </c>
      <c r="C48" s="281" t="inlineStr">
        <is>
          <t>Краска</t>
        </is>
      </c>
      <c r="D48" s="272" t="inlineStr">
        <is>
          <t>кг</t>
        </is>
      </c>
      <c r="E48" s="129" t="n">
        <v>45.78</v>
      </c>
      <c r="F48" s="283" t="n">
        <v>28.6</v>
      </c>
      <c r="G48" s="26">
        <f>ROUND(E48*F48,2)</f>
        <v/>
      </c>
      <c r="H48" s="125">
        <f>G48/$G$85</f>
        <v/>
      </c>
      <c r="I48" s="26">
        <f>ROUND(F48*Прил.10!$D$13,2)</f>
        <v/>
      </c>
      <c r="J48" s="26">
        <f>ROUND(I48*E48,2)</f>
        <v/>
      </c>
    </row>
    <row r="49" hidden="1" outlineLevel="1" ht="25.5" customFormat="1" customHeight="1" s="211">
      <c r="A49" s="272" t="n">
        <v>21</v>
      </c>
      <c r="B49" s="272" t="inlineStr">
        <is>
          <t>08.1.02.13-0005</t>
        </is>
      </c>
      <c r="C49" s="281" t="inlineStr">
        <is>
          <t>Рукава металлические диаметром 15 мм РЗ-Ц-Х</t>
        </is>
      </c>
      <c r="D49" s="272" t="inlineStr">
        <is>
          <t>м</t>
        </is>
      </c>
      <c r="E49" s="129" t="n">
        <v>90</v>
      </c>
      <c r="F49" s="283" t="n">
        <v>8.279999999999999</v>
      </c>
      <c r="G49" s="26">
        <f>ROUND(E49*F49,2)</f>
        <v/>
      </c>
      <c r="H49" s="125">
        <f>G49/$G$85</f>
        <v/>
      </c>
      <c r="I49" s="26">
        <f>ROUND(F49*Прил.10!$D$13,2)</f>
        <v/>
      </c>
      <c r="J49" s="26">
        <f>ROUND(I49*E49,2)</f>
        <v/>
      </c>
    </row>
    <row r="50" hidden="1" outlineLevel="1" ht="38.25" customFormat="1" customHeight="1" s="211">
      <c r="A50" s="272" t="n">
        <v>22</v>
      </c>
      <c r="B50" s="272" t="inlineStr">
        <is>
          <t>21.2.01.02-0141</t>
        </is>
      </c>
      <c r="C50" s="281" t="inlineStr">
        <is>
          <t>Провода неизолированные для воздушных линий электропередачи медные марки: М, сечением 4 мм2</t>
        </is>
      </c>
      <c r="D50" s="272" t="inlineStr">
        <is>
          <t>т</t>
        </is>
      </c>
      <c r="E50" s="129" t="n">
        <v>0.0029</v>
      </c>
      <c r="F50" s="283" t="n">
        <v>96440</v>
      </c>
      <c r="G50" s="26">
        <f>ROUND(E50*F50,2)</f>
        <v/>
      </c>
      <c r="H50" s="125">
        <f>G50/$G$85</f>
        <v/>
      </c>
      <c r="I50" s="26">
        <f>ROUND(F50*Прил.10!$D$13,2)</f>
        <v/>
      </c>
      <c r="J50" s="26">
        <f>ROUND(I50*E50,2)</f>
        <v/>
      </c>
    </row>
    <row r="51" hidden="1" outlineLevel="1" ht="14.25" customFormat="1" customHeight="1" s="211">
      <c r="A51" s="272" t="n">
        <v>23</v>
      </c>
      <c r="B51" s="272" t="inlineStr">
        <is>
          <t>18.5.08.09-0001</t>
        </is>
      </c>
      <c r="C51" s="281" t="inlineStr">
        <is>
          <t>Патрубки</t>
        </is>
      </c>
      <c r="D51" s="272" t="inlineStr">
        <is>
          <t>10 шт</t>
        </is>
      </c>
      <c r="E51" s="129" t="n">
        <v>0.9</v>
      </c>
      <c r="F51" s="283" t="n">
        <v>277.5</v>
      </c>
      <c r="G51" s="26">
        <f>ROUND(E51*F51,2)</f>
        <v/>
      </c>
      <c r="H51" s="125">
        <f>G51/$G$85</f>
        <v/>
      </c>
      <c r="I51" s="26">
        <f>ROUND(F51*Прил.10!$D$13,2)</f>
        <v/>
      </c>
      <c r="J51" s="26">
        <f>ROUND(I51*E51,2)</f>
        <v/>
      </c>
    </row>
    <row r="52" hidden="1" outlineLevel="1" ht="25.5" customFormat="1" customHeight="1" s="211">
      <c r="A52" s="272" t="n">
        <v>24</v>
      </c>
      <c r="B52" s="272" t="inlineStr">
        <is>
          <t>08.3.07.01-0076</t>
        </is>
      </c>
      <c r="C52" s="281" t="inlineStr">
        <is>
          <t>Сталь полосовая, марка стали: Ст3сп шириной 50-200 мм толщиной 4-5 мм</t>
        </is>
      </c>
      <c r="D52" s="272" t="inlineStr">
        <is>
          <t>т</t>
        </is>
      </c>
      <c r="E52" s="129" t="n">
        <v>0.0486</v>
      </c>
      <c r="F52" s="283" t="n">
        <v>5000</v>
      </c>
      <c r="G52" s="26">
        <f>ROUND(E52*F52,2)</f>
        <v/>
      </c>
      <c r="H52" s="125">
        <f>G52/$G$85</f>
        <v/>
      </c>
      <c r="I52" s="26">
        <f>ROUND(F52*Прил.10!$D$13,2)</f>
        <v/>
      </c>
      <c r="J52" s="26">
        <f>ROUND(I52*E52,2)</f>
        <v/>
      </c>
    </row>
    <row r="53" hidden="1" outlineLevel="1" ht="14.25" customFormat="1" customHeight="1" s="211">
      <c r="A53" s="272" t="n">
        <v>25</v>
      </c>
      <c r="B53" s="272" t="inlineStr">
        <is>
          <t>14.4.02.09-0301</t>
        </is>
      </c>
      <c r="C53" s="281" t="inlineStr">
        <is>
          <t>Краска "Цинол"</t>
        </is>
      </c>
      <c r="D53" s="272" t="inlineStr">
        <is>
          <t>кг</t>
        </is>
      </c>
      <c r="E53" s="129" t="n">
        <v>1</v>
      </c>
      <c r="F53" s="283" t="n">
        <v>238.48</v>
      </c>
      <c r="G53" s="26">
        <f>ROUND(E53*F53,2)</f>
        <v/>
      </c>
      <c r="H53" s="125">
        <f>G53/$G$85</f>
        <v/>
      </c>
      <c r="I53" s="26">
        <f>ROUND(F53*Прил.10!$D$13,2)</f>
        <v/>
      </c>
      <c r="J53" s="26">
        <f>ROUND(I53*E53,2)</f>
        <v/>
      </c>
    </row>
    <row r="54" hidden="1" outlineLevel="1" ht="38.25" customFormat="1" customHeight="1" s="211">
      <c r="A54" s="272" t="n">
        <v>26</v>
      </c>
      <c r="B54" s="272" t="inlineStr">
        <is>
          <t>20.2.04.04-0001</t>
        </is>
      </c>
      <c r="C54" s="281" t="inlineStr">
        <is>
          <t>Короб кабельный прямой из оцинкованный стали толщиной 1,5 мм размером 2000х150х100 мм, 1-канальный</t>
        </is>
      </c>
      <c r="D54" s="272" t="inlineStr">
        <is>
          <t>шт</t>
        </is>
      </c>
      <c r="E54" s="129" t="n">
        <v>1.5</v>
      </c>
      <c r="F54" s="283" t="n">
        <v>157.3</v>
      </c>
      <c r="G54" s="26">
        <f>ROUND(E54*F54,2)</f>
        <v/>
      </c>
      <c r="H54" s="125">
        <f>G54/$G$85</f>
        <v/>
      </c>
      <c r="I54" s="26">
        <f>ROUND(F54*Прил.10!$D$13,2)</f>
        <v/>
      </c>
      <c r="J54" s="26">
        <f>ROUND(I54*E54,2)</f>
        <v/>
      </c>
    </row>
    <row r="55" hidden="1" outlineLevel="1" ht="25.5" customFormat="1" customHeight="1" s="211">
      <c r="A55" s="272" t="n">
        <v>27</v>
      </c>
      <c r="B55" s="272" t="inlineStr">
        <is>
          <t>10.3.02.03-0011</t>
        </is>
      </c>
      <c r="C55" s="281" t="inlineStr">
        <is>
          <t>Припои оловянно-свинцовые бессурьмянистые марки: ПОС30</t>
        </is>
      </c>
      <c r="D55" s="272" t="inlineStr">
        <is>
          <t>кг</t>
        </is>
      </c>
      <c r="E55" s="129" t="n">
        <v>1.3026</v>
      </c>
      <c r="F55" s="283" t="n">
        <v>68.05</v>
      </c>
      <c r="G55" s="26">
        <f>ROUND(E55*F55,2)</f>
        <v/>
      </c>
      <c r="H55" s="125">
        <f>G55/$G$85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211">
      <c r="A56" s="272" t="n">
        <v>28</v>
      </c>
      <c r="B56" s="272" t="inlineStr">
        <is>
          <t>01.7.15.03-0042</t>
        </is>
      </c>
      <c r="C56" s="281" t="inlineStr">
        <is>
          <t>Болты с гайками и шайбами строительные</t>
        </is>
      </c>
      <c r="D56" s="272" t="inlineStr">
        <is>
          <t>кг</t>
        </is>
      </c>
      <c r="E56" s="129" t="n">
        <v>7.235</v>
      </c>
      <c r="F56" s="283" t="n">
        <v>9.039999999999999</v>
      </c>
      <c r="G56" s="26">
        <f>ROUND(E56*F56,2)</f>
        <v/>
      </c>
      <c r="H56" s="125">
        <f>G56/$G$85</f>
        <v/>
      </c>
      <c r="I56" s="26">
        <f>ROUND(F56*Прил.10!$D$13,2)</f>
        <v/>
      </c>
      <c r="J56" s="26">
        <f>ROUND(I56*E56,2)</f>
        <v/>
      </c>
    </row>
    <row r="57" hidden="1" outlineLevel="1" ht="14.25" customFormat="1" customHeight="1" s="211">
      <c r="A57" s="272" t="n">
        <v>29</v>
      </c>
      <c r="B57" s="272" t="inlineStr">
        <is>
          <t>20.1.02.06-0001</t>
        </is>
      </c>
      <c r="C57" s="281" t="inlineStr">
        <is>
          <t>Жир паяльный</t>
        </is>
      </c>
      <c r="D57" s="272" t="inlineStr">
        <is>
          <t>кг</t>
        </is>
      </c>
      <c r="E57" s="129" t="n">
        <v>0.52</v>
      </c>
      <c r="F57" s="283" t="n">
        <v>100.8</v>
      </c>
      <c r="G57" s="26">
        <f>ROUND(E57*F57,2)</f>
        <v/>
      </c>
      <c r="H57" s="125">
        <f>G57/$G$85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211">
      <c r="A58" s="272" t="n">
        <v>30</v>
      </c>
      <c r="B58" s="272" t="inlineStr">
        <is>
          <t>20.1.02.23-0082</t>
        </is>
      </c>
      <c r="C58" s="281" t="inlineStr">
        <is>
          <t>Перемычки гибкие, тип ПГС-50</t>
        </is>
      </c>
      <c r="D58" s="272" t="inlineStr">
        <is>
          <t>10 шт</t>
        </is>
      </c>
      <c r="E58" s="129" t="n">
        <v>1.11</v>
      </c>
      <c r="F58" s="283" t="n">
        <v>39</v>
      </c>
      <c r="G58" s="26">
        <f>ROUND(E58*F58,2)</f>
        <v/>
      </c>
      <c r="H58" s="125">
        <f>G58/$G$85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211">
      <c r="A59" s="272" t="n">
        <v>31</v>
      </c>
      <c r="B59" s="272" t="inlineStr">
        <is>
          <t>999-9950</t>
        </is>
      </c>
      <c r="C59" s="281" t="inlineStr">
        <is>
          <t>Вспомогательные ненормируемые ресурсы (2% от Оплаты труда рабочих)</t>
        </is>
      </c>
      <c r="D59" s="272" t="inlineStr">
        <is>
          <t>руб.</t>
        </is>
      </c>
      <c r="E59" s="129" t="n">
        <v>37.3293</v>
      </c>
      <c r="F59" s="283" t="n">
        <v>1</v>
      </c>
      <c r="G59" s="26">
        <f>ROUND(E59*F59,2)</f>
        <v/>
      </c>
      <c r="H59" s="125">
        <f>G59/$G$85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211">
      <c r="A60" s="272" t="n">
        <v>32</v>
      </c>
      <c r="B60" s="272" t="inlineStr">
        <is>
          <t>01.3.01.01-0001</t>
        </is>
      </c>
      <c r="C60" s="281" t="inlineStr">
        <is>
          <t>Бензин авиационный Б-70</t>
        </is>
      </c>
      <c r="D60" s="272" t="inlineStr">
        <is>
          <t>т</t>
        </is>
      </c>
      <c r="E60" s="129" t="n">
        <v>0.008</v>
      </c>
      <c r="F60" s="283" t="n">
        <v>4488.4</v>
      </c>
      <c r="G60" s="26">
        <f>ROUND(E60*F60,2)</f>
        <v/>
      </c>
      <c r="H60" s="125">
        <f>G60/$G$85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211">
      <c r="A61" s="272" t="n">
        <v>33</v>
      </c>
      <c r="B61" s="272" t="inlineStr">
        <is>
          <t>01.7.11.07-0034</t>
        </is>
      </c>
      <c r="C61" s="281" t="inlineStr">
        <is>
          <t>Электроды диаметром: 4 мм Э42А</t>
        </is>
      </c>
      <c r="D61" s="272" t="inlineStr">
        <is>
          <t>кг</t>
        </is>
      </c>
      <c r="E61" s="129" t="n">
        <v>2.6404</v>
      </c>
      <c r="F61" s="283" t="n">
        <v>10.57</v>
      </c>
      <c r="G61" s="26">
        <f>ROUND(E61*F61,2)</f>
        <v/>
      </c>
      <c r="H61" s="125">
        <f>G61/$G$85</f>
        <v/>
      </c>
      <c r="I61" s="26">
        <f>ROUND(F61*Прил.10!$D$13,2)</f>
        <v/>
      </c>
      <c r="J61" s="26">
        <f>ROUND(I61*E61,2)</f>
        <v/>
      </c>
    </row>
    <row r="62" hidden="1" outlineLevel="1" ht="25.5" customFormat="1" customHeight="1" s="211">
      <c r="A62" s="272" t="n">
        <v>34</v>
      </c>
      <c r="B62" s="272" t="inlineStr">
        <is>
          <t>01.7.15.04-0011</t>
        </is>
      </c>
      <c r="C62" s="281" t="inlineStr">
        <is>
          <t>Винты с полукруглой головкой длиной: 50 мм</t>
        </is>
      </c>
      <c r="D62" s="272" t="inlineStr">
        <is>
          <t>т</t>
        </is>
      </c>
      <c r="E62" s="129" t="n">
        <v>0.002</v>
      </c>
      <c r="F62" s="283" t="n">
        <v>12430</v>
      </c>
      <c r="G62" s="26">
        <f>ROUND(E62*F62,2)</f>
        <v/>
      </c>
      <c r="H62" s="125">
        <f>G62/$G$85</f>
        <v/>
      </c>
      <c r="I62" s="26">
        <f>ROUND(F62*Прил.10!$D$13,2)</f>
        <v/>
      </c>
      <c r="J62" s="26">
        <f>ROUND(I62*E62,2)</f>
        <v/>
      </c>
    </row>
    <row r="63" hidden="1" outlineLevel="1" ht="38.25" customFormat="1" customHeight="1" s="211">
      <c r="A63" s="272" t="n">
        <v>35</v>
      </c>
      <c r="B63" s="272" t="inlineStr">
        <is>
          <t>01.7.06.05-0041</t>
        </is>
      </c>
      <c r="C63" s="281" t="inlineStr">
        <is>
          <t>Лента изоляционная прорезиненная односторонняя ширина 20 мм, толщина 0,25-0,35 мм</t>
        </is>
      </c>
      <c r="D63" s="272" t="inlineStr">
        <is>
          <t>кг</t>
        </is>
      </c>
      <c r="E63" s="129" t="n">
        <v>0.5600000000000001</v>
      </c>
      <c r="F63" s="283" t="n">
        <v>30.4</v>
      </c>
      <c r="G63" s="26">
        <f>ROUND(E63*F63,2)</f>
        <v/>
      </c>
      <c r="H63" s="125">
        <f>G63/$G$85</f>
        <v/>
      </c>
      <c r="I63" s="26">
        <f>ROUND(F63*Прил.10!$D$13,2)</f>
        <v/>
      </c>
      <c r="J63" s="26">
        <f>ROUND(I63*E63,2)</f>
        <v/>
      </c>
    </row>
    <row r="64" hidden="1" outlineLevel="1" ht="14.25" customFormat="1" customHeight="1" s="211">
      <c r="A64" s="272" t="n">
        <v>36</v>
      </c>
      <c r="B64" s="272" t="inlineStr">
        <is>
          <t>08.3.07.01-0037</t>
        </is>
      </c>
      <c r="C64" s="281" t="inlineStr">
        <is>
          <t>Сталь полосовая 30х4 мм, марка Ст3сп</t>
        </is>
      </c>
      <c r="D64" s="272" t="inlineStr">
        <is>
          <t>т</t>
        </is>
      </c>
      <c r="E64" s="129" t="n">
        <v>0.002</v>
      </c>
      <c r="F64" s="283" t="n">
        <v>6674.64</v>
      </c>
      <c r="G64" s="26">
        <f>ROUND(E64*F64,2)</f>
        <v/>
      </c>
      <c r="H64" s="125">
        <f>G64/$G$85</f>
        <v/>
      </c>
      <c r="I64" s="26">
        <f>ROUND(F64*Прил.10!$D$13,2)</f>
        <v/>
      </c>
      <c r="J64" s="26">
        <f>ROUND(I64*E64,2)</f>
        <v/>
      </c>
    </row>
    <row r="65" hidden="1" outlineLevel="1" ht="14.25" customFormat="1" customHeight="1" s="211">
      <c r="A65" s="272" t="n">
        <v>37</v>
      </c>
      <c r="B65" s="272" t="inlineStr">
        <is>
          <t>25.2.01.01-0001</t>
        </is>
      </c>
      <c r="C65" s="281" t="inlineStr">
        <is>
          <t>Бирки-оконцеватели</t>
        </is>
      </c>
      <c r="D65" s="272" t="inlineStr">
        <is>
          <t>100 шт</t>
        </is>
      </c>
      <c r="E65" s="129" t="n">
        <v>0.2</v>
      </c>
      <c r="F65" s="283" t="n">
        <v>63</v>
      </c>
      <c r="G65" s="26">
        <f>ROUND(E65*F65,2)</f>
        <v/>
      </c>
      <c r="H65" s="125">
        <f>G65/$G$85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211">
      <c r="A66" s="272" t="n">
        <v>38</v>
      </c>
      <c r="B66" s="272" t="inlineStr">
        <is>
          <t>01.3.02.09-0022</t>
        </is>
      </c>
      <c r="C66" s="281" t="inlineStr">
        <is>
          <t>Пропан-бутан, смесь техническая</t>
        </is>
      </c>
      <c r="D66" s="272" t="inlineStr">
        <is>
          <t>кг</t>
        </is>
      </c>
      <c r="E66" s="129" t="n">
        <v>1.5</v>
      </c>
      <c r="F66" s="283" t="n">
        <v>6.09</v>
      </c>
      <c r="G66" s="26">
        <f>ROUND(E66*F66,2)</f>
        <v/>
      </c>
      <c r="H66" s="125">
        <f>G66/$G$85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211">
      <c r="A67" s="272" t="n">
        <v>39</v>
      </c>
      <c r="B67" s="272" t="inlineStr">
        <is>
          <t>01.3.01.05-0009</t>
        </is>
      </c>
      <c r="C67" s="281" t="inlineStr">
        <is>
          <t>Парафины нефтяные твердые марки Т-1</t>
        </is>
      </c>
      <c r="D67" s="272" t="inlineStr">
        <is>
          <t>т</t>
        </is>
      </c>
      <c r="E67" s="129" t="n">
        <v>0.0004</v>
      </c>
      <c r="F67" s="283" t="n">
        <v>8105.71</v>
      </c>
      <c r="G67" s="26">
        <f>ROUND(E67*F67,2)</f>
        <v/>
      </c>
      <c r="H67" s="125">
        <f>G67/$G$85</f>
        <v/>
      </c>
      <c r="I67" s="26">
        <f>ROUND(F67*Прил.10!$D$13,2)</f>
        <v/>
      </c>
      <c r="J67" s="26">
        <f>ROUND(I67*E67,2)</f>
        <v/>
      </c>
    </row>
    <row r="68" hidden="1" outlineLevel="1" ht="14.25" customFormat="1" customHeight="1" s="211">
      <c r="A68" s="272" t="n">
        <v>40</v>
      </c>
      <c r="B68" s="272" t="inlineStr">
        <is>
          <t>01.7.06.07-0001</t>
        </is>
      </c>
      <c r="C68" s="281" t="inlineStr">
        <is>
          <t>Лента К226</t>
        </is>
      </c>
      <c r="D68" s="272" t="inlineStr">
        <is>
          <t>100 м</t>
        </is>
      </c>
      <c r="E68" s="129" t="n">
        <v>0.0242</v>
      </c>
      <c r="F68" s="283" t="n">
        <v>120</v>
      </c>
      <c r="G68" s="26">
        <f>ROUND(E68*F68,2)</f>
        <v/>
      </c>
      <c r="H68" s="125">
        <f>G68/$G$85</f>
        <v/>
      </c>
      <c r="I68" s="26">
        <f>ROUND(F68*Прил.10!$D$13,2)</f>
        <v/>
      </c>
      <c r="J68" s="26">
        <f>ROUND(I68*E68,2)</f>
        <v/>
      </c>
    </row>
    <row r="69" hidden="1" outlineLevel="1" ht="14.25" customFormat="1" customHeight="1" s="211">
      <c r="A69" s="272" t="n">
        <v>41</v>
      </c>
      <c r="B69" s="272" t="inlineStr">
        <is>
          <t>20.2.02.01-0019</t>
        </is>
      </c>
      <c r="C69" s="281" t="inlineStr">
        <is>
          <t>Втулки изолирующие</t>
        </is>
      </c>
      <c r="D69" s="272" t="inlineStr">
        <is>
          <t>1000 шт</t>
        </is>
      </c>
      <c r="E69" s="129" t="n">
        <v>0.008999999999999999</v>
      </c>
      <c r="F69" s="283" t="n">
        <v>270</v>
      </c>
      <c r="G69" s="26">
        <f>ROUND(E69*F69,2)</f>
        <v/>
      </c>
      <c r="H69" s="125">
        <f>G69/$G$85</f>
        <v/>
      </c>
      <c r="I69" s="26">
        <f>ROUND(F69*Прил.10!$D$13,2)</f>
        <v/>
      </c>
      <c r="J69" s="26">
        <f>ROUND(I69*E69,2)</f>
        <v/>
      </c>
    </row>
    <row r="70" hidden="1" outlineLevel="1" ht="14.25" customFormat="1" customHeight="1" s="211">
      <c r="A70" s="272" t="n">
        <v>42</v>
      </c>
      <c r="B70" s="272" t="inlineStr">
        <is>
          <t>01.7.15.07-0014</t>
        </is>
      </c>
      <c r="C70" s="281" t="inlineStr">
        <is>
          <t>Дюбели распорные полипропиленовые</t>
        </is>
      </c>
      <c r="D70" s="272" t="inlineStr">
        <is>
          <t>100 шт</t>
        </is>
      </c>
      <c r="E70" s="129" t="n">
        <v>0.026</v>
      </c>
      <c r="F70" s="283" t="n">
        <v>86</v>
      </c>
      <c r="G70" s="26">
        <f>ROUND(E70*F70,2)</f>
        <v/>
      </c>
      <c r="H70" s="125">
        <f>G70/$G$85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211">
      <c r="A71" s="272" t="n">
        <v>43</v>
      </c>
      <c r="B71" s="272" t="inlineStr">
        <is>
          <t>25.2.01.01-0017</t>
        </is>
      </c>
      <c r="C71" s="281" t="inlineStr">
        <is>
          <t>Бирки маркировочные пластмассовые</t>
        </is>
      </c>
      <c r="D71" s="272" t="inlineStr">
        <is>
          <t>100 шт</t>
        </is>
      </c>
      <c r="E71" s="129" t="n">
        <v>0.07000000000000001</v>
      </c>
      <c r="F71" s="283" t="n">
        <v>30.74</v>
      </c>
      <c r="G71" s="26">
        <f>ROUND(E71*F71,2)</f>
        <v/>
      </c>
      <c r="H71" s="125">
        <f>G71/$G$85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211">
      <c r="A72" s="272" t="n">
        <v>44</v>
      </c>
      <c r="B72" s="272" t="inlineStr">
        <is>
          <t>20.2.08.07-0033</t>
        </is>
      </c>
      <c r="C72" s="281" t="inlineStr">
        <is>
          <t>Скоба: У1078</t>
        </is>
      </c>
      <c r="D72" s="272" t="inlineStr">
        <is>
          <t>100 шт</t>
        </is>
      </c>
      <c r="E72" s="129" t="n">
        <v>0.0033</v>
      </c>
      <c r="F72" s="283" t="n">
        <v>617</v>
      </c>
      <c r="G72" s="26">
        <f>ROUND(E72*F72,2)</f>
        <v/>
      </c>
      <c r="H72" s="125">
        <f>G72/$G$85</f>
        <v/>
      </c>
      <c r="I72" s="26">
        <f>ROUND(F72*Прил.10!$D$13,2)</f>
        <v/>
      </c>
      <c r="J72" s="26">
        <f>ROUND(I72*E72,2)</f>
        <v/>
      </c>
    </row>
    <row r="73" hidden="1" outlineLevel="1" ht="14.25" customFormat="1" customHeight="1" s="211">
      <c r="A73" s="272" t="n">
        <v>45</v>
      </c>
      <c r="B73" s="272" t="inlineStr">
        <is>
          <t>01.3.01.02-0002</t>
        </is>
      </c>
      <c r="C73" s="281" t="inlineStr">
        <is>
          <t>Вазелин технический</t>
        </is>
      </c>
      <c r="D73" s="272" t="inlineStr">
        <is>
          <t>кг</t>
        </is>
      </c>
      <c r="E73" s="129" t="n">
        <v>0.02</v>
      </c>
      <c r="F73" s="283" t="n">
        <v>44.97</v>
      </c>
      <c r="G73" s="26">
        <f>ROUND(E73*F73,2)</f>
        <v/>
      </c>
      <c r="H73" s="125">
        <f>G73/$G$85</f>
        <v/>
      </c>
      <c r="I73" s="26">
        <f>ROUND(F73*Прил.10!$D$13,2)</f>
        <v/>
      </c>
      <c r="J73" s="26">
        <f>ROUND(I73*E73,2)</f>
        <v/>
      </c>
    </row>
    <row r="74" hidden="1" outlineLevel="1" ht="14.25" customFormat="1" customHeight="1" s="211">
      <c r="A74" s="272" t="n">
        <v>46</v>
      </c>
      <c r="B74" s="272" t="inlineStr">
        <is>
          <t>14.4.03.17-0011</t>
        </is>
      </c>
      <c r="C74" s="281" t="inlineStr">
        <is>
          <t>Лак электроизоляционный 318</t>
        </is>
      </c>
      <c r="D74" s="272" t="inlineStr">
        <is>
          <t>кг</t>
        </is>
      </c>
      <c r="E74" s="129" t="n">
        <v>0.02</v>
      </c>
      <c r="F74" s="283" t="n">
        <v>35.63</v>
      </c>
      <c r="G74" s="26">
        <f>ROUND(E74*F74,2)</f>
        <v/>
      </c>
      <c r="H74" s="125">
        <f>G74/$G$85</f>
        <v/>
      </c>
      <c r="I74" s="26">
        <f>ROUND(F74*Прил.10!$D$13,2)</f>
        <v/>
      </c>
      <c r="J74" s="26">
        <f>ROUND(I74*E74,2)</f>
        <v/>
      </c>
    </row>
    <row r="75" hidden="1" outlineLevel="1" ht="25.5" customFormat="1" customHeight="1" s="211">
      <c r="A75" s="272" t="n">
        <v>47</v>
      </c>
      <c r="B75" s="272" t="inlineStr">
        <is>
          <t>10.3.02.03-0013</t>
        </is>
      </c>
      <c r="C75" s="281" t="inlineStr">
        <is>
          <t>Припои оловянно-свинцовые бессурьмянистые марки: ПОС61</t>
        </is>
      </c>
      <c r="D75" s="272" t="inlineStr">
        <is>
          <t>кг</t>
        </is>
      </c>
      <c r="E75" s="129" t="n">
        <v>0.0054</v>
      </c>
      <c r="F75" s="283" t="n">
        <v>114.22</v>
      </c>
      <c r="G75" s="26">
        <f>ROUND(E75*F75,2)</f>
        <v/>
      </c>
      <c r="H75" s="125">
        <f>G75/$G$85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211">
      <c r="A76" s="272" t="n">
        <v>48</v>
      </c>
      <c r="B76" s="272" t="inlineStr">
        <is>
          <t>01.7.15.07-0031</t>
        </is>
      </c>
      <c r="C76" s="281" t="inlineStr">
        <is>
          <t>Дюбели распорные с гайкой</t>
        </is>
      </c>
      <c r="D76" s="272" t="inlineStr">
        <is>
          <t>100 шт</t>
        </is>
      </c>
      <c r="E76" s="129" t="n">
        <v>0.0048</v>
      </c>
      <c r="F76" s="283" t="n">
        <v>110</v>
      </c>
      <c r="G76" s="26">
        <f>ROUND(E76*F76,2)</f>
        <v/>
      </c>
      <c r="H76" s="125">
        <f>G76/$G$85</f>
        <v/>
      </c>
      <c r="I76" s="26">
        <f>ROUND(F76*Прил.10!$D$13,2)</f>
        <v/>
      </c>
      <c r="J76" s="26">
        <f>ROUND(I76*E76,2)</f>
        <v/>
      </c>
    </row>
    <row r="77" hidden="1" outlineLevel="1" ht="25.5" customFormat="1" customHeight="1" s="211">
      <c r="A77" s="272" t="n">
        <v>49</v>
      </c>
      <c r="B77" s="272" t="inlineStr">
        <is>
          <t>03.2.01.01-0003</t>
        </is>
      </c>
      <c r="C77" s="281" t="inlineStr">
        <is>
          <t>Портландцемент общестроительного назначения бездобавочный, марки: 500</t>
        </is>
      </c>
      <c r="D77" s="272" t="inlineStr">
        <is>
          <t>т</t>
        </is>
      </c>
      <c r="E77" s="129" t="n">
        <v>0.0011</v>
      </c>
      <c r="F77" s="283" t="n">
        <v>480</v>
      </c>
      <c r="G77" s="26">
        <f>ROUND(E77*F77,2)</f>
        <v/>
      </c>
      <c r="H77" s="125">
        <f>G77/$G$85</f>
        <v/>
      </c>
      <c r="I77" s="26">
        <f>ROUND(F77*Прил.10!$D$13,2)</f>
        <v/>
      </c>
      <c r="J77" s="26">
        <f>ROUND(I77*E77,2)</f>
        <v/>
      </c>
    </row>
    <row r="78" hidden="1" outlineLevel="1" ht="14.25" customFormat="1" customHeight="1" s="211">
      <c r="A78" s="272" t="n">
        <v>50</v>
      </c>
      <c r="B78" s="272" t="inlineStr">
        <is>
          <t>01.7.20.04-0005</t>
        </is>
      </c>
      <c r="C78" s="281" t="inlineStr">
        <is>
          <t>Нитки швейные</t>
        </is>
      </c>
      <c r="D78" s="272" t="inlineStr">
        <is>
          <t>кг</t>
        </is>
      </c>
      <c r="E78" s="129" t="n">
        <v>0.002</v>
      </c>
      <c r="F78" s="283" t="n">
        <v>133.05</v>
      </c>
      <c r="G78" s="26">
        <f>ROUND(E78*F78,2)</f>
        <v/>
      </c>
      <c r="H78" s="125">
        <f>G78/$G$85</f>
        <v/>
      </c>
      <c r="I78" s="26">
        <f>ROUND(F78*Прил.10!$D$13,2)</f>
        <v/>
      </c>
      <c r="J78" s="26">
        <f>ROUND(I78*E78,2)</f>
        <v/>
      </c>
    </row>
    <row r="79" hidden="1" outlineLevel="1" ht="14.25" customFormat="1" customHeight="1" s="211">
      <c r="A79" s="272" t="n">
        <v>51</v>
      </c>
      <c r="B79" s="272" t="inlineStr">
        <is>
          <t>24.3.01.01-0002</t>
        </is>
      </c>
      <c r="C79" s="281" t="inlineStr">
        <is>
          <t>Трубка полихлорвиниловая</t>
        </is>
      </c>
      <c r="D79" s="272" t="inlineStr">
        <is>
          <t>кг</t>
        </is>
      </c>
      <c r="E79" s="129" t="n">
        <v>0.0028</v>
      </c>
      <c r="F79" s="283" t="n">
        <v>35.7</v>
      </c>
      <c r="G79" s="26">
        <f>ROUND(E79*F79,2)</f>
        <v/>
      </c>
      <c r="H79" s="125">
        <f>G79/$G$85</f>
        <v/>
      </c>
      <c r="I79" s="26">
        <f>ROUND(F79*Прил.10!$D$13,2)</f>
        <v/>
      </c>
      <c r="J79" s="26">
        <f>ROUND(I79*E79,2)</f>
        <v/>
      </c>
    </row>
    <row r="80" hidden="1" outlineLevel="1" ht="25.5" customFormat="1" customHeight="1" s="211">
      <c r="A80" s="272" t="n">
        <v>52</v>
      </c>
      <c r="B80" s="272" t="inlineStr">
        <is>
          <t>01.3.01.07-0009</t>
        </is>
      </c>
      <c r="C80" s="281" t="inlineStr">
        <is>
          <t>Спирт этиловый ректификованный технический, сорт I</t>
        </is>
      </c>
      <c r="D80" s="272" t="inlineStr">
        <is>
          <t>кг</t>
        </is>
      </c>
      <c r="E80" s="129" t="n">
        <v>0.002</v>
      </c>
      <c r="F80" s="283" t="n">
        <v>38.89</v>
      </c>
      <c r="G80" s="26">
        <f>ROUND(E80*F80,2)</f>
        <v/>
      </c>
      <c r="H80" s="125">
        <f>G80/$G$85</f>
        <v/>
      </c>
      <c r="I80" s="26">
        <f>ROUND(F80*Прил.10!$D$13,2)</f>
        <v/>
      </c>
      <c r="J80" s="26">
        <f>ROUND(I80*E80,2)</f>
        <v/>
      </c>
    </row>
    <row r="81" hidden="1" outlineLevel="1" ht="25.5" customFormat="1" customHeight="1" s="211">
      <c r="A81" s="272" t="n">
        <v>53</v>
      </c>
      <c r="B81" s="272" t="inlineStr">
        <is>
          <t>02.3.01.02-0020</t>
        </is>
      </c>
      <c r="C81" s="281" t="inlineStr">
        <is>
          <t>Песок природный для строительных: растворов средний</t>
        </is>
      </c>
      <c r="D81" s="272" t="inlineStr">
        <is>
          <t>м3</t>
        </is>
      </c>
      <c r="E81" s="129" t="n">
        <v>0.0009</v>
      </c>
      <c r="F81" s="283" t="n">
        <v>59.99</v>
      </c>
      <c r="G81" s="26">
        <f>ROUND(E81*F81,2)</f>
        <v/>
      </c>
      <c r="H81" s="125">
        <f>G81/$G$85</f>
        <v/>
      </c>
      <c r="I81" s="26">
        <f>ROUND(F81*Прил.10!$D$13,2)</f>
        <v/>
      </c>
      <c r="J81" s="26">
        <f>ROUND(I81*E81,2)</f>
        <v/>
      </c>
    </row>
    <row r="82" hidden="1" outlineLevel="1" ht="14.25" customFormat="1" customHeight="1" s="211">
      <c r="A82" s="272" t="n">
        <v>54</v>
      </c>
      <c r="B82" s="272" t="inlineStr">
        <is>
          <t>01.7.02.09-0002</t>
        </is>
      </c>
      <c r="C82" s="281" t="inlineStr">
        <is>
          <t>Шпагат бумажный</t>
        </is>
      </c>
      <c r="D82" s="272" t="inlineStr">
        <is>
          <t>кг</t>
        </is>
      </c>
      <c r="E82" s="129" t="n">
        <v>0.004</v>
      </c>
      <c r="F82" s="283" t="n">
        <v>11.5</v>
      </c>
      <c r="G82" s="26">
        <f>ROUND(E82*F82,2)</f>
        <v/>
      </c>
      <c r="H82" s="125">
        <f>G82/$G$85</f>
        <v/>
      </c>
      <c r="I82" s="26">
        <f>ROUND(F82*Прил.10!$D$13,2)</f>
        <v/>
      </c>
      <c r="J82" s="26">
        <f>ROUND(I82*E82,2)</f>
        <v/>
      </c>
    </row>
    <row r="83" hidden="1" outlineLevel="1" ht="14.25" customFormat="1" customHeight="1" s="211">
      <c r="A83" s="272" t="n">
        <v>55</v>
      </c>
      <c r="B83" s="272" t="inlineStr">
        <is>
          <t>01.3.05.17-0002</t>
        </is>
      </c>
      <c r="C83" s="281" t="inlineStr">
        <is>
          <t>Канифоль сосновая</t>
        </is>
      </c>
      <c r="D83" s="272" t="inlineStr">
        <is>
          <t>кг</t>
        </is>
      </c>
      <c r="E83" s="129" t="n">
        <v>0.0013</v>
      </c>
      <c r="F83" s="283" t="n">
        <v>27.74</v>
      </c>
      <c r="G83" s="26">
        <f>ROUND(E83*F83,2)</f>
        <v/>
      </c>
      <c r="H83" s="125">
        <f>G83/$G$85</f>
        <v/>
      </c>
      <c r="I83" s="26">
        <f>ROUND(F83*Прил.10!$D$13,2)</f>
        <v/>
      </c>
      <c r="J83" s="26">
        <f>ROUND(I83*E83,2)</f>
        <v/>
      </c>
    </row>
    <row r="84" collapsed="1" ht="14.25" customFormat="1" customHeight="1" s="211">
      <c r="A84" s="272" t="n"/>
      <c r="B84" s="272" t="n"/>
      <c r="C84" s="281" t="inlineStr">
        <is>
          <t>Итого прочие материалы</t>
        </is>
      </c>
      <c r="D84" s="272" t="n"/>
      <c r="E84" s="129" t="n"/>
      <c r="F84" s="283" t="n"/>
      <c r="G84" s="26">
        <f>SUM(G46:G83)</f>
        <v/>
      </c>
      <c r="H84" s="125">
        <f>G84/$G$85</f>
        <v/>
      </c>
      <c r="I84" s="26" t="n"/>
      <c r="J84" s="26">
        <f>SUM(J46:J83)</f>
        <v/>
      </c>
    </row>
    <row r="85" ht="14.25" customFormat="1" customHeight="1" s="211">
      <c r="A85" s="272" t="n"/>
      <c r="B85" s="272" t="n"/>
      <c r="C85" s="280" t="inlineStr">
        <is>
          <t>Итого по разделу «Материалы»</t>
        </is>
      </c>
      <c r="D85" s="272" t="n"/>
      <c r="E85" s="282" t="n"/>
      <c r="F85" s="283" t="n"/>
      <c r="G85" s="26">
        <f>G45+G84</f>
        <v/>
      </c>
      <c r="H85" s="284">
        <f>G85/$G$85</f>
        <v/>
      </c>
      <c r="I85" s="26" t="n"/>
      <c r="J85" s="26">
        <f>J45+J84</f>
        <v/>
      </c>
    </row>
    <row r="86" ht="14.25" customFormat="1" customHeight="1" s="211">
      <c r="A86" s="272" t="n"/>
      <c r="B86" s="272" t="n"/>
      <c r="C86" s="281" t="inlineStr">
        <is>
          <t>ИТОГО ПО РМ</t>
        </is>
      </c>
      <c r="D86" s="272" t="n"/>
      <c r="E86" s="282" t="n"/>
      <c r="F86" s="283" t="n"/>
      <c r="G86" s="26">
        <f>G14+G29+G85</f>
        <v/>
      </c>
      <c r="H86" s="284" t="n"/>
      <c r="I86" s="26" t="n"/>
      <c r="J86" s="26">
        <f>J14+J29+J85</f>
        <v/>
      </c>
    </row>
    <row r="87" ht="14.25" customFormat="1" customHeight="1" s="211">
      <c r="A87" s="272" t="n"/>
      <c r="B87" s="272" t="n"/>
      <c r="C87" s="281" t="inlineStr">
        <is>
          <t>Накладные расходы</t>
        </is>
      </c>
      <c r="D87" s="130">
        <f>ROUND(G87/(G$16+$G$14),2)</f>
        <v/>
      </c>
      <c r="E87" s="282" t="n"/>
      <c r="F87" s="283" t="n"/>
      <c r="G87" s="26" t="n">
        <v>2307</v>
      </c>
      <c r="H87" s="284" t="n"/>
      <c r="I87" s="26" t="n"/>
      <c r="J87" s="26">
        <f>ROUND(D87*(J14+J16),2)</f>
        <v/>
      </c>
    </row>
    <row r="88" ht="14.25" customFormat="1" customHeight="1" s="211">
      <c r="A88" s="272" t="n"/>
      <c r="B88" s="272" t="n"/>
      <c r="C88" s="281" t="inlineStr">
        <is>
          <t>Сметная прибыль</t>
        </is>
      </c>
      <c r="D88" s="130">
        <f>ROUND(G88/(G$14+G$16),2)</f>
        <v/>
      </c>
      <c r="E88" s="282" t="n"/>
      <c r="F88" s="283" t="n"/>
      <c r="G88" s="26" t="n">
        <v>1579</v>
      </c>
      <c r="H88" s="284" t="n"/>
      <c r="I88" s="26" t="n"/>
      <c r="J88" s="26">
        <f>ROUND(D88*(J14+J16),2)</f>
        <v/>
      </c>
    </row>
    <row r="89" ht="14.25" customFormat="1" customHeight="1" s="211">
      <c r="A89" s="272" t="n"/>
      <c r="B89" s="272" t="n"/>
      <c r="C89" s="281" t="inlineStr">
        <is>
          <t>Итого СМР (с НР и СП)</t>
        </is>
      </c>
      <c r="D89" s="272" t="n"/>
      <c r="E89" s="282" t="n"/>
      <c r="F89" s="283" t="n"/>
      <c r="G89" s="26">
        <f>G14+G29+G85+G87+G88</f>
        <v/>
      </c>
      <c r="H89" s="284" t="n"/>
      <c r="I89" s="26" t="n"/>
      <c r="J89" s="26">
        <f>J14+J29+J85+J87+J88</f>
        <v/>
      </c>
    </row>
    <row r="90" ht="14.25" customFormat="1" customHeight="1" s="211">
      <c r="A90" s="272" t="n"/>
      <c r="B90" s="272" t="n"/>
      <c r="C90" s="281" t="inlineStr">
        <is>
          <t>ВСЕГО СМР + ОБОРУДОВАНИЕ</t>
        </is>
      </c>
      <c r="D90" s="272" t="n"/>
      <c r="E90" s="282" t="n"/>
      <c r="F90" s="283" t="n"/>
      <c r="G90" s="26">
        <f>G89+G40</f>
        <v/>
      </c>
      <c r="H90" s="284" t="n"/>
      <c r="I90" s="26" t="n"/>
      <c r="J90" s="26">
        <f>J89+J40</f>
        <v/>
      </c>
    </row>
    <row r="91" ht="34.5" customFormat="1" customHeight="1" s="211">
      <c r="A91" s="272" t="n"/>
      <c r="B91" s="272" t="n"/>
      <c r="C91" s="281" t="inlineStr">
        <is>
          <t>ИТОГО ПОКАЗАТЕЛЬ НА ЕД. ИЗМ.</t>
        </is>
      </c>
      <c r="D91" s="272" t="inlineStr">
        <is>
          <t>1 комплект</t>
        </is>
      </c>
      <c r="E91" s="282" t="n">
        <v>1</v>
      </c>
      <c r="F91" s="283" t="n"/>
      <c r="G91" s="26">
        <f>G90/E91</f>
        <v/>
      </c>
      <c r="H91" s="284" t="n"/>
      <c r="I91" s="26" t="n"/>
      <c r="J91" s="26">
        <f>J90/E91</f>
        <v/>
      </c>
    </row>
    <row r="93" ht="14.25" customFormat="1" customHeight="1" s="211">
      <c r="A93" s="201" t="inlineStr">
        <is>
          <t>Составил ______________________    Е.Р. Брызгалова</t>
        </is>
      </c>
    </row>
    <row r="94" ht="14.25" customFormat="1" customHeight="1" s="211">
      <c r="A94" s="212" t="inlineStr">
        <is>
          <t xml:space="preserve">                         (подпись, инициалы, фамилия)</t>
        </is>
      </c>
    </row>
    <row r="95" ht="14.25" customFormat="1" customHeight="1" s="211">
      <c r="A95" s="201" t="n"/>
    </row>
    <row r="96" ht="14.25" customFormat="1" customHeight="1" s="211">
      <c r="A96" s="201" t="inlineStr">
        <is>
          <t>Проверил ______________________        А.В. Костянецкая</t>
        </is>
      </c>
    </row>
    <row r="97" ht="14.25" customFormat="1" customHeight="1" s="211">
      <c r="A97" s="212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43:H43"/>
    <mergeCell ref="B12:H12"/>
    <mergeCell ref="D6:J6"/>
    <mergeCell ref="B42:H42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5"/>
  <sheetViews>
    <sheetView view="pageBreakPreview" topLeftCell="A16" workbookViewId="0">
      <selection activeCell="G23" sqref="G23"/>
    </sheetView>
  </sheetViews>
  <sheetFormatPr baseColWidth="8" defaultRowHeight="15"/>
  <cols>
    <col width="5.7109375" customWidth="1" style="215" min="1" max="1"/>
    <col width="17.5703125" customWidth="1" style="215" min="2" max="2"/>
    <col width="39.140625" customWidth="1" style="215" min="3" max="3"/>
    <col width="10.7109375" customWidth="1" style="215" min="4" max="4"/>
    <col width="13.85546875" customWidth="1" style="215" min="5" max="5"/>
    <col width="13.28515625" customWidth="1" style="215" min="6" max="6"/>
    <col width="14.140625" customWidth="1" style="215" min="7" max="7"/>
  </cols>
  <sheetData>
    <row r="1">
      <c r="A1" s="289" t="inlineStr">
        <is>
          <t>Приложение №6</t>
        </is>
      </c>
    </row>
    <row r="2" ht="21.75" customHeight="1" s="215">
      <c r="A2" s="289" t="n"/>
      <c r="B2" s="289" t="n"/>
      <c r="C2" s="289" t="n"/>
      <c r="D2" s="289" t="n"/>
      <c r="E2" s="289" t="n"/>
      <c r="F2" s="289" t="n"/>
      <c r="G2" s="289" t="n"/>
    </row>
    <row r="3">
      <c r="A3" s="249" t="inlineStr">
        <is>
          <t>Расчет стоимости оборудования</t>
        </is>
      </c>
    </row>
    <row r="4" ht="25.5" customHeight="1" s="215">
      <c r="A4" s="252" t="inlineStr">
        <is>
          <t>Наименование разрабатываемого показателя УНЦ — РЗА Ячейка АТ330 кВ менее 200 МВА</t>
        </is>
      </c>
    </row>
    <row r="5">
      <c r="A5" s="201" t="n"/>
      <c r="B5" s="201" t="n"/>
      <c r="C5" s="201" t="n"/>
      <c r="D5" s="201" t="n"/>
      <c r="E5" s="201" t="n"/>
      <c r="F5" s="201" t="n"/>
      <c r="G5" s="201" t="n"/>
    </row>
    <row r="6" ht="30.2" customHeight="1" s="215">
      <c r="A6" s="294" t="inlineStr">
        <is>
          <t>№ пп.</t>
        </is>
      </c>
      <c r="B6" s="294" t="inlineStr">
        <is>
          <t>Код ресурса</t>
        </is>
      </c>
      <c r="C6" s="294" t="inlineStr">
        <is>
          <t>Наименование</t>
        </is>
      </c>
      <c r="D6" s="294" t="inlineStr">
        <is>
          <t>Ед. изм.</t>
        </is>
      </c>
      <c r="E6" s="272" t="inlineStr">
        <is>
          <t>Кол-во единиц по проектным данным</t>
        </is>
      </c>
      <c r="F6" s="294" t="inlineStr">
        <is>
          <t>Сметная стоимость в ценах на 01.01.2000 (руб.)</t>
        </is>
      </c>
      <c r="G6" s="343" t="n"/>
    </row>
    <row r="7">
      <c r="A7" s="345" t="n"/>
      <c r="B7" s="345" t="n"/>
      <c r="C7" s="345" t="n"/>
      <c r="D7" s="345" t="n"/>
      <c r="E7" s="345" t="n"/>
      <c r="F7" s="272" t="inlineStr">
        <is>
          <t>на ед. изм.</t>
        </is>
      </c>
      <c r="G7" s="272" t="inlineStr">
        <is>
          <t>общая</t>
        </is>
      </c>
    </row>
    <row r="8">
      <c r="A8" s="272" t="n">
        <v>1</v>
      </c>
      <c r="B8" s="272" t="n">
        <v>2</v>
      </c>
      <c r="C8" s="272" t="n">
        <v>3</v>
      </c>
      <c r="D8" s="272" t="n">
        <v>4</v>
      </c>
      <c r="E8" s="272" t="n">
        <v>5</v>
      </c>
      <c r="F8" s="272" t="n">
        <v>6</v>
      </c>
      <c r="G8" s="272" t="n">
        <v>7</v>
      </c>
    </row>
    <row r="9" ht="15" customHeight="1" s="215">
      <c r="A9" s="99" t="n"/>
      <c r="B9" s="281" t="inlineStr">
        <is>
          <t>ИНЖЕНЕРНОЕ ОБОРУДОВАНИЕ</t>
        </is>
      </c>
      <c r="C9" s="342" t="n"/>
      <c r="D9" s="342" t="n"/>
      <c r="E9" s="342" t="n"/>
      <c r="F9" s="342" t="n"/>
      <c r="G9" s="343" t="n"/>
    </row>
    <row r="10" ht="27" customHeight="1" s="215">
      <c r="A10" s="272" t="n"/>
      <c r="B10" s="280" t="n"/>
      <c r="C10" s="281" t="inlineStr">
        <is>
          <t>ИТОГО ИНЖЕНЕРНОЕ ОБОРУДОВАНИЕ</t>
        </is>
      </c>
      <c r="D10" s="280" t="n"/>
      <c r="E10" s="100" t="n"/>
      <c r="F10" s="283" t="n"/>
      <c r="G10" s="283" t="n">
        <v>0</v>
      </c>
    </row>
    <row r="11">
      <c r="A11" s="272" t="n"/>
      <c r="B11" s="281" t="inlineStr">
        <is>
          <t>ТЕХНОЛОГИЧЕСКОЕ ОБОРУДОВАНИЕ</t>
        </is>
      </c>
      <c r="C11" s="342" t="n"/>
      <c r="D11" s="342" t="n"/>
      <c r="E11" s="342" t="n"/>
      <c r="F11" s="342" t="n"/>
      <c r="G11" s="343" t="n"/>
    </row>
    <row r="12" ht="38.25" customHeight="1" s="215">
      <c r="A12" s="272" t="n">
        <v>1</v>
      </c>
      <c r="B12" s="192">
        <f>'Прил.5 Расчет СМР и ОБ'!B32</f>
        <v/>
      </c>
      <c r="C12" s="192">
        <f>'Прил.5 Расчет СМР и ОБ'!C32</f>
        <v/>
      </c>
      <c r="D12" s="186">
        <f>'Прил.5 Расчет СМР и ОБ'!D32</f>
        <v/>
      </c>
      <c r="E12" s="188">
        <f>'Прил.5 Расчет СМР и ОБ'!E32</f>
        <v/>
      </c>
      <c r="F12" s="189">
        <f>'Прил.5 Расчет СМР и ОБ'!F32</f>
        <v/>
      </c>
      <c r="G12" s="190">
        <f>ROUND(E12*F12,2)</f>
        <v/>
      </c>
    </row>
    <row r="13" ht="38.25" customHeight="1" s="215">
      <c r="A13" s="272" t="n">
        <v>2</v>
      </c>
      <c r="B13" s="192">
        <f>'Прил.5 Расчет СМР и ОБ'!B33</f>
        <v/>
      </c>
      <c r="C13" s="192">
        <f>'Прил.5 Расчет СМР и ОБ'!C33</f>
        <v/>
      </c>
      <c r="D13" s="186">
        <f>'Прил.5 Расчет СМР и ОБ'!D33</f>
        <v/>
      </c>
      <c r="E13" s="188">
        <f>'Прил.5 Расчет СМР и ОБ'!E33</f>
        <v/>
      </c>
      <c r="F13" s="189">
        <f>'Прил.5 Расчет СМР и ОБ'!F33</f>
        <v/>
      </c>
      <c r="G13" s="190">
        <f>ROUND(E13*F13,2)</f>
        <v/>
      </c>
    </row>
    <row r="14" ht="49.5" customHeight="1" s="215">
      <c r="A14" s="272" t="n">
        <v>3</v>
      </c>
      <c r="B14" s="192">
        <f>'Прил.5 Расчет СМР и ОБ'!B34</f>
        <v/>
      </c>
      <c r="C14" s="192">
        <f>'Прил.5 Расчет СМР и ОБ'!C34</f>
        <v/>
      </c>
      <c r="D14" s="186">
        <f>'Прил.5 Расчет СМР и ОБ'!D34</f>
        <v/>
      </c>
      <c r="E14" s="188">
        <f>'Прил.5 Расчет СМР и ОБ'!E34</f>
        <v/>
      </c>
      <c r="F14" s="189">
        <f>'Прил.5 Расчет СМР и ОБ'!F34</f>
        <v/>
      </c>
      <c r="G14" s="190">
        <f>ROUND(E14*F14,2)</f>
        <v/>
      </c>
    </row>
    <row r="15" ht="33" customHeight="1" s="215">
      <c r="A15" s="272" t="n">
        <v>4</v>
      </c>
      <c r="B15" s="192">
        <f>'Прил.5 Расчет СМР и ОБ'!B35</f>
        <v/>
      </c>
      <c r="C15" s="192">
        <f>'Прил.5 Расчет СМР и ОБ'!C35</f>
        <v/>
      </c>
      <c r="D15" s="186">
        <f>'Прил.5 Расчет СМР и ОБ'!D35</f>
        <v/>
      </c>
      <c r="E15" s="188">
        <f>'Прил.5 Расчет СМР и ОБ'!E35</f>
        <v/>
      </c>
      <c r="F15" s="189">
        <f>'Прил.5 Расчет СМР и ОБ'!F35</f>
        <v/>
      </c>
      <c r="G15" s="190">
        <f>ROUND(E15*F15,2)</f>
        <v/>
      </c>
    </row>
    <row r="16" ht="33" customHeight="1" s="215">
      <c r="A16" s="272" t="n">
        <v>5</v>
      </c>
      <c r="B16" s="192">
        <f>'Прил.5 Расчет СМР и ОБ'!B36</f>
        <v/>
      </c>
      <c r="C16" s="192">
        <f>'Прил.5 Расчет СМР и ОБ'!C36</f>
        <v/>
      </c>
      <c r="D16" s="186">
        <f>'Прил.5 Расчет СМР и ОБ'!D36</f>
        <v/>
      </c>
      <c r="E16" s="188">
        <f>'Прил.5 Расчет СМР и ОБ'!E36</f>
        <v/>
      </c>
      <c r="F16" s="189">
        <f>'Прил.5 Расчет СМР и ОБ'!F36</f>
        <v/>
      </c>
      <c r="G16" s="190">
        <f>ROUND(E16*F16,2)</f>
        <v/>
      </c>
    </row>
    <row r="17" ht="42.75" customHeight="1" s="215">
      <c r="A17" s="272" t="n">
        <v>6</v>
      </c>
      <c r="B17" s="192">
        <f>'Прил.5 Расчет СМР и ОБ'!B38</f>
        <v/>
      </c>
      <c r="C17" s="192">
        <f>'Прил.5 Расчет СМР и ОБ'!C38</f>
        <v/>
      </c>
      <c r="D17" s="186">
        <f>'Прил.5 Расчет СМР и ОБ'!D38</f>
        <v/>
      </c>
      <c r="E17" s="188">
        <f>'Прил.5 Расчет СМР и ОБ'!E38</f>
        <v/>
      </c>
      <c r="F17" s="189">
        <f>'Прил.5 Расчет СМР и ОБ'!F38</f>
        <v/>
      </c>
      <c r="G17" s="190">
        <f>ROUND(E17*F17,2)</f>
        <v/>
      </c>
    </row>
    <row r="18" ht="25.5" customHeight="1" s="215">
      <c r="A18" s="272" t="n"/>
      <c r="B18" s="281" t="n"/>
      <c r="C18" s="281" t="inlineStr">
        <is>
          <t>ИТОГО ТЕХНОЛОГИЧЕСКОЕ ОБОРУДОВАНИЕ</t>
        </is>
      </c>
      <c r="D18" s="281" t="n"/>
      <c r="E18" s="293" t="n"/>
      <c r="F18" s="283" t="n"/>
      <c r="G18" s="26">
        <f>SUM(G12:G17)</f>
        <v/>
      </c>
    </row>
    <row r="19" ht="19.5" customHeight="1" s="215">
      <c r="A19" s="272" t="n"/>
      <c r="B19" s="281" t="n"/>
      <c r="C19" s="281" t="inlineStr">
        <is>
          <t>Всего по разделу «Оборудование»</t>
        </is>
      </c>
      <c r="D19" s="281" t="n"/>
      <c r="E19" s="293" t="n"/>
      <c r="F19" s="283" t="n"/>
      <c r="G19" s="26">
        <f>G10+G18</f>
        <v/>
      </c>
    </row>
    <row r="20">
      <c r="A20" s="209" t="n"/>
      <c r="B20" s="210" t="n"/>
      <c r="C20" s="209" t="n"/>
      <c r="D20" s="209" t="n"/>
      <c r="E20" s="209" t="n"/>
      <c r="F20" s="209" t="n"/>
      <c r="G20" s="209" t="n"/>
    </row>
    <row r="21">
      <c r="A21" s="201" t="inlineStr">
        <is>
          <t>Составил ______________________    Е.Р. Брызгалова</t>
        </is>
      </c>
      <c r="B21" s="211" t="n"/>
      <c r="C21" s="211" t="n"/>
      <c r="D21" s="209" t="n"/>
      <c r="E21" s="209" t="n"/>
      <c r="F21" s="209" t="n"/>
      <c r="G21" s="209" t="n"/>
    </row>
    <row r="22">
      <c r="A22" s="212" t="inlineStr">
        <is>
          <t xml:space="preserve">                         (подпись, инициалы, фамилия)</t>
        </is>
      </c>
      <c r="B22" s="211" t="n"/>
      <c r="C22" s="211" t="n"/>
      <c r="D22" s="209" t="n"/>
      <c r="E22" s="209" t="n"/>
      <c r="F22" s="209" t="n"/>
      <c r="G22" s="209" t="n"/>
    </row>
    <row r="23">
      <c r="A23" s="201" t="n"/>
      <c r="B23" s="211" t="n"/>
      <c r="C23" s="211" t="n"/>
      <c r="D23" s="209" t="n"/>
      <c r="E23" s="209" t="n"/>
      <c r="F23" s="209" t="n"/>
      <c r="G23" s="209" t="n"/>
    </row>
    <row r="24">
      <c r="A24" s="201" t="inlineStr">
        <is>
          <t>Проверил ______________________        А.В. Костянецкая</t>
        </is>
      </c>
      <c r="B24" s="211" t="n"/>
      <c r="C24" s="211" t="n"/>
      <c r="D24" s="209" t="n"/>
      <c r="E24" s="209" t="n"/>
      <c r="F24" s="209" t="n"/>
      <c r="G24" s="209" t="n"/>
    </row>
    <row r="25">
      <c r="A25" s="212" t="inlineStr">
        <is>
          <t xml:space="preserve">                        (подпись, инициалы, фамилия)</t>
        </is>
      </c>
      <c r="B25" s="211" t="n"/>
      <c r="C25" s="211" t="n"/>
      <c r="D25" s="209" t="n"/>
      <c r="E25" s="209" t="n"/>
      <c r="F25" s="209" t="n"/>
      <c r="G25" s="209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56" sqref="C56"/>
    </sheetView>
  </sheetViews>
  <sheetFormatPr baseColWidth="8" defaultColWidth="8.85546875" defaultRowHeight="15"/>
  <cols>
    <col width="14.42578125" customWidth="1" style="215" min="1" max="1"/>
    <col width="29.5703125" customWidth="1" style="215" min="2" max="2"/>
    <col width="39.140625" customWidth="1" style="215" min="3" max="3"/>
    <col width="51.42578125" customWidth="1" style="215" min="4" max="4"/>
  </cols>
  <sheetData>
    <row r="1">
      <c r="B1" s="201" t="n"/>
      <c r="C1" s="201" t="n"/>
      <c r="D1" s="289" t="inlineStr">
        <is>
          <t>Приложение №7</t>
        </is>
      </c>
    </row>
    <row r="2">
      <c r="A2" s="289" t="n"/>
      <c r="B2" s="289" t="n"/>
      <c r="C2" s="289" t="n"/>
      <c r="D2" s="289" t="n"/>
    </row>
    <row r="3" ht="24.75" customHeight="1" s="215">
      <c r="A3" s="249" t="inlineStr">
        <is>
          <t>Расчет показателя УНЦ</t>
        </is>
      </c>
    </row>
    <row r="4" ht="24.75" customHeight="1" s="215">
      <c r="A4" s="249" t="n"/>
      <c r="B4" s="249" t="n"/>
      <c r="C4" s="249" t="n"/>
      <c r="D4" s="249" t="n"/>
    </row>
    <row r="5" ht="24.6" customHeight="1" s="215">
      <c r="A5" s="252" t="inlineStr">
        <is>
          <t xml:space="preserve">Наименование разрабатываемого показателя УНЦ - </t>
        </is>
      </c>
      <c r="D5" s="252">
        <f>'Прил.5 Расчет СМР и ОБ'!D6:J6</f>
        <v/>
      </c>
    </row>
    <row r="6" ht="19.9" customHeight="1" s="215">
      <c r="A6" s="252" t="inlineStr">
        <is>
          <t>Единица измерения  — 1 комплект</t>
        </is>
      </c>
      <c r="D6" s="252" t="n"/>
    </row>
    <row r="7">
      <c r="A7" s="201" t="n"/>
      <c r="B7" s="201" t="n"/>
      <c r="C7" s="201" t="n"/>
      <c r="D7" s="201" t="n"/>
    </row>
    <row r="8" ht="14.45" customHeight="1" s="215">
      <c r="A8" s="261" t="inlineStr">
        <is>
          <t>Код показателя</t>
        </is>
      </c>
      <c r="B8" s="261" t="inlineStr">
        <is>
          <t>Наименование показателя</t>
        </is>
      </c>
      <c r="C8" s="261" t="inlineStr">
        <is>
          <t>Наименование РМ, входящих в состав показателя</t>
        </is>
      </c>
      <c r="D8" s="261" t="inlineStr">
        <is>
          <t>Норматив цены на 01.01.2023, тыс.руб.</t>
        </is>
      </c>
    </row>
    <row r="9" ht="15" customHeight="1" s="215">
      <c r="A9" s="345" t="n"/>
      <c r="B9" s="345" t="n"/>
      <c r="C9" s="345" t="n"/>
      <c r="D9" s="345" t="n"/>
    </row>
    <row r="10">
      <c r="A10" s="272" t="n">
        <v>1</v>
      </c>
      <c r="B10" s="272" t="n">
        <v>2</v>
      </c>
      <c r="C10" s="272" t="n">
        <v>3</v>
      </c>
      <c r="D10" s="272" t="n">
        <v>4</v>
      </c>
    </row>
    <row r="11" ht="41.45" customHeight="1" s="215">
      <c r="A11" s="272" t="inlineStr">
        <is>
          <t>М9-07-6</t>
        </is>
      </c>
      <c r="B11" s="272" t="inlineStr">
        <is>
          <t xml:space="preserve">УНЦ ячейки трансформатора 110 - 500 кВ </t>
        </is>
      </c>
      <c r="C11" s="206">
        <f>D5</f>
        <v/>
      </c>
      <c r="D11" s="207">
        <f>'Прил.4 РМ'!C41/1000</f>
        <v/>
      </c>
      <c r="E11" s="208" t="n"/>
    </row>
    <row r="12">
      <c r="A12" s="209" t="n"/>
      <c r="B12" s="210" t="n"/>
      <c r="C12" s="209" t="n"/>
      <c r="D12" s="209" t="n"/>
    </row>
    <row r="13">
      <c r="A13" s="201" t="inlineStr">
        <is>
          <t>Составил ______________________      Е.Р. Брызгалова</t>
        </is>
      </c>
      <c r="B13" s="211" t="n"/>
      <c r="C13" s="211" t="n"/>
      <c r="D13" s="209" t="n"/>
    </row>
    <row r="14">
      <c r="A14" s="212" t="inlineStr">
        <is>
          <t xml:space="preserve">                         (подпись, инициалы, фамилия)</t>
        </is>
      </c>
      <c r="B14" s="211" t="n"/>
      <c r="C14" s="211" t="n"/>
      <c r="D14" s="209" t="n"/>
    </row>
    <row r="15">
      <c r="A15" s="201" t="n"/>
      <c r="B15" s="211" t="n"/>
      <c r="C15" s="211" t="n"/>
      <c r="D15" s="209" t="n"/>
    </row>
    <row r="16">
      <c r="A16" s="201" t="inlineStr">
        <is>
          <t>Проверил ______________________        А.В. Костянецкая</t>
        </is>
      </c>
      <c r="B16" s="211" t="n"/>
      <c r="C16" s="211" t="n"/>
      <c r="D16" s="209" t="n"/>
    </row>
    <row r="17">
      <c r="A17" s="212" t="inlineStr">
        <is>
          <t xml:space="preserve">                        (подпись, инициалы, фамилия)</t>
        </is>
      </c>
      <c r="B17" s="211" t="n"/>
      <c r="C17" s="211" t="n"/>
      <c r="D17" s="209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5" sqref="D25"/>
    </sheetView>
  </sheetViews>
  <sheetFormatPr baseColWidth="8" defaultRowHeight="15"/>
  <cols>
    <col width="9.140625" customWidth="1" style="215" min="1" max="1"/>
    <col width="40.7109375" customWidth="1" style="215" min="2" max="2"/>
    <col width="37" customWidth="1" style="215" min="3" max="3"/>
    <col width="32" customWidth="1" style="215" min="4" max="4"/>
    <col width="9.140625" customWidth="1" style="215" min="5" max="5"/>
  </cols>
  <sheetData>
    <row r="4" ht="15.75" customHeight="1" s="215">
      <c r="B4" s="256" t="inlineStr">
        <is>
          <t>Приложение № 10</t>
        </is>
      </c>
    </row>
    <row r="5" ht="18.75" customHeight="1" s="215">
      <c r="B5" s="115" t="n"/>
    </row>
    <row r="6" ht="15.75" customHeight="1" s="215">
      <c r="B6" s="257" t="inlineStr">
        <is>
          <t>Используемые индексы изменений сметной стоимости и нормы сопутствующих затрат</t>
        </is>
      </c>
    </row>
    <row r="7">
      <c r="B7" s="295" t="n"/>
    </row>
    <row r="8">
      <c r="B8" s="295" t="n"/>
      <c r="C8" s="295" t="n"/>
      <c r="D8" s="295" t="n"/>
      <c r="E8" s="295" t="n"/>
    </row>
    <row r="9" ht="47.25" customHeight="1" s="215">
      <c r="B9" s="261" t="inlineStr">
        <is>
          <t>Наименование индекса / норм сопутствующих затрат</t>
        </is>
      </c>
      <c r="C9" s="261" t="inlineStr">
        <is>
          <t>Дата применения и обоснование индекса / норм сопутствующих затрат</t>
        </is>
      </c>
      <c r="D9" s="261" t="inlineStr">
        <is>
          <t>Размер индекса / норма сопутствующих затрат</t>
        </is>
      </c>
    </row>
    <row r="10" ht="15.75" customHeight="1" s="215">
      <c r="B10" s="261" t="n">
        <v>1</v>
      </c>
      <c r="C10" s="261" t="n">
        <v>2</v>
      </c>
      <c r="D10" s="261" t="n">
        <v>3</v>
      </c>
    </row>
    <row r="11" ht="45" customHeight="1" s="215">
      <c r="B11" s="261" t="inlineStr">
        <is>
          <t xml:space="preserve">Индекс изменения сметной стоимости на 1 квартал 2023 года. ОЗП </t>
        </is>
      </c>
      <c r="C11" s="261" t="inlineStr">
        <is>
          <t>Письмо Минстроя России от 30.03.2023г. №17106-ИФ/09  прил.1</t>
        </is>
      </c>
      <c r="D11" s="261" t="n">
        <v>44.29</v>
      </c>
    </row>
    <row r="12" ht="29.25" customHeight="1" s="215">
      <c r="B12" s="261" t="inlineStr">
        <is>
          <t>Индекс изменения сметной стоимости на 1 квартал 2023 года. ЭМ</t>
        </is>
      </c>
      <c r="C12" s="261" t="inlineStr">
        <is>
          <t>Письмо Минстроя России от 30.03.2023г. №17106-ИФ/09  прил.1</t>
        </is>
      </c>
      <c r="D12" s="261" t="n">
        <v>13.47</v>
      </c>
    </row>
    <row r="13" ht="29.25" customHeight="1" s="215">
      <c r="B13" s="261" t="inlineStr">
        <is>
          <t>Индекс изменения сметной стоимости на 1 квартал 2023 года. МАТ</t>
        </is>
      </c>
      <c r="C13" s="261" t="inlineStr">
        <is>
          <t>Письмо Минстроя России от 30.03.2023г. №17106-ИФ/09  прил.1</t>
        </is>
      </c>
      <c r="D13" s="261" t="n">
        <v>8.039999999999999</v>
      </c>
    </row>
    <row r="14" ht="30.75" customHeight="1" s="215">
      <c r="B14" s="261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61" t="n">
        <v>6.26</v>
      </c>
    </row>
    <row r="15" ht="89.45" customHeight="1" s="215">
      <c r="B15" s="261" t="inlineStr">
        <is>
          <t>Временные здания и сооружения</t>
        </is>
      </c>
      <c r="C15" s="26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94.7" customHeight="1" s="215">
      <c r="B16" s="261" t="inlineStr">
        <is>
          <t>Дополнительные затраты при производстве строительно-монтажных работ в зимнее время</t>
        </is>
      </c>
      <c r="C16" s="2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15">
      <c r="B17" s="261" t="inlineStr">
        <is>
          <t>Строительный контроль</t>
        </is>
      </c>
      <c r="C17" s="261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15">
      <c r="B18" s="261" t="inlineStr">
        <is>
          <t>Авторский надзор - 0,2%</t>
        </is>
      </c>
      <c r="C18" s="261" t="inlineStr">
        <is>
          <t>Приказ от 4.08.2020 № 421/пр п.173</t>
        </is>
      </c>
      <c r="D18" s="117" t="n">
        <v>0.002</v>
      </c>
    </row>
    <row r="19" ht="24" customHeight="1" s="215">
      <c r="B19" s="261" t="inlineStr">
        <is>
          <t>Непредвиденные расходы</t>
        </is>
      </c>
      <c r="C19" s="261" t="inlineStr">
        <is>
          <t>Приказ от 4.08.2020 № 421/пр п.179</t>
        </is>
      </c>
      <c r="D19" s="117" t="n">
        <v>0.03</v>
      </c>
    </row>
    <row r="20" ht="18.75" customHeight="1" s="215">
      <c r="B20" s="116" t="n"/>
    </row>
    <row r="21" ht="18.75" customHeight="1" s="215">
      <c r="B21" s="116" t="n"/>
    </row>
    <row r="22" ht="18.75" customHeight="1" s="215">
      <c r="B22" s="116" t="n"/>
    </row>
    <row r="23" ht="18.75" customHeight="1" s="215">
      <c r="B23" s="116" t="n"/>
    </row>
    <row r="26">
      <c r="B26" s="201" t="inlineStr">
        <is>
          <t>Составил ______________________        Е.А. Князева</t>
        </is>
      </c>
      <c r="C26" s="211" t="n"/>
    </row>
    <row r="27">
      <c r="B27" s="212" t="inlineStr">
        <is>
          <t xml:space="preserve">                         (подпись, инициалы, фамилия)</t>
        </is>
      </c>
      <c r="C27" s="211" t="n"/>
    </row>
    <row r="28">
      <c r="B28" s="201" t="n"/>
      <c r="C28" s="211" t="n"/>
    </row>
    <row r="29">
      <c r="B29" s="201" t="inlineStr">
        <is>
          <t>Проверил ______________________        А.В. Костянецкая</t>
        </is>
      </c>
      <c r="C29" s="211" t="n"/>
    </row>
    <row r="30">
      <c r="B30" s="212" t="inlineStr">
        <is>
          <t xml:space="preserve">                        (подпись, инициалы, фамилия)</t>
        </is>
      </c>
      <c r="C30" s="21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topLeftCell="A13" workbookViewId="0">
      <selection activeCell="C56" sqref="C56"/>
    </sheetView>
  </sheetViews>
  <sheetFormatPr baseColWidth="8" defaultColWidth="9.140625" defaultRowHeight="15"/>
  <cols>
    <col width="9.140625" customWidth="1" style="215" min="1" max="1"/>
    <col width="44.85546875" customWidth="1" style="215" min="2" max="2"/>
    <col width="13" customWidth="1" style="215" min="3" max="3"/>
    <col width="22.85546875" customWidth="1" style="215" min="4" max="4"/>
    <col width="21.5703125" customWidth="1" style="215" min="5" max="5"/>
    <col width="43.85546875" customWidth="1" style="215" min="6" max="6"/>
    <col width="9.140625" customWidth="1" style="215" min="7" max="7"/>
  </cols>
  <sheetData>
    <row r="2" ht="17.25" customHeight="1" s="215">
      <c r="A2" s="25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15">
      <c r="A4" s="216" t="inlineStr">
        <is>
          <t>Составлен в уровне цен на 01.01.2023 г.</t>
        </is>
      </c>
      <c r="B4" s="241" t="n"/>
      <c r="C4" s="241" t="n"/>
      <c r="D4" s="241" t="n"/>
      <c r="E4" s="241" t="n"/>
      <c r="F4" s="241" t="n"/>
      <c r="G4" s="241" t="n"/>
    </row>
    <row r="5" ht="15.75" customHeight="1" s="215">
      <c r="A5" s="243" t="inlineStr">
        <is>
          <t>№ пп.</t>
        </is>
      </c>
      <c r="B5" s="243" t="inlineStr">
        <is>
          <t>Наименование элемента</t>
        </is>
      </c>
      <c r="C5" s="243" t="inlineStr">
        <is>
          <t>Обозначение</t>
        </is>
      </c>
      <c r="D5" s="243" t="inlineStr">
        <is>
          <t>Формула</t>
        </is>
      </c>
      <c r="E5" s="243" t="inlineStr">
        <is>
          <t>Величина элемента</t>
        </is>
      </c>
      <c r="F5" s="243" t="inlineStr">
        <is>
          <t>Наименования обосновывающих документов</t>
        </is>
      </c>
      <c r="G5" s="241" t="n"/>
    </row>
    <row r="6" ht="15.75" customHeight="1" s="215">
      <c r="A6" s="243" t="n">
        <v>1</v>
      </c>
      <c r="B6" s="243" t="n">
        <v>2</v>
      </c>
      <c r="C6" s="243" t="n">
        <v>3</v>
      </c>
      <c r="D6" s="243" t="n">
        <v>4</v>
      </c>
      <c r="E6" s="243" t="n">
        <v>5</v>
      </c>
      <c r="F6" s="243" t="n">
        <v>6</v>
      </c>
      <c r="G6" s="241" t="n"/>
    </row>
    <row r="7" ht="110.25" customHeight="1" s="215">
      <c r="A7" s="219" t="inlineStr">
        <is>
          <t>1.1</t>
        </is>
      </c>
      <c r="B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61" t="inlineStr">
        <is>
          <t>С1ср</t>
        </is>
      </c>
      <c r="D7" s="261" t="inlineStr">
        <is>
          <t>-</t>
        </is>
      </c>
      <c r="E7" s="222" t="n">
        <v>47872.94</v>
      </c>
      <c r="F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41" t="n"/>
    </row>
    <row r="8" ht="31.5" customHeight="1" s="215">
      <c r="A8" s="219" t="inlineStr">
        <is>
          <t>1.2</t>
        </is>
      </c>
      <c r="B8" s="224" t="inlineStr">
        <is>
          <t>Среднегодовое нормативное число часов работы одного рабочего в месяц, часы (ч.)</t>
        </is>
      </c>
      <c r="C8" s="261" t="inlineStr">
        <is>
          <t>tср</t>
        </is>
      </c>
      <c r="D8" s="261" t="inlineStr">
        <is>
          <t>1973ч/12мес.</t>
        </is>
      </c>
      <c r="E8" s="223">
        <f>1973/12</f>
        <v/>
      </c>
      <c r="F8" s="224" t="inlineStr">
        <is>
          <t>Производственный календарь 2023 год
(40-часов.неделя)</t>
        </is>
      </c>
      <c r="G8" s="226" t="n"/>
    </row>
    <row r="9" ht="15.75" customHeight="1" s="215">
      <c r="A9" s="219" t="inlineStr">
        <is>
          <t>1.3</t>
        </is>
      </c>
      <c r="B9" s="224" t="inlineStr">
        <is>
          <t>Коэффициент увеличения</t>
        </is>
      </c>
      <c r="C9" s="261" t="inlineStr">
        <is>
          <t>Кув</t>
        </is>
      </c>
      <c r="D9" s="261" t="inlineStr">
        <is>
          <t>-</t>
        </is>
      </c>
      <c r="E9" s="223" t="n">
        <v>1</v>
      </c>
      <c r="F9" s="224" t="n"/>
      <c r="G9" s="226" t="n"/>
    </row>
    <row r="10" ht="15.75" customHeight="1" s="215">
      <c r="A10" s="219" t="inlineStr">
        <is>
          <t>1.4</t>
        </is>
      </c>
      <c r="B10" s="224" t="inlineStr">
        <is>
          <t>Средний разряд работ</t>
        </is>
      </c>
      <c r="C10" s="261" t="n"/>
      <c r="D10" s="261" t="n"/>
      <c r="E10" s="227" t="n">
        <v>4.1</v>
      </c>
      <c r="F10" s="224" t="inlineStr">
        <is>
          <t>РТМ</t>
        </is>
      </c>
      <c r="G10" s="226" t="n"/>
    </row>
    <row r="11" ht="78.75" customHeight="1" s="215">
      <c r="A11" s="219" t="inlineStr">
        <is>
          <t>1.5</t>
        </is>
      </c>
      <c r="B11" s="224" t="inlineStr">
        <is>
          <t>Тарифный коэффициент среднего разряда работ</t>
        </is>
      </c>
      <c r="C11" s="261" t="inlineStr">
        <is>
          <t>КТ</t>
        </is>
      </c>
      <c r="D11" s="261" t="inlineStr">
        <is>
          <t>-</t>
        </is>
      </c>
      <c r="E11" s="228" t="n">
        <v>1.359</v>
      </c>
      <c r="F11" s="2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41" t="n"/>
    </row>
    <row r="12" ht="78.75" customHeight="1" s="215">
      <c r="A12" s="219" t="inlineStr">
        <is>
          <t>1.6</t>
        </is>
      </c>
      <c r="B12" s="229" t="inlineStr">
        <is>
          <t>Коэффициент инфляции, определяемый поквартально</t>
        </is>
      </c>
      <c r="C12" s="261" t="inlineStr">
        <is>
          <t>Кинф</t>
        </is>
      </c>
      <c r="D12" s="261" t="inlineStr">
        <is>
          <t>-</t>
        </is>
      </c>
      <c r="E12" s="230" t="n">
        <v>1.139</v>
      </c>
      <c r="F1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6" t="n"/>
    </row>
    <row r="13" ht="63" customHeight="1" s="215">
      <c r="A13" s="232" t="inlineStr">
        <is>
          <t>1.7</t>
        </is>
      </c>
      <c r="B13" s="233" t="inlineStr">
        <is>
          <t>Размер средств на оплату труда рабочих-строителей в текущем уровне цен (ФОТр.тек.), руб/чел.-ч</t>
        </is>
      </c>
      <c r="C13" s="234" t="inlineStr">
        <is>
          <t>ФОТр.тек.</t>
        </is>
      </c>
      <c r="D13" s="234" t="inlineStr">
        <is>
          <t>(С1ср/tср*КТ*Т*Кув)*Кинф</t>
        </is>
      </c>
      <c r="E13" s="235">
        <f>((E7*E9/E8)*E11)*E12</f>
        <v/>
      </c>
      <c r="F13" s="2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41" t="n"/>
    </row>
    <row r="14" ht="14.45" customHeight="1" s="215">
      <c r="A14" s="237" t="n"/>
      <c r="B14" s="297" t="inlineStr">
        <is>
          <t>Ведущий инженер</t>
        </is>
      </c>
      <c r="C14" s="342" t="n"/>
      <c r="D14" s="342" t="n"/>
      <c r="E14" s="342" t="n"/>
      <c r="F14" s="343" t="n"/>
    </row>
    <row r="15" ht="110.25" customHeight="1" s="215">
      <c r="A15" s="219" t="inlineStr">
        <is>
          <t>1.1</t>
        </is>
      </c>
      <c r="B15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61" t="inlineStr">
        <is>
          <t>С1ср</t>
        </is>
      </c>
      <c r="D15" s="261" t="inlineStr">
        <is>
          <t>-</t>
        </is>
      </c>
      <c r="E15" s="222" t="n">
        <v>47872.94</v>
      </c>
      <c r="F15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41" t="n"/>
    </row>
    <row r="16" ht="31.5" customHeight="1" s="215">
      <c r="A16" s="219" t="inlineStr">
        <is>
          <t>1.2</t>
        </is>
      </c>
      <c r="B16" s="224" t="inlineStr">
        <is>
          <t>Среднегодовое нормативное число часов работы одного рабочего в месяц, часы (ч.)</t>
        </is>
      </c>
      <c r="C16" s="261" t="inlineStr">
        <is>
          <t>tср</t>
        </is>
      </c>
      <c r="D16" s="261" t="inlineStr">
        <is>
          <t>1973ч/12мес.</t>
        </is>
      </c>
      <c r="E16" s="223">
        <f>1973/12</f>
        <v/>
      </c>
      <c r="F16" s="224" t="inlineStr">
        <is>
          <t>Производственный календарь 2023 год
(40-часов.неделя)</t>
        </is>
      </c>
      <c r="G16" s="226" t="n"/>
    </row>
    <row r="17" ht="15.75" customHeight="1" s="215">
      <c r="A17" s="219" t="inlineStr">
        <is>
          <t>1.3</t>
        </is>
      </c>
      <c r="B17" s="224" t="inlineStr">
        <is>
          <t>Коэффициент увеличения</t>
        </is>
      </c>
      <c r="C17" s="261" t="inlineStr">
        <is>
          <t>Кув</t>
        </is>
      </c>
      <c r="D17" s="261" t="inlineStr">
        <is>
          <t>-</t>
        </is>
      </c>
      <c r="E17" s="223" t="n">
        <v>1</v>
      </c>
      <c r="F17" s="224" t="n"/>
      <c r="G17" s="226" t="n"/>
    </row>
    <row r="18" ht="15.75" customHeight="1" s="215">
      <c r="A18" s="219" t="inlineStr">
        <is>
          <t>1.4</t>
        </is>
      </c>
      <c r="B18" s="224" t="inlineStr">
        <is>
          <t>Средний разряд работ</t>
        </is>
      </c>
      <c r="C18" s="261" t="n"/>
      <c r="D18" s="261" t="n"/>
      <c r="E18" s="227" t="n"/>
      <c r="F18" s="224" t="inlineStr">
        <is>
          <t>РТМ</t>
        </is>
      </c>
      <c r="G18" s="226" t="n"/>
    </row>
    <row r="19" ht="78.75" customHeight="1" s="215">
      <c r="A19" s="232" t="inlineStr">
        <is>
          <t>1.5</t>
        </is>
      </c>
      <c r="B19" s="236" t="inlineStr">
        <is>
          <t>Тарифный коэффициент среднего разряда работ</t>
        </is>
      </c>
      <c r="C19" s="234" t="inlineStr">
        <is>
          <t>КТ</t>
        </is>
      </c>
      <c r="D19" s="234" t="inlineStr">
        <is>
          <t>-</t>
        </is>
      </c>
      <c r="E19" s="238" t="n">
        <v>2.35</v>
      </c>
      <c r="F19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41" t="n"/>
    </row>
    <row r="20" ht="78.75" customHeight="1" s="215">
      <c r="A20" s="219" t="inlineStr">
        <is>
          <t>1.6</t>
        </is>
      </c>
      <c r="B20" s="229" t="inlineStr">
        <is>
          <t>Коэффициент инфляции, определяемый поквартально</t>
        </is>
      </c>
      <c r="C20" s="261" t="inlineStr">
        <is>
          <t>Кинф</t>
        </is>
      </c>
      <c r="D20" s="261" t="inlineStr">
        <is>
          <t>-</t>
        </is>
      </c>
      <c r="E20" s="230" t="n">
        <v>1.139</v>
      </c>
      <c r="F20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26" t="n"/>
    </row>
    <row r="21" ht="63" customHeight="1" s="215">
      <c r="A21" s="219" t="inlineStr">
        <is>
          <t>1.7</t>
        </is>
      </c>
      <c r="B21" s="239" t="inlineStr">
        <is>
          <t>Размер средств на оплату труда рабочих-строителей в текущем уровне цен (ФОТр.тек.), руб/чел.-ч</t>
        </is>
      </c>
      <c r="C21" s="261" t="inlineStr">
        <is>
          <t>ФОТр.тек.</t>
        </is>
      </c>
      <c r="D21" s="261" t="inlineStr">
        <is>
          <t>(С1ср/tср*КТ*Т*Кув)*Кинф</t>
        </is>
      </c>
      <c r="E21" s="240">
        <f>((E15*E17/E16)*E19)*E20</f>
        <v/>
      </c>
      <c r="F21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41" t="n"/>
    </row>
    <row r="22" ht="15.75" customHeight="1" s="215">
      <c r="A22" s="237" t="n"/>
      <c r="B22" s="297" t="inlineStr">
        <is>
          <t>Инженер I категории</t>
        </is>
      </c>
      <c r="C22" s="342" t="n"/>
      <c r="D22" s="342" t="n"/>
      <c r="E22" s="342" t="n"/>
      <c r="F22" s="343" t="n"/>
    </row>
    <row r="23" ht="110.25" customHeight="1" s="215">
      <c r="A23" s="219" t="inlineStr">
        <is>
          <t>1.1</t>
        </is>
      </c>
      <c r="B23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61" t="inlineStr">
        <is>
          <t>С1ср</t>
        </is>
      </c>
      <c r="D23" s="261" t="inlineStr">
        <is>
          <t>-</t>
        </is>
      </c>
      <c r="E23" s="222" t="n">
        <v>47872.94</v>
      </c>
      <c r="F23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41" t="n"/>
    </row>
    <row r="24" ht="31.5" customHeight="1" s="215">
      <c r="A24" s="219" t="inlineStr">
        <is>
          <t>1.2</t>
        </is>
      </c>
      <c r="B24" s="224" t="inlineStr">
        <is>
          <t>Среднегодовое нормативное число часов работы одного рабочего в месяц, часы (ч.)</t>
        </is>
      </c>
      <c r="C24" s="261" t="inlineStr">
        <is>
          <t>tср</t>
        </is>
      </c>
      <c r="D24" s="261" t="inlineStr">
        <is>
          <t>1973ч/12мес.</t>
        </is>
      </c>
      <c r="E24" s="223">
        <f>1973/12</f>
        <v/>
      </c>
      <c r="F24" s="224" t="inlineStr">
        <is>
          <t>Производственный календарь 2023 год
(40-часов.неделя)</t>
        </is>
      </c>
      <c r="G24" s="226" t="n"/>
    </row>
    <row r="25" ht="15.75" customHeight="1" s="215">
      <c r="A25" s="219" t="inlineStr">
        <is>
          <t>1.3</t>
        </is>
      </c>
      <c r="B25" s="224" t="inlineStr">
        <is>
          <t>Коэффициент увеличения</t>
        </is>
      </c>
      <c r="C25" s="261" t="inlineStr">
        <is>
          <t>Кув</t>
        </is>
      </c>
      <c r="D25" s="261" t="inlineStr">
        <is>
          <t>-</t>
        </is>
      </c>
      <c r="E25" s="223" t="n">
        <v>1</v>
      </c>
      <c r="F25" s="224" t="n"/>
      <c r="G25" s="226" t="n"/>
    </row>
    <row r="26" ht="15.75" customHeight="1" s="215">
      <c r="A26" s="219" t="inlineStr">
        <is>
          <t>1.4</t>
        </is>
      </c>
      <c r="B26" s="224" t="inlineStr">
        <is>
          <t>Средний разряд работ</t>
        </is>
      </c>
      <c r="C26" s="261" t="n"/>
      <c r="D26" s="261" t="n"/>
      <c r="E26" s="227" t="n">
        <v>1</v>
      </c>
      <c r="F26" s="224" t="inlineStr">
        <is>
          <t>РТМ</t>
        </is>
      </c>
      <c r="G26" s="226" t="n"/>
    </row>
    <row r="27" ht="78.75" customHeight="1" s="215">
      <c r="A27" s="232" t="inlineStr">
        <is>
          <t>1.5</t>
        </is>
      </c>
      <c r="B27" s="236" t="inlineStr">
        <is>
          <t>Тарифный коэффициент среднего разряда работ</t>
        </is>
      </c>
      <c r="C27" s="234" t="inlineStr">
        <is>
          <t>КТ</t>
        </is>
      </c>
      <c r="D27" s="234" t="inlineStr">
        <is>
          <t>-</t>
        </is>
      </c>
      <c r="E27" s="238" t="n">
        <v>2.15</v>
      </c>
      <c r="F27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41" t="n"/>
    </row>
    <row r="28" ht="78.75" customHeight="1" s="215">
      <c r="A28" s="219" t="inlineStr">
        <is>
          <t>1.6</t>
        </is>
      </c>
      <c r="B28" s="229" t="inlineStr">
        <is>
          <t>Коэффициент инфляции, определяемый поквартально</t>
        </is>
      </c>
      <c r="C28" s="261" t="inlineStr">
        <is>
          <t>Кинф</t>
        </is>
      </c>
      <c r="D28" s="261" t="inlineStr">
        <is>
          <t>-</t>
        </is>
      </c>
      <c r="E28" s="230" t="n">
        <v>1.139</v>
      </c>
      <c r="F28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26" t="n"/>
    </row>
    <row r="29" ht="63" customHeight="1" s="215">
      <c r="A29" s="219" t="inlineStr">
        <is>
          <t>1.7</t>
        </is>
      </c>
      <c r="B29" s="239" t="inlineStr">
        <is>
          <t>Размер средств на оплату труда рабочих-строителей в текущем уровне цен (ФОТр.тек.), руб/чел.-ч</t>
        </is>
      </c>
      <c r="C29" s="261" t="inlineStr">
        <is>
          <t>ФОТр.тек.</t>
        </is>
      </c>
      <c r="D29" s="261" t="inlineStr">
        <is>
          <t>(С1ср/tср*КТ*Т*Кув)*Кинф</t>
        </is>
      </c>
      <c r="E29" s="240">
        <f>((E23*E25/E24)*E27)*E28</f>
        <v/>
      </c>
      <c r="F29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41" t="n"/>
    </row>
    <row r="30" ht="15.75" customHeight="1" s="215">
      <c r="A30" s="237" t="n"/>
      <c r="B30" s="297" t="inlineStr">
        <is>
          <t>Инженер II категории</t>
        </is>
      </c>
      <c r="C30" s="342" t="n"/>
      <c r="D30" s="342" t="n"/>
      <c r="E30" s="342" t="n"/>
      <c r="F30" s="343" t="n"/>
    </row>
    <row r="31" ht="110.25" customHeight="1" s="215">
      <c r="A31" s="219" t="inlineStr">
        <is>
          <t>1.1</t>
        </is>
      </c>
      <c r="B31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61" t="inlineStr">
        <is>
          <t>С1ср</t>
        </is>
      </c>
      <c r="D31" s="261" t="inlineStr">
        <is>
          <t>-</t>
        </is>
      </c>
      <c r="E31" s="222" t="n">
        <v>47872.94</v>
      </c>
      <c r="F31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41" t="n"/>
    </row>
    <row r="32" ht="31.5" customHeight="1" s="215">
      <c r="A32" s="219" t="inlineStr">
        <is>
          <t>1.2</t>
        </is>
      </c>
      <c r="B32" s="224" t="inlineStr">
        <is>
          <t>Среднегодовое нормативное число часов работы одного рабочего в месяц, часы (ч.)</t>
        </is>
      </c>
      <c r="C32" s="261" t="inlineStr">
        <is>
          <t>tср</t>
        </is>
      </c>
      <c r="D32" s="261" t="inlineStr">
        <is>
          <t>1973ч/12мес.</t>
        </is>
      </c>
      <c r="E32" s="223">
        <f>1973/12</f>
        <v/>
      </c>
      <c r="F32" s="224" t="inlineStr">
        <is>
          <t>Производственный календарь 2023 год
(40-часов.неделя)</t>
        </is>
      </c>
      <c r="G32" s="226" t="n"/>
    </row>
    <row r="33" ht="15.75" customHeight="1" s="215">
      <c r="A33" s="219" t="inlineStr">
        <is>
          <t>1.3</t>
        </is>
      </c>
      <c r="B33" s="224" t="inlineStr">
        <is>
          <t>Коэффициент увеличения</t>
        </is>
      </c>
      <c r="C33" s="261" t="inlineStr">
        <is>
          <t>Кув</t>
        </is>
      </c>
      <c r="D33" s="261" t="inlineStr">
        <is>
          <t>-</t>
        </is>
      </c>
      <c r="E33" s="223" t="n">
        <v>1</v>
      </c>
      <c r="F33" s="224" t="n"/>
      <c r="G33" s="226" t="n"/>
    </row>
    <row r="34" ht="15.75" customHeight="1" s="215">
      <c r="A34" s="219" t="inlineStr">
        <is>
          <t>1.4</t>
        </is>
      </c>
      <c r="B34" s="224" t="inlineStr">
        <is>
          <t>Средний разряд работ</t>
        </is>
      </c>
      <c r="C34" s="261" t="n"/>
      <c r="D34" s="261" t="n"/>
      <c r="E34" s="227" t="n">
        <v>2</v>
      </c>
      <c r="F34" s="224" t="inlineStr">
        <is>
          <t>РТМ</t>
        </is>
      </c>
      <c r="G34" s="226" t="n"/>
    </row>
    <row r="35" ht="78.75" customHeight="1" s="215">
      <c r="A35" s="232" t="inlineStr">
        <is>
          <t>1.5</t>
        </is>
      </c>
      <c r="B35" s="236" t="inlineStr">
        <is>
          <t>Тарифный коэффициент среднего разряда работ</t>
        </is>
      </c>
      <c r="C35" s="234" t="inlineStr">
        <is>
          <t>КТ</t>
        </is>
      </c>
      <c r="D35" s="234" t="inlineStr">
        <is>
          <t>-</t>
        </is>
      </c>
      <c r="E35" s="238" t="n">
        <v>1.96</v>
      </c>
      <c r="F35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41" t="n"/>
    </row>
    <row r="36" ht="78.75" customHeight="1" s="215">
      <c r="A36" s="219" t="inlineStr">
        <is>
          <t>1.6</t>
        </is>
      </c>
      <c r="B36" s="229" t="inlineStr">
        <is>
          <t>Коэффициент инфляции, определяемый поквартально</t>
        </is>
      </c>
      <c r="C36" s="261" t="inlineStr">
        <is>
          <t>Кинф</t>
        </is>
      </c>
      <c r="D36" s="261" t="inlineStr">
        <is>
          <t>-</t>
        </is>
      </c>
      <c r="E36" s="230" t="n">
        <v>1.139</v>
      </c>
      <c r="F36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26" t="n"/>
    </row>
    <row r="37" ht="63" customHeight="1" s="215">
      <c r="A37" s="219" t="inlineStr">
        <is>
          <t>1.7</t>
        </is>
      </c>
      <c r="B37" s="239" t="inlineStr">
        <is>
          <t>Размер средств на оплату труда рабочих-строителей в текущем уровне цен (ФОТр.тек.), руб/чел.-ч</t>
        </is>
      </c>
      <c r="C37" s="261" t="inlineStr">
        <is>
          <t>ФОТр.тек.</t>
        </is>
      </c>
      <c r="D37" s="261" t="inlineStr">
        <is>
          <t>(С1ср/tср*КТ*Т*Кув)*Кинф</t>
        </is>
      </c>
      <c r="E37" s="240">
        <f>((E31*E33/E32)*E35)*E36</f>
        <v/>
      </c>
      <c r="F37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41" t="n"/>
    </row>
    <row r="38" ht="15.75" customHeight="1" s="215">
      <c r="A38" s="237" t="n"/>
      <c r="B38" s="297" t="inlineStr">
        <is>
          <t>Инженер III категории</t>
        </is>
      </c>
      <c r="C38" s="342" t="n"/>
      <c r="D38" s="342" t="n"/>
      <c r="E38" s="342" t="n"/>
      <c r="F38" s="343" t="n"/>
    </row>
    <row r="39" ht="110.25" customHeight="1" s="215">
      <c r="A39" s="219" t="inlineStr">
        <is>
          <t>1.1</t>
        </is>
      </c>
      <c r="B39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61" t="inlineStr">
        <is>
          <t>С1ср</t>
        </is>
      </c>
      <c r="D39" s="261" t="inlineStr">
        <is>
          <t>-</t>
        </is>
      </c>
      <c r="E39" s="222" t="n">
        <v>47872.94</v>
      </c>
      <c r="F39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41" t="n"/>
    </row>
    <row r="40" ht="31.5" customHeight="1" s="215">
      <c r="A40" s="219" t="inlineStr">
        <is>
          <t>1.2</t>
        </is>
      </c>
      <c r="B40" s="224" t="inlineStr">
        <is>
          <t>Среднегодовое нормативное число часов работы одного рабочего в месяц, часы (ч.)</t>
        </is>
      </c>
      <c r="C40" s="261" t="inlineStr">
        <is>
          <t>tср</t>
        </is>
      </c>
      <c r="D40" s="261" t="inlineStr">
        <is>
          <t>1973ч/12мес.</t>
        </is>
      </c>
      <c r="E40" s="223">
        <f>1973/12</f>
        <v/>
      </c>
      <c r="F40" s="224" t="inlineStr">
        <is>
          <t>Производственный календарь 2023 год
(40-часов.неделя)</t>
        </is>
      </c>
      <c r="G40" s="226" t="n"/>
    </row>
    <row r="41" ht="15.75" customHeight="1" s="215">
      <c r="A41" s="219" t="inlineStr">
        <is>
          <t>1.3</t>
        </is>
      </c>
      <c r="B41" s="224" t="inlineStr">
        <is>
          <t>Коэффициент увеличения</t>
        </is>
      </c>
      <c r="C41" s="261" t="inlineStr">
        <is>
          <t>Кув</t>
        </is>
      </c>
      <c r="D41" s="261" t="inlineStr">
        <is>
          <t>-</t>
        </is>
      </c>
      <c r="E41" s="223" t="n">
        <v>1</v>
      </c>
      <c r="F41" s="224" t="n"/>
      <c r="G41" s="226" t="n"/>
    </row>
    <row r="42" ht="15.75" customHeight="1" s="215">
      <c r="A42" s="219" t="inlineStr">
        <is>
          <t>1.4</t>
        </is>
      </c>
      <c r="B42" s="224" t="inlineStr">
        <is>
          <t>Средний разряд работ</t>
        </is>
      </c>
      <c r="C42" s="261" t="n"/>
      <c r="D42" s="261" t="n"/>
      <c r="E42" s="227" t="n">
        <v>3</v>
      </c>
      <c r="F42" s="224" t="inlineStr">
        <is>
          <t>РТМ</t>
        </is>
      </c>
      <c r="G42" s="226" t="n"/>
    </row>
    <row r="43" ht="78.75" customHeight="1" s="215">
      <c r="A43" s="232" t="inlineStr">
        <is>
          <t>1.5</t>
        </is>
      </c>
      <c r="B43" s="236" t="inlineStr">
        <is>
          <t>Тарифный коэффициент среднего разряда работ</t>
        </is>
      </c>
      <c r="C43" s="234" t="inlineStr">
        <is>
          <t>КТ</t>
        </is>
      </c>
      <c r="D43" s="234" t="inlineStr">
        <is>
          <t>-</t>
        </is>
      </c>
      <c r="E43" s="238" t="n">
        <v>1.76</v>
      </c>
      <c r="F43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41" t="n"/>
    </row>
    <row r="44" ht="78.75" customHeight="1" s="215">
      <c r="A44" s="219" t="inlineStr">
        <is>
          <t>1.6</t>
        </is>
      </c>
      <c r="B44" s="229" t="inlineStr">
        <is>
          <t>Коэффициент инфляции, определяемый поквартально</t>
        </is>
      </c>
      <c r="C44" s="261" t="inlineStr">
        <is>
          <t>Кинф</t>
        </is>
      </c>
      <c r="D44" s="261" t="inlineStr">
        <is>
          <t>-</t>
        </is>
      </c>
      <c r="E44" s="230" t="n">
        <v>1.139</v>
      </c>
      <c r="F44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26" t="n"/>
    </row>
    <row r="45" ht="63" customHeight="1" s="215">
      <c r="A45" s="219" t="inlineStr">
        <is>
          <t>1.7</t>
        </is>
      </c>
      <c r="B45" s="239" t="inlineStr">
        <is>
          <t>Размер средств на оплату труда рабочих-строителей в текущем уровне цен (ФОТр.тек.), руб/чел.-ч</t>
        </is>
      </c>
      <c r="C45" s="261" t="inlineStr">
        <is>
          <t>ФОТр.тек.</t>
        </is>
      </c>
      <c r="D45" s="261" t="inlineStr">
        <is>
          <t>(С1ср/tср*КТ*Т*Кув)*Кинф</t>
        </is>
      </c>
      <c r="E45" s="240">
        <f>((E39*E41/E40)*E43)*E44</f>
        <v/>
      </c>
      <c r="F45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41" t="n"/>
    </row>
    <row r="46" ht="15.75" customHeight="1" s="215">
      <c r="A46" s="237" t="n"/>
      <c r="B46" s="297" t="inlineStr">
        <is>
          <t>Техник I категории</t>
        </is>
      </c>
      <c r="C46" s="342" t="n"/>
      <c r="D46" s="342" t="n"/>
      <c r="E46" s="342" t="n"/>
      <c r="F46" s="343" t="n"/>
    </row>
    <row r="47" ht="110.25" customHeight="1" s="215">
      <c r="A47" s="219" t="inlineStr">
        <is>
          <t>1.1</t>
        </is>
      </c>
      <c r="B47" s="2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61" t="inlineStr">
        <is>
          <t>С1ср</t>
        </is>
      </c>
      <c r="D47" s="261" t="inlineStr">
        <is>
          <t>-</t>
        </is>
      </c>
      <c r="E47" s="222" t="n">
        <v>47872.94</v>
      </c>
      <c r="F47" s="2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41" t="n"/>
    </row>
    <row r="48" ht="31.5" customHeight="1" s="215">
      <c r="A48" s="219" t="inlineStr">
        <is>
          <t>1.2</t>
        </is>
      </c>
      <c r="B48" s="224" t="inlineStr">
        <is>
          <t>Среднегодовое нормативное число часов работы одного рабочего в месяц, часы (ч.)</t>
        </is>
      </c>
      <c r="C48" s="261" t="inlineStr">
        <is>
          <t>tср</t>
        </is>
      </c>
      <c r="D48" s="261" t="inlineStr">
        <is>
          <t>1973ч/12мес.</t>
        </is>
      </c>
      <c r="E48" s="223">
        <f>1973/12</f>
        <v/>
      </c>
      <c r="F48" s="224" t="inlineStr">
        <is>
          <t>Производственный календарь 2023 год
(40-часов.неделя)</t>
        </is>
      </c>
      <c r="G48" s="226" t="n"/>
    </row>
    <row r="49" ht="15.75" customHeight="1" s="215">
      <c r="A49" s="219" t="inlineStr">
        <is>
          <t>1.3</t>
        </is>
      </c>
      <c r="B49" s="224" t="inlineStr">
        <is>
          <t>Коэффициент увеличения</t>
        </is>
      </c>
      <c r="C49" s="261" t="inlineStr">
        <is>
          <t>Кув</t>
        </is>
      </c>
      <c r="D49" s="261" t="inlineStr">
        <is>
          <t>-</t>
        </is>
      </c>
      <c r="E49" s="223" t="n">
        <v>1</v>
      </c>
      <c r="F49" s="224" t="n"/>
      <c r="G49" s="226" t="n"/>
    </row>
    <row r="50" ht="15.75" customHeight="1" s="215">
      <c r="A50" s="219" t="inlineStr">
        <is>
          <t>1.4</t>
        </is>
      </c>
      <c r="B50" s="224" t="inlineStr">
        <is>
          <t>Средний разряд работ</t>
        </is>
      </c>
      <c r="C50" s="261" t="n"/>
      <c r="D50" s="261" t="n"/>
      <c r="E50" s="227" t="n">
        <v>1</v>
      </c>
      <c r="F50" s="224" t="inlineStr">
        <is>
          <t>РТМ</t>
        </is>
      </c>
      <c r="G50" s="226" t="n"/>
    </row>
    <row r="51" ht="78.75" customHeight="1" s="215">
      <c r="A51" s="232" t="inlineStr">
        <is>
          <t>1.5</t>
        </is>
      </c>
      <c r="B51" s="236" t="inlineStr">
        <is>
          <t>Тарифный коэффициент среднего разряда работ</t>
        </is>
      </c>
      <c r="C51" s="234" t="inlineStr">
        <is>
          <t>КТ</t>
        </is>
      </c>
      <c r="D51" s="234" t="inlineStr">
        <is>
          <t>-</t>
        </is>
      </c>
      <c r="E51" s="238" t="n">
        <v>1.42</v>
      </c>
      <c r="F51" s="23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41" t="n"/>
    </row>
    <row r="52" ht="78.75" customHeight="1" s="215">
      <c r="A52" s="219" t="inlineStr">
        <is>
          <t>1.6</t>
        </is>
      </c>
      <c r="B52" s="229" t="inlineStr">
        <is>
          <t>Коэффициент инфляции, определяемый поквартально</t>
        </is>
      </c>
      <c r="C52" s="261" t="inlineStr">
        <is>
          <t>Кинф</t>
        </is>
      </c>
      <c r="D52" s="261" t="inlineStr">
        <is>
          <t>-</t>
        </is>
      </c>
      <c r="E52" s="230" t="n">
        <v>1.139</v>
      </c>
      <c r="F52" s="2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26" t="n"/>
    </row>
    <row r="53" ht="63" customHeight="1" s="215">
      <c r="A53" s="219" t="inlineStr">
        <is>
          <t>1.7</t>
        </is>
      </c>
      <c r="B53" s="239" t="inlineStr">
        <is>
          <t>Размер средств на оплату труда рабочих-строителей в текущем уровне цен (ФОТр.тек.), руб/чел.-ч</t>
        </is>
      </c>
      <c r="C53" s="261" t="inlineStr">
        <is>
          <t>ФОТр.тек.</t>
        </is>
      </c>
      <c r="D53" s="261" t="inlineStr">
        <is>
          <t>(С1ср/tср*КТ*Т*Кув)*Кинф</t>
        </is>
      </c>
      <c r="E53" s="240">
        <f>((E47*E49/E48)*E51)*E52</f>
        <v/>
      </c>
      <c r="F53" s="22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41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2025-01-24T12:16:44Z</dcterms:modified>
  <cp:lastModifiedBy>REDMIBOOK</cp:lastModifiedBy>
  <cp:lastPrinted>2023-11-28T07:57:32Z</cp:lastPrinted>
</cp:coreProperties>
</file>