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'Прил.3'!$10:$12</definedName>
    <definedName name="_xlnm.Print_Area" localSheetId="2">'Прил.3'!$A$1:$H$94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ОБ'!$9:$10</definedName>
    <definedName name="_xlnm.Print_Area" localSheetId="4">'Прил.5 Расчет СМР и ОБ'!$A$1:$J$114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0" fontId="20" fillId="0" borderId="1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4" fontId="20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01" min="1" max="2"/>
    <col width="51.7109375" customWidth="1" style="201" min="3" max="3"/>
    <col width="47" customWidth="1" style="201" min="4" max="4"/>
    <col width="37.42578125" customWidth="1" style="201" min="5" max="5"/>
    <col width="9.140625" customWidth="1" style="201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" customHeight="1" s="199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66" t="n"/>
      <c r="C6" s="166" t="n"/>
      <c r="D6" s="166" t="n"/>
    </row>
    <row r="7" ht="64.5" customHeight="1" s="199">
      <c r="B7" s="234" t="inlineStr">
        <is>
          <t>Наименование разрабатываемого показателя УНЦ - РЗА УШР</t>
        </is>
      </c>
    </row>
    <row r="8" ht="31.5" customHeight="1" s="199">
      <c r="B8" s="234" t="inlineStr">
        <is>
          <t>Сопоставимый уровень цен: 2 кв. 2016 г.</t>
        </is>
      </c>
    </row>
    <row r="9" ht="15.75" customHeight="1" s="199">
      <c r="B9" s="234" t="inlineStr">
        <is>
          <t>Единица измерения  — 1 система</t>
        </is>
      </c>
    </row>
    <row r="10">
      <c r="B10" s="234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152" t="n"/>
    </row>
    <row r="12" ht="60.6" customHeight="1" s="199">
      <c r="B12" s="238" t="n">
        <v>1</v>
      </c>
      <c r="C12" s="119" t="inlineStr">
        <is>
          <t>Наименование объекта-представителя</t>
        </is>
      </c>
      <c r="D12" s="238" t="inlineStr">
        <is>
          <t>ПС 500 кВ Усть-Кут (МЭС Сибири)</t>
        </is>
      </c>
    </row>
    <row r="13">
      <c r="B13" s="238" t="n">
        <v>2</v>
      </c>
      <c r="C13" s="119" t="inlineStr">
        <is>
          <t>Наименование субъекта Российской Федерации</t>
        </is>
      </c>
      <c r="D13" s="238" t="inlineStr">
        <is>
          <t>Иркутская область</t>
        </is>
      </c>
    </row>
    <row r="14">
      <c r="B14" s="238" t="n">
        <v>3</v>
      </c>
      <c r="C14" s="119" t="inlineStr">
        <is>
          <t>Климатический район и подрайон</t>
        </is>
      </c>
      <c r="D14" s="238" t="inlineStr">
        <is>
          <t>IД</t>
        </is>
      </c>
    </row>
    <row r="15">
      <c r="B15" s="238" t="n">
        <v>4</v>
      </c>
      <c r="C15" s="119" t="inlineStr">
        <is>
          <t>Мощность объекта</t>
        </is>
      </c>
      <c r="D15" s="238" t="n">
        <v>1</v>
      </c>
    </row>
    <row r="16" ht="76.15000000000001" customHeight="1" s="199">
      <c r="B16" s="238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4" t="inlineStr">
        <is>
          <t>РЗА УШР - 1 комплект</t>
        </is>
      </c>
    </row>
    <row r="17" ht="79.5" customHeight="1" s="199">
      <c r="B17" s="238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D18+D19</f>
        <v/>
      </c>
      <c r="E17" s="165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70">
        <f>'Прил.2 Расч стоим'!F14</f>
        <v/>
      </c>
    </row>
    <row r="19" ht="15.75" customHeight="1" s="199">
      <c r="B19" s="151" t="inlineStr">
        <is>
          <t>6.2</t>
        </is>
      </c>
      <c r="C19" s="119" t="inlineStr">
        <is>
          <t>оборудование и инвентарь</t>
        </is>
      </c>
      <c r="D19" s="170">
        <f>'Прил.2 Расч стоим'!H14</f>
        <v/>
      </c>
    </row>
    <row r="20" ht="16.5" customHeight="1" s="199">
      <c r="B20" s="151" t="inlineStr">
        <is>
          <t>6.3</t>
        </is>
      </c>
      <c r="C20" s="119" t="inlineStr">
        <is>
          <t>пусконаладочные работы</t>
        </is>
      </c>
      <c r="D20" s="170" t="n"/>
    </row>
    <row r="21" ht="35.25" customHeight="1" s="199">
      <c r="B21" s="151" t="inlineStr">
        <is>
          <t>6.4</t>
        </is>
      </c>
      <c r="C21" s="150" t="inlineStr">
        <is>
          <t>прочие и лимитированные затраты</t>
        </is>
      </c>
      <c r="D21" s="170" t="n"/>
    </row>
    <row r="22">
      <c r="B22" s="238" t="n">
        <v>7</v>
      </c>
      <c r="C22" s="150" t="inlineStr">
        <is>
          <t>Сопоставимый уровень цен</t>
        </is>
      </c>
      <c r="D22" s="171" t="inlineStr">
        <is>
          <t>2 кв. 2016 г.</t>
        </is>
      </c>
      <c r="E22" s="148" t="n"/>
    </row>
    <row r="23" ht="123" customHeight="1" s="199">
      <c r="B23" s="238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65" t="n"/>
    </row>
    <row r="24" ht="60.75" customHeight="1" s="199">
      <c r="B24" s="238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0">
        <f>D17/D15</f>
        <v/>
      </c>
      <c r="E24" s="148" t="n"/>
    </row>
    <row r="25" ht="48" customHeight="1" s="199">
      <c r="B25" s="238" t="n">
        <v>10</v>
      </c>
      <c r="C25" s="119" t="inlineStr">
        <is>
          <t>Примечание</t>
        </is>
      </c>
      <c r="D25" s="238" t="n"/>
    </row>
    <row r="26">
      <c r="B26" s="147" t="n"/>
      <c r="C26" s="146" t="n"/>
      <c r="D26" s="146" t="n"/>
    </row>
    <row r="27" ht="37.5" customHeight="1" s="199">
      <c r="B27" s="145" t="n"/>
    </row>
    <row r="28">
      <c r="B28" s="201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01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01" min="1" max="1"/>
    <col width="9.140625" customWidth="1" style="201" min="2" max="2"/>
    <col width="35.28515625" customWidth="1" style="201" min="3" max="3"/>
    <col width="13.85546875" customWidth="1" style="201" min="4" max="4"/>
    <col width="24.85546875" customWidth="1" style="201" min="5" max="5"/>
    <col width="15.5703125" customWidth="1" style="201" min="6" max="6"/>
    <col width="14.85546875" customWidth="1" style="201" min="7" max="7"/>
    <col width="16.7109375" customWidth="1" style="201" min="8" max="8"/>
    <col width="13" customWidth="1" style="201" min="9" max="10"/>
    <col width="18" customWidth="1" style="201" min="11" max="11"/>
    <col width="9.140625" customWidth="1" style="201" min="12" max="12"/>
  </cols>
  <sheetData>
    <row r="3">
      <c r="B3" s="232" t="inlineStr">
        <is>
          <t>Приложение № 2</t>
        </is>
      </c>
      <c r="K3" s="145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199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 s="199">
      <c r="B8" s="121" t="n"/>
    </row>
    <row r="9" ht="15.75" customHeight="1" s="199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</row>
    <row r="10" ht="15.75" customHeight="1" s="199">
      <c r="B10" s="330" t="n"/>
      <c r="C10" s="330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2 кв. 2016 г., тыс. руб.</t>
        </is>
      </c>
      <c r="G10" s="328" t="n"/>
      <c r="H10" s="328" t="n"/>
      <c r="I10" s="328" t="n"/>
      <c r="J10" s="329" t="n"/>
    </row>
    <row r="11" ht="31.5" customHeight="1" s="199">
      <c r="B11" s="331" t="n"/>
      <c r="C11" s="331" t="n"/>
      <c r="D11" s="331" t="n"/>
      <c r="E11" s="331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>
      <c r="B12" s="215" t="n"/>
      <c r="C12" s="215" t="inlineStr">
        <is>
          <t>РЗА УШР</t>
        </is>
      </c>
      <c r="D12" s="215" t="n"/>
      <c r="E12" s="215" t="n"/>
      <c r="F12" s="332">
        <f>(Прил.3!H12+Прил.3!H17+Прил.3!H19+Прил.3!H30)*7.54/1000</f>
        <v/>
      </c>
      <c r="G12" s="329" t="n"/>
      <c r="H12" s="333">
        <f>Прил.3!H28*4.28/1000</f>
        <v/>
      </c>
      <c r="I12" s="215" t="n"/>
      <c r="J12" s="333">
        <f>F12+H12</f>
        <v/>
      </c>
    </row>
    <row r="13" ht="15" customHeight="1" s="199">
      <c r="B13" s="242" t="inlineStr">
        <is>
          <t>Всего по объекту:</t>
        </is>
      </c>
      <c r="C13" s="334" t="n"/>
      <c r="D13" s="334" t="n"/>
      <c r="E13" s="335" t="n"/>
      <c r="F13" s="217" t="n"/>
      <c r="G13" s="217" t="n"/>
      <c r="H13" s="217" t="n"/>
      <c r="I13" s="217" t="n"/>
      <c r="J13" s="217" t="n"/>
    </row>
    <row r="14" ht="15.75" customHeight="1" s="199">
      <c r="B14" s="243" t="inlineStr">
        <is>
          <t>Всего по объекту в сопоставимом уровне цен 2 кв. 2016 г:</t>
        </is>
      </c>
      <c r="C14" s="328" t="n"/>
      <c r="D14" s="328" t="n"/>
      <c r="E14" s="329" t="n"/>
      <c r="F14" s="336">
        <f>F12</f>
        <v/>
      </c>
      <c r="G14" s="329" t="n"/>
      <c r="H14" s="337">
        <f>H12</f>
        <v/>
      </c>
      <c r="I14" s="167" t="n"/>
      <c r="J14" s="337">
        <f>J12</f>
        <v/>
      </c>
    </row>
    <row r="15" ht="15" customHeight="1" s="199"/>
    <row r="16" ht="15" customHeight="1" s="199"/>
    <row r="17" ht="15" customHeight="1" s="199"/>
    <row r="18" ht="15" customHeight="1" s="199">
      <c r="C18" s="186" t="inlineStr">
        <is>
          <t>Составил ______________________     А.Р. Маркова</t>
        </is>
      </c>
      <c r="D18" s="196" t="n"/>
      <c r="E18" s="196" t="n"/>
    </row>
    <row r="19" ht="15" customHeight="1" s="199">
      <c r="C19" s="197" t="inlineStr">
        <is>
          <t xml:space="preserve">                         (подпись, инициалы, фамилия)</t>
        </is>
      </c>
      <c r="D19" s="196" t="n"/>
      <c r="E19" s="196" t="n"/>
    </row>
    <row r="20" ht="15" customHeight="1" s="199">
      <c r="C20" s="186" t="n"/>
      <c r="D20" s="196" t="n"/>
      <c r="E20" s="196" t="n"/>
    </row>
    <row r="21" ht="15" customHeight="1" s="199">
      <c r="C21" s="186" t="inlineStr">
        <is>
          <t>Проверил ______________________        А.В. Костянецкая</t>
        </is>
      </c>
      <c r="D21" s="196" t="n"/>
      <c r="E21" s="196" t="n"/>
    </row>
    <row r="22" ht="15" customHeight="1" s="199">
      <c r="C22" s="197" t="inlineStr">
        <is>
          <t xml:space="preserve">                        (подпись, инициалы, фамилия)</t>
        </is>
      </c>
      <c r="D22" s="196" t="n"/>
      <c r="E22" s="196" t="n"/>
    </row>
    <row r="23" ht="15" customHeight="1" s="199"/>
    <row r="24" ht="15" customHeight="1" s="199"/>
    <row r="25" ht="15" customHeight="1" s="199"/>
    <row r="26" ht="15" customHeight="1" s="199"/>
    <row r="27" ht="15" customHeight="1" s="199"/>
    <row r="28" ht="15" customHeight="1" s="19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78"/>
  <sheetViews>
    <sheetView view="pageBreakPreview" topLeftCell="A71" zoomScale="70" workbookViewId="0">
      <selection activeCell="D98" sqref="D98"/>
    </sheetView>
  </sheetViews>
  <sheetFormatPr baseColWidth="8" defaultColWidth="9.140625" defaultRowHeight="15.75"/>
  <cols>
    <col width="9.140625" customWidth="1" style="153" min="1" max="1"/>
    <col width="12.5703125" customWidth="1" style="201" min="2" max="2"/>
    <col width="22.42578125" customWidth="1" style="153" min="3" max="3"/>
    <col width="49.7109375" customWidth="1" style="145" min="4" max="4"/>
    <col width="10.140625" customWidth="1" style="145" min="5" max="5"/>
    <col width="20.7109375" customWidth="1" style="145" min="6" max="6"/>
    <col width="20" customWidth="1" style="232" min="7" max="7"/>
    <col width="16.7109375" customWidth="1" style="145" min="8" max="8"/>
    <col width="15" customWidth="1" style="199" min="11" max="11"/>
    <col width="9.140625" customWidth="1" style="201" min="15" max="15"/>
  </cols>
  <sheetData>
    <row r="2">
      <c r="A2" s="232" t="inlineStr">
        <is>
          <t xml:space="preserve">Приложение № 3 </t>
        </is>
      </c>
    </row>
    <row r="3">
      <c r="A3" s="233" t="inlineStr">
        <is>
          <t>Объектная ресурсная ведомость</t>
        </is>
      </c>
    </row>
    <row r="4" s="199">
      <c r="A4" s="233" t="n"/>
      <c r="B4" s="233" t="n"/>
      <c r="C4" s="233" t="n"/>
      <c r="D4" s="233" t="n"/>
      <c r="E4" s="233" t="n"/>
      <c r="F4" s="233" t="n"/>
      <c r="G4" s="233" t="n"/>
      <c r="H4" s="233" t="n"/>
      <c r="O4" s="201" t="n"/>
    </row>
    <row r="5" ht="18.75" customHeight="1" s="199">
      <c r="A5" s="169" t="n"/>
      <c r="B5" s="169" t="n"/>
      <c r="C5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 s="199">
      <c r="A6" s="153" t="n"/>
      <c r="B6" s="201" t="n"/>
      <c r="C6" s="153" t="n"/>
      <c r="D6" s="145" t="n"/>
      <c r="E6" s="145" t="n"/>
      <c r="F6" s="145" t="n"/>
      <c r="G6" s="232" t="n"/>
      <c r="H6" s="145" t="n"/>
      <c r="O6" s="201" t="n"/>
    </row>
    <row r="7">
      <c r="A7" s="244" t="inlineStr">
        <is>
          <t>Наименование разрабатываемого показателя УНЦ -  РЗА УШР</t>
        </is>
      </c>
    </row>
    <row r="8">
      <c r="B8" s="244" t="n"/>
      <c r="D8" s="244" t="n"/>
      <c r="E8" s="244" t="n"/>
      <c r="F8" s="244" t="n"/>
      <c r="H8" s="244" t="n"/>
    </row>
    <row r="9" ht="38.25" customHeight="1" s="199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9" t="n"/>
    </row>
    <row r="10" ht="40.5" customHeight="1" s="199">
      <c r="A10" s="331" t="n"/>
      <c r="B10" s="331" t="n"/>
      <c r="C10" s="331" t="n"/>
      <c r="D10" s="331" t="n"/>
      <c r="E10" s="331" t="n"/>
      <c r="F10" s="331" t="n"/>
      <c r="G10" s="238" t="inlineStr">
        <is>
          <t>на ед.изм.</t>
        </is>
      </c>
      <c r="H10" s="238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156">
      <c r="A12" s="247" t="inlineStr">
        <is>
          <t>Затраты труда рабочих</t>
        </is>
      </c>
      <c r="B12" s="328" t="n"/>
      <c r="C12" s="328" t="n"/>
      <c r="D12" s="328" t="n"/>
      <c r="E12" s="329" t="n"/>
      <c r="F12" s="338" t="n">
        <v>372.69</v>
      </c>
      <c r="G12" s="105" t="n"/>
      <c r="H12" s="338">
        <f>SUM(H13:H16)</f>
        <v/>
      </c>
    </row>
    <row r="13">
      <c r="A13" s="257" t="n">
        <v>1</v>
      </c>
      <c r="B13" s="157" t="n"/>
      <c r="C13" s="137" t="inlineStr">
        <is>
          <t>1-4-2</t>
        </is>
      </c>
      <c r="D13" s="181" t="inlineStr">
        <is>
          <t>Затраты труда рабочих (ср 3,8)</t>
        </is>
      </c>
      <c r="E13" s="257" t="inlineStr">
        <is>
          <t>чел.-ч</t>
        </is>
      </c>
      <c r="F13" s="185" t="n">
        <v>284.5</v>
      </c>
      <c r="G13" s="177" t="n">
        <v>9.4</v>
      </c>
      <c r="H13" s="32">
        <f>ROUND(F13*G13,2)</f>
        <v/>
      </c>
      <c r="J13" s="184" t="n"/>
    </row>
    <row r="14">
      <c r="A14" s="257" t="n">
        <v>2</v>
      </c>
      <c r="B14" s="157" t="n"/>
      <c r="C14" s="137" t="inlineStr">
        <is>
          <t>1-3-8</t>
        </is>
      </c>
      <c r="D14" s="181" t="inlineStr">
        <is>
          <t>Затраты труда рабочих (ср 4,2)</t>
        </is>
      </c>
      <c r="E14" s="257" t="inlineStr">
        <is>
          <t>чел.-ч</t>
        </is>
      </c>
      <c r="F14" s="185" t="n">
        <v>65.92</v>
      </c>
      <c r="G14" s="177" t="n">
        <v>9.92</v>
      </c>
      <c r="H14" s="32">
        <f>ROUND(F14*G14,2)</f>
        <v/>
      </c>
      <c r="J14" s="184" t="n"/>
    </row>
    <row r="15">
      <c r="A15" s="257" t="n">
        <v>3</v>
      </c>
      <c r="B15" s="157" t="n"/>
      <c r="C15" s="137" t="inlineStr">
        <is>
          <t>1-4-0</t>
        </is>
      </c>
      <c r="D15" s="181" t="inlineStr">
        <is>
          <t>Затраты труда рабочих (ср 4,1)</t>
        </is>
      </c>
      <c r="E15" s="257" t="inlineStr">
        <is>
          <t>чел.-ч</t>
        </is>
      </c>
      <c r="F15" s="185" t="n">
        <v>22.25</v>
      </c>
      <c r="G15" s="177" t="n">
        <v>9.76</v>
      </c>
      <c r="H15" s="32">
        <f>ROUND(F15*G15,2)</f>
        <v/>
      </c>
      <c r="J15" s="184" t="n"/>
    </row>
    <row r="16">
      <c r="A16" s="257" t="n">
        <v>4</v>
      </c>
      <c r="B16" s="157" t="n"/>
      <c r="C16" s="137" t="inlineStr">
        <is>
          <t>1-4-1</t>
        </is>
      </c>
      <c r="D16" s="181" t="inlineStr">
        <is>
          <t>Затраты труда рабочих (ср 4)</t>
        </is>
      </c>
      <c r="E16" s="257" t="inlineStr">
        <is>
          <t>чел.-ч</t>
        </is>
      </c>
      <c r="F16" s="185" t="n">
        <v>0.02</v>
      </c>
      <c r="G16" s="177" t="n">
        <v>9.619999999999999</v>
      </c>
      <c r="H16" s="32">
        <f>ROUND(F16*G16,2)</f>
        <v/>
      </c>
      <c r="J16" s="184" t="n"/>
    </row>
    <row r="17">
      <c r="A17" s="246" t="inlineStr">
        <is>
          <t>Затраты труда машинистов</t>
        </is>
      </c>
      <c r="B17" s="328" t="n"/>
      <c r="C17" s="328" t="n"/>
      <c r="D17" s="328" t="n"/>
      <c r="E17" s="329" t="n"/>
      <c r="F17" s="178" t="n"/>
      <c r="G17" s="180" t="n"/>
      <c r="H17" s="338">
        <f>H18</f>
        <v/>
      </c>
    </row>
    <row r="18">
      <c r="A18" s="257" t="n">
        <v>5</v>
      </c>
      <c r="B18" s="155" t="n"/>
      <c r="C18" s="137" t="n">
        <v>2</v>
      </c>
      <c r="D18" s="256" t="inlineStr">
        <is>
          <t>Затраты труда машинистов(справочно)</t>
        </is>
      </c>
      <c r="E18" s="257" t="inlineStr">
        <is>
          <t>чел.-ч</t>
        </is>
      </c>
      <c r="F18" s="137" t="inlineStr">
        <is>
          <t>22,03</t>
        </is>
      </c>
      <c r="G18" s="32" t="n"/>
      <c r="H18" s="177" t="n">
        <v>282.4</v>
      </c>
      <c r="J18" s="184" t="n"/>
    </row>
    <row r="19" customFormat="1" s="156">
      <c r="A19" s="247" t="inlineStr">
        <is>
          <t>Машины и механизмы</t>
        </is>
      </c>
      <c r="B19" s="328" t="n"/>
      <c r="C19" s="328" t="n"/>
      <c r="D19" s="328" t="n"/>
      <c r="E19" s="329" t="n"/>
      <c r="F19" s="178" t="n"/>
      <c r="G19" s="180" t="n"/>
      <c r="H19" s="338">
        <f>SUM(H20:H27)</f>
        <v/>
      </c>
      <c r="J19" s="184" t="n"/>
    </row>
    <row r="20" ht="25.5" customHeight="1" s="199">
      <c r="A20" s="257" t="n">
        <v>6</v>
      </c>
      <c r="B20" s="155" t="n"/>
      <c r="C20" s="137" t="inlineStr">
        <is>
          <t>91.05.05-015</t>
        </is>
      </c>
      <c r="D20" s="256" t="inlineStr">
        <is>
          <t>Краны на автомобильном ходу, грузоподъемность 16 т</t>
        </is>
      </c>
      <c r="E20" s="257" t="inlineStr">
        <is>
          <t>маш.час</t>
        </is>
      </c>
      <c r="F20" s="137" t="n">
        <v>9.390000000000001</v>
      </c>
      <c r="G20" s="274" t="n">
        <v>115.4</v>
      </c>
      <c r="H20" s="32">
        <f>ROUND(F20*G20,2)</f>
        <v/>
      </c>
    </row>
    <row r="21" ht="25.5" customFormat="1" customHeight="1" s="156">
      <c r="A21" s="257" t="n">
        <v>7</v>
      </c>
      <c r="B21" s="155" t="n"/>
      <c r="C21" s="137" t="inlineStr">
        <is>
          <t>91.05.04-010</t>
        </is>
      </c>
      <c r="D21" s="256" t="inlineStr">
        <is>
          <t>Краны мостовые электрические, грузоподъемность 50 т</t>
        </is>
      </c>
      <c r="E21" s="257" t="inlineStr">
        <is>
          <t>маш.час</t>
        </is>
      </c>
      <c r="F21" s="137" t="n">
        <v>3.23</v>
      </c>
      <c r="G21" s="274" t="n">
        <v>197.01</v>
      </c>
      <c r="H21" s="32">
        <f>ROUND(F21*G21,2)</f>
        <v/>
      </c>
    </row>
    <row r="22">
      <c r="A22" s="257" t="n">
        <v>8</v>
      </c>
      <c r="B22" s="155" t="n"/>
      <c r="C22" s="137" t="inlineStr">
        <is>
          <t>91.14.02-001</t>
        </is>
      </c>
      <c r="D22" s="256" t="inlineStr">
        <is>
          <t>Автомобили бортовые, грузоподъемность до 5 т</t>
        </is>
      </c>
      <c r="E22" s="257" t="inlineStr">
        <is>
          <t>маш.час</t>
        </is>
      </c>
      <c r="F22" s="137" t="n">
        <v>9.390000000000001</v>
      </c>
      <c r="G22" s="274" t="n">
        <v>65.70999999999999</v>
      </c>
      <c r="H22" s="32">
        <f>ROUND(F22*G22,2)</f>
        <v/>
      </c>
    </row>
    <row r="23" ht="25.5" customHeight="1" s="199">
      <c r="A23" s="257" t="n">
        <v>9</v>
      </c>
      <c r="B23" s="155" t="n"/>
      <c r="C23" s="137" t="inlineStr">
        <is>
          <t>91.06.03-061</t>
        </is>
      </c>
      <c r="D23" s="256" t="inlineStr">
        <is>
          <t>Лебедки электрические тяговым усилием до 12,26 кН (1,25 т)</t>
        </is>
      </c>
      <c r="E23" s="257" t="inlineStr">
        <is>
          <t>маш.час</t>
        </is>
      </c>
      <c r="F23" s="137" t="n">
        <v>54.92</v>
      </c>
      <c r="G23" s="274" t="n">
        <v>3.28</v>
      </c>
      <c r="H23" s="32">
        <f>ROUND(F23*G23,2)</f>
        <v/>
      </c>
    </row>
    <row r="24" ht="25.5" customHeight="1" s="199">
      <c r="A24" s="257" t="n">
        <v>10</v>
      </c>
      <c r="B24" s="155" t="n"/>
      <c r="C24" s="137" t="inlineStr">
        <is>
          <t>91.17.04-233</t>
        </is>
      </c>
      <c r="D24" s="256" t="inlineStr">
        <is>
          <t>Установки для сварки ручной дуговой (постоянного тока)</t>
        </is>
      </c>
      <c r="E24" s="257" t="inlineStr">
        <is>
          <t>маш.час</t>
        </is>
      </c>
      <c r="F24" s="137" t="n">
        <v>22.03</v>
      </c>
      <c r="G24" s="274" t="n">
        <v>8.1</v>
      </c>
      <c r="H24" s="32">
        <f>ROUND(F24*G24,2)</f>
        <v/>
      </c>
    </row>
    <row r="25" ht="25.5" customHeight="1" s="199">
      <c r="A25" s="257" t="n">
        <v>11</v>
      </c>
      <c r="B25" s="155" t="n"/>
      <c r="C25" s="137" t="inlineStr">
        <is>
          <t>91.06.01-003</t>
        </is>
      </c>
      <c r="D25" s="256" t="inlineStr">
        <is>
          <t>Домкраты гидравлические, грузоподъемность 63-100 т</t>
        </is>
      </c>
      <c r="E25" s="257" t="inlineStr">
        <is>
          <t>маш.час</t>
        </is>
      </c>
      <c r="F25" s="137" t="n">
        <v>54.92</v>
      </c>
      <c r="G25" s="274" t="n">
        <v>0.9</v>
      </c>
      <c r="H25" s="32">
        <f>ROUND(F25*G25,2)</f>
        <v/>
      </c>
    </row>
    <row r="26" ht="25.5" customHeight="1" s="199">
      <c r="A26" s="257" t="n">
        <v>12</v>
      </c>
      <c r="B26" s="155" t="n"/>
      <c r="C26" s="137" t="inlineStr">
        <is>
          <t>91.17.04-161</t>
        </is>
      </c>
      <c r="D26" s="256" t="inlineStr">
        <is>
          <t>Полуавтоматы сварочные номинальным сварочным током 40-500 А</t>
        </is>
      </c>
      <c r="E26" s="257" t="inlineStr">
        <is>
          <t>маш.час</t>
        </is>
      </c>
      <c r="F26" s="137" t="n">
        <v>1.06</v>
      </c>
      <c r="G26" s="274" t="n">
        <v>16.44</v>
      </c>
      <c r="H26" s="32">
        <f>ROUND(F26*G26,2)</f>
        <v/>
      </c>
    </row>
    <row r="27">
      <c r="A27" s="257" t="n">
        <v>13</v>
      </c>
      <c r="B27" s="155" t="n"/>
      <c r="C27" s="137" t="inlineStr">
        <is>
          <t>91.06.06-042</t>
        </is>
      </c>
      <c r="D27" s="256" t="inlineStr">
        <is>
          <t>Подъемники гидравлические, высота подъема 10 м</t>
        </is>
      </c>
      <c r="E27" s="257" t="inlineStr">
        <is>
          <t>маш.час</t>
        </is>
      </c>
      <c r="F27" s="137" t="n">
        <v>0.02</v>
      </c>
      <c r="G27" s="274" t="n">
        <v>29.6</v>
      </c>
      <c r="H27" s="32">
        <f>ROUND(F27*G27,2)</f>
        <v/>
      </c>
    </row>
    <row r="28" ht="15" customHeight="1" s="199">
      <c r="A28" s="246" t="inlineStr">
        <is>
          <t>Оборудование</t>
        </is>
      </c>
      <c r="B28" s="328" t="n"/>
      <c r="C28" s="328" t="n"/>
      <c r="D28" s="328" t="n"/>
      <c r="E28" s="329" t="n"/>
      <c r="F28" s="10" t="n"/>
      <c r="G28" s="105" t="n"/>
      <c r="H28" s="338">
        <f>SUM(H29:H29)</f>
        <v/>
      </c>
    </row>
    <row r="29" ht="31.15" customHeight="1" s="199">
      <c r="A29" s="173" t="n">
        <v>14</v>
      </c>
      <c r="B29" s="246" t="n"/>
      <c r="C29" s="257" t="inlineStr">
        <is>
          <t>Прайс из СД ОП</t>
        </is>
      </c>
      <c r="D29" s="256" t="inlineStr">
        <is>
          <t>Шкаф защиты ШР типа ШЭТ 430.04-0</t>
        </is>
      </c>
      <c r="E29" s="257" t="inlineStr">
        <is>
          <t>шт</t>
        </is>
      </c>
      <c r="F29" s="257" t="n">
        <v>1</v>
      </c>
      <c r="G29" s="32" t="n">
        <v>467372.2</v>
      </c>
      <c r="H29" s="32">
        <f>ROUND(F29*G29,2)</f>
        <v/>
      </c>
    </row>
    <row r="30">
      <c r="A30" s="247" t="inlineStr">
        <is>
          <t>Материалы</t>
        </is>
      </c>
      <c r="B30" s="328" t="n"/>
      <c r="C30" s="328" t="n"/>
      <c r="D30" s="328" t="n"/>
      <c r="E30" s="329" t="n"/>
      <c r="F30" s="178" t="n"/>
      <c r="G30" s="180" t="n"/>
      <c r="H30" s="338">
        <f>SUM(H31:H71)</f>
        <v/>
      </c>
    </row>
    <row r="31">
      <c r="A31" s="173" t="n">
        <v>15</v>
      </c>
      <c r="B31" s="155" t="n"/>
      <c r="C31" s="137" t="inlineStr">
        <is>
          <t>21.1.08.03-0581</t>
        </is>
      </c>
      <c r="D31" s="256" t="inlineStr">
        <is>
          <t>Кабель контрольный КВВГЭнг(A)-LS 7х1,5</t>
        </is>
      </c>
      <c r="E31" s="257" t="inlineStr">
        <is>
          <t>1000 м</t>
        </is>
      </c>
      <c r="F31" s="137" t="n">
        <v>2.4</v>
      </c>
      <c r="G31" s="274" t="n">
        <v>37014.5</v>
      </c>
      <c r="H31" s="32">
        <f>ROUND(F31*G31,2)</f>
        <v/>
      </c>
    </row>
    <row r="32">
      <c r="A32" s="173" t="n">
        <v>16</v>
      </c>
      <c r="B32" s="155" t="n"/>
      <c r="C32" s="137" t="inlineStr">
        <is>
          <t>21.1.08.03-0579</t>
        </is>
      </c>
      <c r="D32" s="256" t="inlineStr">
        <is>
          <t>Кабель контрольный КВВГЭнг(A)-LS 5х2,5</t>
        </is>
      </c>
      <c r="E32" s="257" t="inlineStr">
        <is>
          <t>1000 м</t>
        </is>
      </c>
      <c r="F32" s="137" t="n">
        <v>1.02</v>
      </c>
      <c r="G32" s="274" t="n">
        <v>38348.22</v>
      </c>
      <c r="H32" s="32">
        <f>ROUND(F32*G32,2)</f>
        <v/>
      </c>
    </row>
    <row r="33">
      <c r="A33" s="173" t="n">
        <v>17</v>
      </c>
      <c r="B33" s="155" t="n"/>
      <c r="C33" s="137" t="inlineStr">
        <is>
          <t>21.1.08.03-0574</t>
        </is>
      </c>
      <c r="D33" s="256" t="inlineStr">
        <is>
          <t>Кабель контрольный КВВГЭнг(A)-LS 4х2,5</t>
        </is>
      </c>
      <c r="E33" s="257" t="inlineStr">
        <is>
          <t>1000 м</t>
        </is>
      </c>
      <c r="F33" s="137" t="n">
        <v>0.102</v>
      </c>
      <c r="G33" s="274" t="n">
        <v>32828.83</v>
      </c>
      <c r="H33" s="32">
        <f>ROUND(F33*G33,2)</f>
        <v/>
      </c>
    </row>
    <row r="34" ht="25.5" customHeight="1" s="199">
      <c r="A34" s="173" t="n">
        <v>18</v>
      </c>
      <c r="B34" s="155" t="n"/>
      <c r="C34" s="137" t="inlineStr">
        <is>
          <t>07.2.07.04-0007</t>
        </is>
      </c>
      <c r="D34" s="256" t="inlineStr">
        <is>
          <t>Конструкции стальные индивидуальные решетчатые сварные, масса до 0,1 т</t>
        </is>
      </c>
      <c r="E34" s="257" t="inlineStr">
        <is>
          <t>т</t>
        </is>
      </c>
      <c r="F34" s="137" t="n">
        <v>0.26164</v>
      </c>
      <c r="G34" s="274" t="n">
        <v>11500</v>
      </c>
      <c r="H34" s="32">
        <f>ROUND(F34*G34,2)</f>
        <v/>
      </c>
    </row>
    <row r="35" ht="38.25" customHeight="1" s="199">
      <c r="A35" s="173" t="n">
        <v>19</v>
      </c>
      <c r="B35" s="155" t="n"/>
      <c r="C35" s="137" t="inlineStr">
        <is>
          <t>20.5.02.02-0001</t>
        </is>
      </c>
      <c r="D35" s="256" t="inlineStr">
        <is>
          <t>Коробка клеммная взрывозащищенная SA141410(1C10-1N-1PE- 1C2-1N-1PE-1FL3(C)-1FL2(C) 2Exel IT6, IP66</t>
        </is>
      </c>
      <c r="E35" s="257" t="inlineStr">
        <is>
          <t>шт</t>
        </is>
      </c>
      <c r="F35" s="137" t="n">
        <v>1</v>
      </c>
      <c r="G35" s="274" t="n">
        <v>2639.24</v>
      </c>
      <c r="H35" s="32">
        <f>ROUND(F35*G35,2)</f>
        <v/>
      </c>
    </row>
    <row r="36" ht="25.5" customHeight="1" s="199">
      <c r="A36" s="173" t="n">
        <v>20</v>
      </c>
      <c r="B36" s="155" t="n"/>
      <c r="C36" s="137" t="inlineStr">
        <is>
          <t>10.3.02.03-0011</t>
        </is>
      </c>
      <c r="D36" s="256" t="inlineStr">
        <is>
          <t>Припои оловянно-свинцовые бессурьмянистые, марка ПОС30</t>
        </is>
      </c>
      <c r="E36" s="257" t="inlineStr">
        <is>
          <t>т</t>
        </is>
      </c>
      <c r="F36" s="137" t="n">
        <v>0.0145</v>
      </c>
      <c r="G36" s="274" t="n">
        <v>68050</v>
      </c>
      <c r="H36" s="32">
        <f>ROUND(F36*G36,2)</f>
        <v/>
      </c>
    </row>
    <row r="37">
      <c r="A37" s="173" t="n">
        <v>21</v>
      </c>
      <c r="B37" s="155" t="n"/>
      <c r="C37" s="137" t="inlineStr">
        <is>
          <t>14.4.02.09-0001</t>
        </is>
      </c>
      <c r="D37" s="256" t="inlineStr">
        <is>
          <t>Краска</t>
        </is>
      </c>
      <c r="E37" s="257" t="inlineStr">
        <is>
          <t>кг</t>
        </is>
      </c>
      <c r="F37" s="137" t="n">
        <v>26.174</v>
      </c>
      <c r="G37" s="274" t="n">
        <v>28.6</v>
      </c>
      <c r="H37" s="32">
        <f>ROUND(F37*G37,2)</f>
        <v/>
      </c>
    </row>
    <row r="38" ht="38.25" customHeight="1" s="199">
      <c r="A38" s="173" t="n">
        <v>22</v>
      </c>
      <c r="B38" s="155" t="n"/>
      <c r="C38" s="137" t="inlineStr">
        <is>
          <t>08.1.02.13-0005</t>
        </is>
      </c>
      <c r="D38" s="256" t="inlineStr">
        <is>
          <t>Рукава металлические из стальной оцинкованной ленты, негерметичные, простого профиля, РЗ-ЦХ, условный диаметр 15 мм</t>
        </is>
      </c>
      <c r="E38" s="257" t="inlineStr">
        <is>
          <t>м</t>
        </is>
      </c>
      <c r="F38" s="137" t="n">
        <v>90</v>
      </c>
      <c r="G38" s="274" t="n">
        <v>8.279999999999999</v>
      </c>
      <c r="H38" s="32">
        <f>ROUND(F38*G38,2)</f>
        <v/>
      </c>
    </row>
    <row r="39">
      <c r="A39" s="173" t="n">
        <v>23</v>
      </c>
      <c r="B39" s="155" t="n"/>
      <c r="C39" s="137" t="inlineStr">
        <is>
          <t>18.5.08.09-0001</t>
        </is>
      </c>
      <c r="D39" s="256" t="inlineStr">
        <is>
          <t>Патрубки</t>
        </is>
      </c>
      <c r="E39" s="257" t="inlineStr">
        <is>
          <t>10 шт</t>
        </is>
      </c>
      <c r="F39" s="137" t="n">
        <v>0.9</v>
      </c>
      <c r="G39" s="274" t="n">
        <v>277.5</v>
      </c>
      <c r="H39" s="32">
        <f>ROUND(F39*G39,2)</f>
        <v/>
      </c>
    </row>
    <row r="40">
      <c r="A40" s="173" t="n">
        <v>24</v>
      </c>
      <c r="B40" s="155" t="n"/>
      <c r="C40" s="137" t="inlineStr">
        <is>
          <t>14.4.02.09-0301</t>
        </is>
      </c>
      <c r="D40" s="256" t="inlineStr">
        <is>
          <t>Композиция антикоррозионная цинкнаполненная</t>
        </is>
      </c>
      <c r="E40" s="257" t="inlineStr">
        <is>
          <t>кг</t>
        </is>
      </c>
      <c r="F40" s="137" t="n">
        <v>1</v>
      </c>
      <c r="G40" s="274" t="n">
        <v>238.48</v>
      </c>
      <c r="H40" s="32">
        <f>ROUND(F40*G40,2)</f>
        <v/>
      </c>
    </row>
    <row r="41" ht="25.5" customHeight="1" s="199">
      <c r="A41" s="173" t="n">
        <v>25</v>
      </c>
      <c r="B41" s="155" t="n"/>
      <c r="C41" s="137" t="inlineStr">
        <is>
          <t>08.3.07.01-0076</t>
        </is>
      </c>
      <c r="D41" s="256" t="inlineStr">
        <is>
          <t>Прокат полосовой, горячекатаный, марка стали Ст3сп, ширина 50-200 мм, толщина 4-5 мм</t>
        </is>
      </c>
      <c r="E41" s="257" t="inlineStr">
        <is>
          <t>т</t>
        </is>
      </c>
      <c r="F41" s="137" t="n">
        <v>0.04763</v>
      </c>
      <c r="G41" s="274" t="n">
        <v>5000</v>
      </c>
      <c r="H41" s="32">
        <f>ROUND(F41*G41,2)</f>
        <v/>
      </c>
    </row>
    <row r="42">
      <c r="A42" s="173" t="n">
        <v>26</v>
      </c>
      <c r="B42" s="155" t="n"/>
      <c r="C42" s="137" t="inlineStr">
        <is>
          <t>01.7.06.07-0002</t>
        </is>
      </c>
      <c r="D42" s="256" t="inlineStr">
        <is>
          <t>Лента монтажная, тип ЛМ-5</t>
        </is>
      </c>
      <c r="E42" s="257" t="inlineStr">
        <is>
          <t>10 м</t>
        </is>
      </c>
      <c r="F42" s="137" t="n">
        <v>19.035</v>
      </c>
      <c r="G42" s="274" t="n">
        <v>6.9</v>
      </c>
      <c r="H42" s="32">
        <f>ROUND(F42*G42,2)</f>
        <v/>
      </c>
    </row>
    <row r="43">
      <c r="A43" s="173" t="n">
        <v>27</v>
      </c>
      <c r="B43" s="155" t="n"/>
      <c r="C43" s="137" t="inlineStr">
        <is>
          <t>20.1.02.06-0001</t>
        </is>
      </c>
      <c r="D43" s="256" t="inlineStr">
        <is>
          <t>Жир паяльный</t>
        </is>
      </c>
      <c r="E43" s="257" t="inlineStr">
        <is>
          <t>кг</t>
        </is>
      </c>
      <c r="F43" s="137" t="n">
        <v>1.04</v>
      </c>
      <c r="G43" s="274" t="n">
        <v>100.8</v>
      </c>
      <c r="H43" s="32">
        <f>ROUND(F43*G43,2)</f>
        <v/>
      </c>
    </row>
    <row r="44" customFormat="1" s="156">
      <c r="A44" s="173" t="n">
        <v>28</v>
      </c>
      <c r="B44" s="155" t="n"/>
      <c r="C44" s="137" t="inlineStr">
        <is>
          <t>14.4.03.03-0002</t>
        </is>
      </c>
      <c r="D44" s="256" t="inlineStr">
        <is>
          <t>Лак битумный БТ-123</t>
        </is>
      </c>
      <c r="E44" s="257" t="inlineStr">
        <is>
          <t>т</t>
        </is>
      </c>
      <c r="F44" s="137" t="n">
        <v>0.01176</v>
      </c>
      <c r="G44" s="274" t="n">
        <v>7826.9</v>
      </c>
      <c r="H44" s="32">
        <f>ROUND(F44*G44,2)</f>
        <v/>
      </c>
    </row>
    <row r="45">
      <c r="A45" s="173" t="n">
        <v>29</v>
      </c>
      <c r="B45" s="155" t="n"/>
      <c r="C45" s="137" t="inlineStr">
        <is>
          <t>25.2.01.01-0017</t>
        </is>
      </c>
      <c r="D45" s="256" t="inlineStr">
        <is>
          <t>Бирки маркировочные пластмассовые</t>
        </is>
      </c>
      <c r="E45" s="257" t="inlineStr">
        <is>
          <t>100 шт</t>
        </is>
      </c>
      <c r="F45" s="137" t="n">
        <v>2.4</v>
      </c>
      <c r="G45" s="274" t="n">
        <v>30.74</v>
      </c>
      <c r="H45" s="32">
        <f>ROUND(F45*G45,2)</f>
        <v/>
      </c>
    </row>
    <row r="46" ht="25.5" customHeight="1" s="199">
      <c r="A46" s="173" t="n">
        <v>30</v>
      </c>
      <c r="B46" s="155" t="n"/>
      <c r="C46" s="137" t="inlineStr">
        <is>
          <t>999-9950</t>
        </is>
      </c>
      <c r="D46" s="256" t="inlineStr">
        <is>
          <t>Вспомогательные ненормируемые ресурсы (2% от Оплаты труда рабочих)</t>
        </is>
      </c>
      <c r="E46" s="257" t="inlineStr">
        <is>
          <t>руб</t>
        </is>
      </c>
      <c r="F46" s="137" t="n">
        <v>70.99698840000001</v>
      </c>
      <c r="G46" s="274" t="n">
        <v>1</v>
      </c>
      <c r="H46" s="32">
        <f>ROUND(F46*G46,2)</f>
        <v/>
      </c>
    </row>
    <row r="47">
      <c r="A47" s="173" t="n">
        <v>31</v>
      </c>
      <c r="B47" s="155" t="n"/>
      <c r="C47" s="137" t="inlineStr">
        <is>
          <t>01.7.15.03-0042</t>
        </is>
      </c>
      <c r="D47" s="256" t="inlineStr">
        <is>
          <t>Болты с гайками и шайбами строительные</t>
        </is>
      </c>
      <c r="E47" s="257" t="inlineStr">
        <is>
          <t>кг</t>
        </is>
      </c>
      <c r="F47" s="137" t="n">
        <v>4.06264</v>
      </c>
      <c r="G47" s="274" t="n">
        <v>9.039999999999999</v>
      </c>
      <c r="H47" s="32">
        <f>ROUND(F47*G47,2)</f>
        <v/>
      </c>
    </row>
    <row r="48">
      <c r="A48" s="173" t="n">
        <v>32</v>
      </c>
      <c r="B48" s="155" t="n"/>
      <c r="C48" s="137" t="inlineStr">
        <is>
          <t>20.1.02.23-0082</t>
        </is>
      </c>
      <c r="D48" s="256" t="inlineStr">
        <is>
          <t>Перемычки гибкие, тип ПГС-50</t>
        </is>
      </c>
      <c r="E48" s="257" t="inlineStr">
        <is>
          <t>10 шт</t>
        </is>
      </c>
      <c r="F48" s="137" t="n">
        <v>0.87</v>
      </c>
      <c r="G48" s="274" t="n">
        <v>39</v>
      </c>
      <c r="H48" s="32">
        <f>ROUND(F48*G48,2)</f>
        <v/>
      </c>
    </row>
    <row r="49">
      <c r="A49" s="173" t="n">
        <v>33</v>
      </c>
      <c r="B49" s="155" t="n"/>
      <c r="C49" s="137" t="inlineStr">
        <is>
          <t>01.7.15.04-0011</t>
        </is>
      </c>
      <c r="D49" s="256" t="inlineStr">
        <is>
          <t>Винты с полукруглой головкой, длина 50 мм</t>
        </is>
      </c>
      <c r="E49" s="257" t="inlineStr">
        <is>
          <t>т</t>
        </is>
      </c>
      <c r="F49" s="137" t="n">
        <v>0.001962</v>
      </c>
      <c r="G49" s="274" t="n">
        <v>12430</v>
      </c>
      <c r="H49" s="32">
        <f>ROUND(F49*G49,2)</f>
        <v/>
      </c>
    </row>
    <row r="50" ht="25.5" customHeight="1" s="199">
      <c r="A50" s="173" t="n">
        <v>34</v>
      </c>
      <c r="B50" s="155" t="n"/>
      <c r="C50" s="137" t="inlineStr">
        <is>
          <t>10.3.02.03-0013</t>
        </is>
      </c>
      <c r="D50" s="256" t="inlineStr">
        <is>
          <t>Припои оловянно-свинцовые бессурьмянистые, марка ПОС61</t>
        </is>
      </c>
      <c r="E50" s="257" t="inlineStr">
        <is>
          <t>т</t>
        </is>
      </c>
      <c r="F50" s="137" t="n">
        <v>0.000192</v>
      </c>
      <c r="G50" s="274" t="n">
        <v>114220</v>
      </c>
      <c r="H50" s="32">
        <f>ROUND(F50*G50,2)</f>
        <v/>
      </c>
    </row>
    <row r="51">
      <c r="A51" s="173" t="n">
        <v>35</v>
      </c>
      <c r="B51" s="155" t="n"/>
      <c r="C51" s="137" t="inlineStr">
        <is>
          <t>01.7.11.07-0034</t>
        </is>
      </c>
      <c r="D51" s="256" t="inlineStr">
        <is>
          <t>Электроды сварочные Э42А, диаметр 4 мм</t>
        </is>
      </c>
      <c r="E51" s="257" t="inlineStr">
        <is>
          <t>кг</t>
        </is>
      </c>
      <c r="F51" s="137" t="n">
        <v>1.946896</v>
      </c>
      <c r="G51" s="274" t="n">
        <v>10.57</v>
      </c>
      <c r="H51" s="32">
        <f>ROUND(F51*G51,2)</f>
        <v/>
      </c>
    </row>
    <row r="52">
      <c r="A52" s="173" t="n">
        <v>36</v>
      </c>
      <c r="B52" s="155" t="n"/>
      <c r="C52" s="137" t="inlineStr">
        <is>
          <t>01.7.15.14-0165</t>
        </is>
      </c>
      <c r="D52" s="256" t="inlineStr">
        <is>
          <t>Шурупы с полукруглой головкой 4х40 мм</t>
        </is>
      </c>
      <c r="E52" s="257" t="inlineStr">
        <is>
          <t>т</t>
        </is>
      </c>
      <c r="F52" s="137" t="n">
        <v>0.00165</v>
      </c>
      <c r="G52" s="274" t="n">
        <v>12430</v>
      </c>
      <c r="H52" s="32">
        <f>ROUND(F52*G52,2)</f>
        <v/>
      </c>
    </row>
    <row r="53" ht="38.25" customHeight="1" s="199">
      <c r="A53" s="173" t="n">
        <v>37</v>
      </c>
      <c r="B53" s="155" t="n"/>
      <c r="C53" s="137" t="inlineStr">
        <is>
          <t>20.2.04.04-0001</t>
        </is>
      </c>
      <c r="D53" s="256" t="inlineStr">
        <is>
          <t>Короб кабельный прямой из оцинкованный стали толщиной 1,5 мм, размер 2000х150х100 мм, 1-канальный</t>
        </is>
      </c>
      <c r="E53" s="257" t="inlineStr">
        <is>
          <t>шт</t>
        </is>
      </c>
      <c r="F53" s="137" t="n">
        <v>0.11</v>
      </c>
      <c r="G53" s="274" t="n">
        <v>157.3</v>
      </c>
      <c r="H53" s="32">
        <f>ROUND(F53*G53,2)</f>
        <v/>
      </c>
    </row>
    <row r="54" ht="25.5" customHeight="1" s="199">
      <c r="A54" s="173" t="n">
        <v>38</v>
      </c>
      <c r="B54" s="155" t="n"/>
      <c r="C54" s="137" t="inlineStr">
        <is>
          <t>01.7.06.05-0041</t>
        </is>
      </c>
      <c r="D54" s="256" t="inlineStr">
        <is>
          <t>Лента изоляционная прорезиненная односторонняя, ширина 20 мм, толщина 0,25-0,35 мм</t>
        </is>
      </c>
      <c r="E54" s="257" t="inlineStr">
        <is>
          <t>кг</t>
        </is>
      </c>
      <c r="F54" s="137" t="n">
        <v>0.5600000000000001</v>
      </c>
      <c r="G54" s="274" t="n">
        <v>30.4</v>
      </c>
      <c r="H54" s="32">
        <f>ROUND(F54*G54,2)</f>
        <v/>
      </c>
    </row>
    <row r="55">
      <c r="A55" s="173" t="n">
        <v>39</v>
      </c>
      <c r="B55" s="155" t="n"/>
      <c r="C55" s="137" t="inlineStr">
        <is>
          <t>08.3.07.01-0037</t>
        </is>
      </c>
      <c r="D55" s="256" t="inlineStr">
        <is>
          <t>Сталь полосовая: 30х4 мм, марка Ст3сп</t>
        </is>
      </c>
      <c r="E55" s="257" t="inlineStr">
        <is>
          <t>т</t>
        </is>
      </c>
      <c r="F55" s="137" t="n">
        <v>0.002</v>
      </c>
      <c r="G55" s="274" t="n">
        <v>6674.64</v>
      </c>
      <c r="H55" s="32">
        <f>ROUND(F55*G55,2)</f>
        <v/>
      </c>
    </row>
    <row r="56">
      <c r="A56" s="173" t="n">
        <v>40</v>
      </c>
      <c r="B56" s="155" t="n"/>
      <c r="C56" s="137" t="inlineStr">
        <is>
          <t>25.2.01.01-0001</t>
        </is>
      </c>
      <c r="D56" s="256" t="inlineStr">
        <is>
          <t>Бирки-оконцеватели</t>
        </is>
      </c>
      <c r="E56" s="257" t="inlineStr">
        <is>
          <t>100 шт</t>
        </is>
      </c>
      <c r="F56" s="137" t="n">
        <v>0.2</v>
      </c>
      <c r="G56" s="274" t="n">
        <v>63</v>
      </c>
      <c r="H56" s="32">
        <f>ROUND(F56*G56,2)</f>
        <v/>
      </c>
    </row>
    <row r="57" ht="25.5" customFormat="1" customHeight="1" s="156">
      <c r="A57" s="173" t="n">
        <v>41</v>
      </c>
      <c r="B57" s="155" t="n"/>
      <c r="C57" s="137" t="inlineStr">
        <is>
          <t>08.3.05.02-0101</t>
        </is>
      </c>
      <c r="D57" s="256" t="inlineStr">
        <is>
          <t>Прокат толстолистовой горячекатаный в листах, марка стали ВСт3пс5, толщина 4-6 мм</t>
        </is>
      </c>
      <c r="E57" s="257" t="inlineStr">
        <is>
          <t>т</t>
        </is>
      </c>
      <c r="F57" s="137" t="n">
        <v>0.002</v>
      </c>
      <c r="G57" s="274" t="n">
        <v>5763</v>
      </c>
      <c r="H57" s="32">
        <f>ROUND(F57*G57,2)</f>
        <v/>
      </c>
    </row>
    <row r="58">
      <c r="A58" s="173" t="n">
        <v>42</v>
      </c>
      <c r="B58" s="155" t="n"/>
      <c r="C58" s="137" t="inlineStr">
        <is>
          <t>01.3.01.05-0009</t>
        </is>
      </c>
      <c r="D58" s="256" t="inlineStr">
        <is>
          <t>Парафин нефтяной твердый Т-1</t>
        </is>
      </c>
      <c r="E58" s="257" t="inlineStr">
        <is>
          <t>т</t>
        </is>
      </c>
      <c r="F58" s="137" t="n">
        <v>0.00052</v>
      </c>
      <c r="G58" s="274" t="n">
        <v>8105.71</v>
      </c>
      <c r="H58" s="32">
        <f>ROUND(F58*G58,2)</f>
        <v/>
      </c>
    </row>
    <row r="59">
      <c r="A59" s="173" t="n">
        <v>43</v>
      </c>
      <c r="B59" s="155" t="n"/>
      <c r="C59" s="137" t="inlineStr">
        <is>
          <t>24.3.01.01-0002</t>
        </is>
      </c>
      <c r="D59" s="256" t="inlineStr">
        <is>
          <t>Трубка полихлорвиниловая</t>
        </is>
      </c>
      <c r="E59" s="257" t="inlineStr">
        <is>
          <t>кг</t>
        </is>
      </c>
      <c r="F59" s="137" t="n">
        <v>0.096</v>
      </c>
      <c r="G59" s="274" t="n">
        <v>35.7</v>
      </c>
      <c r="H59" s="32">
        <f>ROUND(F59*G59,2)</f>
        <v/>
      </c>
    </row>
    <row r="60">
      <c r="A60" s="173" t="n">
        <v>44</v>
      </c>
      <c r="B60" s="155" t="n"/>
      <c r="C60" s="137" t="inlineStr">
        <is>
          <t>01.3.01.07-0009</t>
        </is>
      </c>
      <c r="D60" s="256" t="inlineStr">
        <is>
          <t>Спирт этиловый ректификованный технический, сорт I</t>
        </is>
      </c>
      <c r="E60" s="257" t="inlineStr">
        <is>
          <t>кг</t>
        </is>
      </c>
      <c r="F60" s="137" t="n">
        <v>0.0696</v>
      </c>
      <c r="G60" s="274" t="n">
        <v>38.89</v>
      </c>
      <c r="H60" s="32">
        <f>ROUND(F60*G60,2)</f>
        <v/>
      </c>
    </row>
    <row r="61">
      <c r="A61" s="173" t="n">
        <v>45</v>
      </c>
      <c r="B61" s="155" t="n"/>
      <c r="C61" s="137" t="inlineStr">
        <is>
          <t>20.2.02.01-0019</t>
        </is>
      </c>
      <c r="D61" s="256" t="inlineStr">
        <is>
          <t>Втулки изолирующие</t>
        </is>
      </c>
      <c r="E61" s="257" t="inlineStr">
        <is>
          <t>1000 шт</t>
        </is>
      </c>
      <c r="F61" s="137" t="n">
        <v>0.008999999999999999</v>
      </c>
      <c r="G61" s="274" t="n">
        <v>270</v>
      </c>
      <c r="H61" s="32">
        <f>ROUND(F61*G61,2)</f>
        <v/>
      </c>
    </row>
    <row r="62">
      <c r="A62" s="173" t="n">
        <v>46</v>
      </c>
      <c r="B62" s="155" t="n"/>
      <c r="C62" s="137" t="inlineStr">
        <is>
          <t>01.7.15.07-0014</t>
        </is>
      </c>
      <c r="D62" s="256" t="inlineStr">
        <is>
          <t>Дюбели распорные полипропиленовые</t>
        </is>
      </c>
      <c r="E62" s="257" t="inlineStr">
        <is>
          <t>100 шт</t>
        </is>
      </c>
      <c r="F62" s="137" t="n">
        <v>0.01488</v>
      </c>
      <c r="G62" s="274" t="n">
        <v>86</v>
      </c>
      <c r="H62" s="32">
        <f>ROUND(F62*G62,2)</f>
        <v/>
      </c>
    </row>
    <row r="63">
      <c r="A63" s="173" t="n">
        <v>47</v>
      </c>
      <c r="B63" s="155" t="n"/>
      <c r="C63" s="137" t="inlineStr">
        <is>
          <t>01.3.05.17-0002</t>
        </is>
      </c>
      <c r="D63" s="256" t="inlineStr">
        <is>
          <t>Канифоль сосновая</t>
        </is>
      </c>
      <c r="E63" s="257" t="inlineStr">
        <is>
          <t>кг</t>
        </is>
      </c>
      <c r="F63" s="137" t="n">
        <v>0.0456</v>
      </c>
      <c r="G63" s="274" t="n">
        <v>27.74</v>
      </c>
      <c r="H63" s="32">
        <f>ROUND(F63*G63,2)</f>
        <v/>
      </c>
    </row>
    <row r="64">
      <c r="A64" s="173" t="n">
        <v>48</v>
      </c>
      <c r="B64" s="155" t="n"/>
      <c r="C64" s="137" t="inlineStr">
        <is>
          <t>01.3.01.02-0002</t>
        </is>
      </c>
      <c r="D64" s="256" t="inlineStr">
        <is>
          <t>Вазелин технический</t>
        </is>
      </c>
      <c r="E64" s="257" t="inlineStr">
        <is>
          <t>кг</t>
        </is>
      </c>
      <c r="F64" s="137" t="n">
        <v>0.02</v>
      </c>
      <c r="G64" s="274" t="n">
        <v>44.97</v>
      </c>
      <c r="H64" s="32">
        <f>ROUND(F64*G64,2)</f>
        <v/>
      </c>
    </row>
    <row r="65">
      <c r="A65" s="173" t="n">
        <v>49</v>
      </c>
      <c r="B65" s="155" t="n"/>
      <c r="C65" s="137" t="inlineStr">
        <is>
          <t>14.4.03.17-0011</t>
        </is>
      </c>
      <c r="D65" s="256" t="inlineStr">
        <is>
          <t>Лак электроизоляционный 318</t>
        </is>
      </c>
      <c r="E65" s="257" t="inlineStr">
        <is>
          <t>кг</t>
        </is>
      </c>
      <c r="F65" s="137" t="n">
        <v>0.02</v>
      </c>
      <c r="G65" s="274" t="n">
        <v>35.63</v>
      </c>
      <c r="H65" s="32">
        <f>ROUND(F65*G65,2)</f>
        <v/>
      </c>
    </row>
    <row r="66">
      <c r="A66" s="173" t="n">
        <v>50</v>
      </c>
      <c r="B66" s="155" t="n"/>
      <c r="C66" s="137" t="inlineStr">
        <is>
          <t>01.7.20.04-0005</t>
        </is>
      </c>
      <c r="D66" s="256" t="inlineStr">
        <is>
          <t>Нитки швейные</t>
        </is>
      </c>
      <c r="E66" s="257" t="inlineStr">
        <is>
          <t>кг</t>
        </is>
      </c>
      <c r="F66" s="137" t="n">
        <v>0.002</v>
      </c>
      <c r="G66" s="274" t="n">
        <v>133.05</v>
      </c>
      <c r="H66" s="32">
        <f>ROUND(F66*G66,2)</f>
        <v/>
      </c>
    </row>
    <row r="67">
      <c r="A67" s="173" t="n">
        <v>51</v>
      </c>
      <c r="B67" s="155" t="n"/>
      <c r="C67" s="137" t="inlineStr">
        <is>
          <t>01.3.05.11-0001</t>
        </is>
      </c>
      <c r="D67" s="256" t="inlineStr">
        <is>
          <t>Дихлорэтан технический, сорт I</t>
        </is>
      </c>
      <c r="E67" s="257" t="inlineStr">
        <is>
          <t>т</t>
        </is>
      </c>
      <c r="F67" s="137" t="n">
        <v>4.8e-05</v>
      </c>
      <c r="G67" s="274" t="n">
        <v>4934.48</v>
      </c>
      <c r="H67" s="32">
        <f>ROUND(F67*G67,2)</f>
        <v/>
      </c>
    </row>
    <row r="68">
      <c r="A68" s="173" t="n">
        <v>52</v>
      </c>
      <c r="B68" s="155" t="n"/>
      <c r="C68" s="137" t="inlineStr">
        <is>
          <t>20.2.08.07-0033</t>
        </is>
      </c>
      <c r="D68" s="256" t="inlineStr">
        <is>
          <t>Скоба У1078</t>
        </is>
      </c>
      <c r="E68" s="257" t="inlineStr">
        <is>
          <t>100 шт</t>
        </is>
      </c>
      <c r="F68" s="137" t="n">
        <v>0.000242</v>
      </c>
      <c r="G68" s="274" t="n">
        <v>617</v>
      </c>
      <c r="H68" s="32">
        <f>ROUND(F68*G68,2)</f>
        <v/>
      </c>
    </row>
    <row r="69">
      <c r="A69" s="173" t="n">
        <v>53</v>
      </c>
      <c r="B69" s="155" t="n"/>
      <c r="C69" s="137" t="inlineStr">
        <is>
          <t>01.7.02.09-0002</t>
        </is>
      </c>
      <c r="D69" s="256" t="inlineStr">
        <is>
          <t>Шпагат бумажный</t>
        </is>
      </c>
      <c r="E69" s="257" t="inlineStr">
        <is>
          <t>кг</t>
        </is>
      </c>
      <c r="F69" s="137" t="n">
        <v>0.004</v>
      </c>
      <c r="G69" s="274" t="n">
        <v>11.5</v>
      </c>
      <c r="H69" s="32">
        <f>ROUND(F69*G69,2)</f>
        <v/>
      </c>
    </row>
    <row r="70">
      <c r="A70" s="173" t="n">
        <v>54</v>
      </c>
      <c r="B70" s="155" t="n"/>
      <c r="C70" s="137" t="inlineStr">
        <is>
          <t>01.7.15.07-0031</t>
        </is>
      </c>
      <c r="D70" s="256" t="inlineStr">
        <is>
          <t>Дюбели распорные с гайкой</t>
        </is>
      </c>
      <c r="E70" s="257" t="inlineStr">
        <is>
          <t>100 шт</t>
        </is>
      </c>
      <c r="F70" s="137" t="n">
        <v>0.000352</v>
      </c>
      <c r="G70" s="274" t="n">
        <v>110</v>
      </c>
      <c r="H70" s="32">
        <f>ROUND(F70*G70,2)</f>
        <v/>
      </c>
    </row>
    <row r="71" ht="25.5" customHeight="1" s="199">
      <c r="A71" s="173" t="n">
        <v>55</v>
      </c>
      <c r="B71" s="155" t="n"/>
      <c r="C71" s="137" t="inlineStr">
        <is>
          <t>03.2.01.01-0003</t>
        </is>
      </c>
      <c r="D71" s="256" t="inlineStr">
        <is>
          <t>Портландцемент общестроительного назначения бездобавочный М500 Д0 (ЦЕМ I 42,5Н)</t>
        </is>
      </c>
      <c r="E71" s="257" t="inlineStr">
        <is>
          <t>т</t>
        </is>
      </c>
      <c r="F71" s="137" t="n">
        <v>7.92e-05</v>
      </c>
      <c r="G71" s="274" t="n">
        <v>480</v>
      </c>
      <c r="H71" s="32">
        <f>ROUND(F71*G71,2)</f>
        <v/>
      </c>
    </row>
    <row r="74">
      <c r="B74" s="201" t="inlineStr">
        <is>
          <t>Составил ______________________     А.Р. Маркова</t>
        </is>
      </c>
    </row>
    <row r="75">
      <c r="B75" s="145" t="inlineStr">
        <is>
          <t xml:space="preserve">                         (подпись, инициалы, фамилия)</t>
        </is>
      </c>
    </row>
    <row r="77">
      <c r="B77" s="201" t="inlineStr">
        <is>
          <t>Проверил ______________________        А.В. Костянецкая</t>
        </is>
      </c>
    </row>
    <row r="78">
      <c r="B78" s="145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12:E12"/>
    <mergeCell ref="D9:D10"/>
    <mergeCell ref="E9:E10"/>
    <mergeCell ref="A3:H3"/>
    <mergeCell ref="F9:F10"/>
    <mergeCell ref="A7:H7"/>
    <mergeCell ref="A9:A10"/>
    <mergeCell ref="C5:H5"/>
    <mergeCell ref="A28:E28"/>
    <mergeCell ref="A2:H2"/>
    <mergeCell ref="A19:E19"/>
    <mergeCell ref="G9:H9"/>
    <mergeCell ref="A17:E17"/>
  </mergeCells>
  <conditionalFormatting sqref="C20:C27">
    <cfRule type="duplicateValues" priority="1" dxfId="0"/>
  </conditionalFormatting>
  <conditionalFormatting sqref="C31:C71">
    <cfRule type="duplicateValues" priority="2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ColWidth="9.140625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11.42578125" customWidth="1" style="199" min="6" max="6"/>
    <col width="14.42578125" customWidth="1" style="199" min="7" max="7"/>
    <col width="13.5703125" customWidth="1" style="199" min="12" max="12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70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2" t="inlineStr">
        <is>
          <t>Ресурсная модель</t>
        </is>
      </c>
    </row>
    <row r="6">
      <c r="B6" s="163" t="n"/>
      <c r="C6" s="186" t="n"/>
      <c r="D6" s="186" t="n"/>
      <c r="E6" s="186" t="n"/>
    </row>
    <row r="7" ht="25.5" customHeight="1" s="199">
      <c r="B7" s="231" t="inlineStr">
        <is>
          <t>Наименование разрабатываемого показателя УНЦ — РЗА УШР</t>
        </is>
      </c>
    </row>
    <row r="8">
      <c r="B8" s="250" t="inlineStr">
        <is>
          <t>Единица измерения  — 1 система</t>
        </is>
      </c>
    </row>
    <row r="9">
      <c r="B9" s="163" t="n"/>
      <c r="C9" s="186" t="n"/>
      <c r="D9" s="186" t="n"/>
      <c r="E9" s="186" t="n"/>
    </row>
    <row r="10" ht="51" customHeight="1" s="199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91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91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91">
        <f>'Прил.5 Расчет СМР и ОБ'!J28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9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91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91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91">
        <f>'Прил.5 Расчет СМР и ОБ'!J81</f>
        <v/>
      </c>
      <c r="D17" s="27">
        <f>C17/$C$24</f>
        <v/>
      </c>
      <c r="E17" s="27">
        <f>C17/$C$40</f>
        <v/>
      </c>
      <c r="G17" s="339" t="n"/>
    </row>
    <row r="18">
      <c r="B18" s="25" t="inlineStr">
        <is>
          <t>МАТЕРИАЛЫ, ВСЕГО:</t>
        </is>
      </c>
      <c r="C18" s="19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9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9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ОБ'!D85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9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ОБ'!D84</f>
        <v/>
      </c>
      <c r="D23" s="27" t="n"/>
      <c r="E23" s="25" t="n"/>
    </row>
    <row r="24">
      <c r="B24" s="25" t="inlineStr">
        <is>
          <t>ВСЕГО СМР с НР и СП</t>
        </is>
      </c>
      <c r="C24" s="191">
        <f>C19+C20+C22</f>
        <v/>
      </c>
      <c r="D24" s="27">
        <f>C24/$C$24</f>
        <v/>
      </c>
      <c r="E24" s="27">
        <f>C24/$C$40</f>
        <v/>
      </c>
    </row>
    <row r="25" ht="25.5" customHeight="1" s="199">
      <c r="B25" s="25" t="inlineStr">
        <is>
          <t>ВСЕГО стоимость оборудования, в том числе</t>
        </is>
      </c>
      <c r="C25" s="191">
        <f>'Прил.5 Расчет СМР и ОБ'!J35</f>
        <v/>
      </c>
      <c r="D25" s="27" t="n"/>
      <c r="E25" s="27">
        <f>C25/$C$40</f>
        <v/>
      </c>
    </row>
    <row r="26" ht="25.5" customHeight="1" s="199">
      <c r="B26" s="25" t="inlineStr">
        <is>
          <t>стоимость оборудования технологического</t>
        </is>
      </c>
      <c r="C26" s="191">
        <f>'Прил.5 Расчет СМР и ОБ'!J36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198">
        <f>C24+C25</f>
        <v/>
      </c>
      <c r="D27" s="27" t="n"/>
      <c r="E27" s="27">
        <f>C27/$C$40</f>
        <v/>
      </c>
    </row>
    <row r="28" ht="33" customHeight="1" s="199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1" t="n"/>
    </row>
    <row r="29" ht="25.5" customHeight="1" s="199">
      <c r="B29" s="25" t="inlineStr">
        <is>
          <t>Временные здания и сооружения - 3,9%</t>
        </is>
      </c>
      <c r="C29" s="198">
        <f>ROUND(C24*3.9%,2)</f>
        <v/>
      </c>
      <c r="D29" s="25" t="n"/>
      <c r="E29" s="27">
        <f>C29/$C$40</f>
        <v/>
      </c>
    </row>
    <row r="30" ht="38.25" customHeight="1" s="199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198">
        <f>ROUND((C24+C29)*2.1%,2)</f>
        <v/>
      </c>
      <c r="D30" s="25" t="n"/>
      <c r="E30" s="27">
        <f>C30/$C$40</f>
        <v/>
      </c>
      <c r="F30" s="161" t="n"/>
    </row>
    <row r="31">
      <c r="B31" s="25" t="inlineStr">
        <is>
          <t>Пусконаладочные работы</t>
        </is>
      </c>
      <c r="C31" s="198" t="n">
        <v>105140</v>
      </c>
      <c r="D31" s="25" t="n"/>
      <c r="E31" s="27">
        <f>C31/$C$40</f>
        <v/>
      </c>
    </row>
    <row r="32" ht="25.5" customHeight="1" s="199">
      <c r="B32" s="25" t="inlineStr">
        <is>
          <t>Затраты по перевозке работников к месту работы и обратно</t>
        </is>
      </c>
      <c r="C32" s="198">
        <f>ROUND(C27*0%,2)</f>
        <v/>
      </c>
      <c r="D32" s="25" t="n"/>
      <c r="E32" s="27">
        <f>C32/$C$40</f>
        <v/>
      </c>
    </row>
    <row r="33" ht="25.5" customHeight="1" s="199">
      <c r="B33" s="25" t="inlineStr">
        <is>
          <t>Затраты, связанные с осуществлением работ вахтовым методом</t>
        </is>
      </c>
      <c r="C33" s="198">
        <f>ROUND(C28*0%,2)</f>
        <v/>
      </c>
      <c r="D33" s="25" t="n"/>
      <c r="E33" s="27">
        <f>C33/$C$40</f>
        <v/>
      </c>
    </row>
    <row r="34" ht="51" customHeight="1" s="199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8">
        <f>ROUND(C29*0%,2)</f>
        <v/>
      </c>
      <c r="D34" s="25" t="n"/>
      <c r="E34" s="27">
        <f>C34/$C$40</f>
        <v/>
      </c>
      <c r="H34" s="164" t="n"/>
    </row>
    <row r="35" ht="76.5" customHeight="1" s="199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8">
        <f>ROUND(C30*0%,2)</f>
        <v/>
      </c>
      <c r="D35" s="25" t="n"/>
      <c r="E35" s="27">
        <f>C35/$C$40</f>
        <v/>
      </c>
    </row>
    <row r="36" ht="25.5" customHeight="1" s="199">
      <c r="B36" s="25" t="inlineStr">
        <is>
          <t>Строительный контроль и содержание службы заказчика - 2,14%</t>
        </is>
      </c>
      <c r="C36" s="198">
        <f>ROUND((C27+C32+C33+C34+C35+C29+C31+C30)*2.14%,2)</f>
        <v/>
      </c>
      <c r="D36" s="25" t="n"/>
      <c r="E36" s="27">
        <f>C36/$C$40</f>
        <v/>
      </c>
      <c r="L36" s="161" t="n"/>
    </row>
    <row r="37">
      <c r="B37" s="25" t="inlineStr">
        <is>
          <t>Авторский надзор - 0,2%</t>
        </is>
      </c>
      <c r="C37" s="198">
        <f>ROUND((C27+C32+C33+C34+C35+C29+C31+C30)*0.2%,2)</f>
        <v/>
      </c>
      <c r="D37" s="25" t="n"/>
      <c r="E37" s="27">
        <f>C37/$C$40</f>
        <v/>
      </c>
      <c r="L37" s="161" t="n"/>
    </row>
    <row r="38" ht="38.25" customHeight="1" s="199">
      <c r="B38" s="25" t="inlineStr">
        <is>
          <t>ИТОГО (СМР+ОБОРУДОВАНИЕ+ПРОЧ. ЗАТР., УЧТЕННЫЕ ПОКАЗАТЕЛЕМ)</t>
        </is>
      </c>
      <c r="C38" s="191">
        <f>C27+C32+C33+C34+C35+C29+C31+C30+C36+C37</f>
        <v/>
      </c>
      <c r="D38" s="25" t="n"/>
      <c r="E38" s="27">
        <f>C38/$C$40</f>
        <v/>
      </c>
    </row>
    <row r="39" ht="13.5" customHeight="1" s="199">
      <c r="B39" s="25" t="inlineStr">
        <is>
          <t>Непредвиденные расходы</t>
        </is>
      </c>
      <c r="C39" s="19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9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91">
        <f>C40/'Прил.5 Расчет СМР и ОБ'!E88</f>
        <v/>
      </c>
      <c r="D41" s="25" t="n"/>
      <c r="E41" s="25" t="n"/>
    </row>
    <row r="42">
      <c r="B42" s="193" t="n"/>
      <c r="C42" s="186" t="n"/>
      <c r="D42" s="186" t="n"/>
      <c r="E42" s="186" t="n"/>
    </row>
    <row r="43">
      <c r="B43" s="193" t="inlineStr">
        <is>
          <t>Составил ____________________________ А.Р. Маркова</t>
        </is>
      </c>
      <c r="C43" s="186" t="n"/>
      <c r="D43" s="186" t="n"/>
      <c r="E43" s="186" t="n"/>
    </row>
    <row r="44">
      <c r="B44" s="193" t="inlineStr">
        <is>
          <t xml:space="preserve">(должность, подпись, инициалы, фамилия) </t>
        </is>
      </c>
      <c r="C44" s="186" t="n"/>
      <c r="D44" s="186" t="n"/>
      <c r="E44" s="186" t="n"/>
    </row>
    <row r="45">
      <c r="B45" s="193" t="n"/>
      <c r="C45" s="186" t="n"/>
      <c r="D45" s="186" t="n"/>
      <c r="E45" s="186" t="n"/>
    </row>
    <row r="46">
      <c r="B46" s="193" t="inlineStr">
        <is>
          <t>Проверил ____________________________ А.В. Костянецкая</t>
        </is>
      </c>
      <c r="C46" s="186" t="n"/>
      <c r="D46" s="186" t="n"/>
      <c r="E46" s="186" t="n"/>
    </row>
    <row r="47">
      <c r="B47" s="250" t="inlineStr">
        <is>
          <t>(должность, подпись, инициалы, фамилия)</t>
        </is>
      </c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94"/>
  <sheetViews>
    <sheetView view="pageBreakPreview" topLeftCell="A34" zoomScale="85" workbookViewId="0">
      <selection activeCell="E91" sqref="E91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0.7109375" customWidth="1" style="196" min="4" max="4"/>
    <col width="12.7109375" customWidth="1" style="196" min="5" max="5"/>
    <col width="1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9.140625" customWidth="1" style="196" min="12" max="12"/>
  </cols>
  <sheetData>
    <row r="1">
      <c r="M1" s="196" t="n"/>
      <c r="N1" s="196" t="n"/>
    </row>
    <row r="2" ht="15.75" customHeight="1" s="199">
      <c r="H2" s="265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86">
      <c r="A4" s="222" t="inlineStr">
        <is>
          <t>Расчет стоимости СМР и оборудования</t>
        </is>
      </c>
    </row>
    <row r="5" ht="12.75" customFormat="1" customHeight="1" s="186">
      <c r="A5" s="222" t="n"/>
      <c r="B5" s="222" t="n"/>
      <c r="C5" s="277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186">
      <c r="A6" s="139" t="inlineStr">
        <is>
          <t>Наименование разрабатываемого показателя УНЦ</t>
        </is>
      </c>
      <c r="B6" s="138" t="n"/>
      <c r="C6" s="138" t="n"/>
      <c r="D6" s="269" t="inlineStr">
        <is>
          <t>РЗА УШР</t>
        </is>
      </c>
    </row>
    <row r="7" ht="12.75" customFormat="1" customHeight="1" s="186">
      <c r="A7" s="225" t="inlineStr">
        <is>
          <t>Единица измерения  — 1 система</t>
        </is>
      </c>
      <c r="I7" s="231" t="n"/>
      <c r="J7" s="231" t="n"/>
    </row>
    <row r="8" ht="13.5" customFormat="1" customHeight="1" s="186">
      <c r="A8" s="225" t="n"/>
    </row>
    <row r="9" ht="27" customHeight="1" s="199">
      <c r="A9" s="257" t="inlineStr">
        <is>
          <t>№ пп.</t>
        </is>
      </c>
      <c r="B9" s="257" t="inlineStr">
        <is>
          <t>Код ресурса</t>
        </is>
      </c>
      <c r="C9" s="257" t="inlineStr">
        <is>
          <t>Наименование</t>
        </is>
      </c>
      <c r="D9" s="257" t="inlineStr">
        <is>
          <t>Ед. изм.</t>
        </is>
      </c>
      <c r="E9" s="257" t="inlineStr">
        <is>
          <t>Кол-во единиц по проектным данным</t>
        </is>
      </c>
      <c r="F9" s="257" t="inlineStr">
        <is>
          <t>Сметная стоимость в ценах на 01.01.2000 (руб.)</t>
        </is>
      </c>
      <c r="G9" s="329" t="n"/>
      <c r="H9" s="257" t="inlineStr">
        <is>
          <t>Удельный вес, %</t>
        </is>
      </c>
      <c r="I9" s="257" t="inlineStr">
        <is>
          <t>Сметная стоимость в ценах на 01.01.2023 (руб.)</t>
        </is>
      </c>
      <c r="J9" s="329" t="n"/>
      <c r="M9" s="196" t="n"/>
      <c r="N9" s="196" t="n"/>
    </row>
    <row r="10" ht="28.5" customHeight="1" s="199">
      <c r="A10" s="331" t="n"/>
      <c r="B10" s="331" t="n"/>
      <c r="C10" s="331" t="n"/>
      <c r="D10" s="331" t="n"/>
      <c r="E10" s="331" t="n"/>
      <c r="F10" s="257" t="inlineStr">
        <is>
          <t>на ед. изм.</t>
        </is>
      </c>
      <c r="G10" s="257" t="inlineStr">
        <is>
          <t>общая</t>
        </is>
      </c>
      <c r="H10" s="331" t="n"/>
      <c r="I10" s="257" t="inlineStr">
        <is>
          <t>на ед. изм.</t>
        </is>
      </c>
      <c r="J10" s="257" t="inlineStr">
        <is>
          <t>общая</t>
        </is>
      </c>
      <c r="M10" s="196" t="n"/>
      <c r="N10" s="196" t="n"/>
    </row>
    <row r="11">
      <c r="A11" s="257" t="n">
        <v>1</v>
      </c>
      <c r="B11" s="257" t="n">
        <v>2</v>
      </c>
      <c r="C11" s="257" t="n">
        <v>3</v>
      </c>
      <c r="D11" s="257" t="n">
        <v>4</v>
      </c>
      <c r="E11" s="257" t="n">
        <v>5</v>
      </c>
      <c r="F11" s="257" t="n">
        <v>6</v>
      </c>
      <c r="G11" s="257" t="n">
        <v>7</v>
      </c>
      <c r="H11" s="257" t="n">
        <v>8</v>
      </c>
      <c r="I11" s="252" t="n">
        <v>9</v>
      </c>
      <c r="J11" s="252" t="n">
        <v>10</v>
      </c>
      <c r="M11" s="196" t="n"/>
      <c r="N11" s="196" t="n"/>
    </row>
    <row r="12">
      <c r="A12" s="257" t="n"/>
      <c r="B12" s="246" t="inlineStr">
        <is>
          <t>Затраты труда рабочих-строителей</t>
        </is>
      </c>
      <c r="C12" s="328" t="n"/>
      <c r="D12" s="328" t="n"/>
      <c r="E12" s="328" t="n"/>
      <c r="F12" s="328" t="n"/>
      <c r="G12" s="328" t="n"/>
      <c r="H12" s="329" t="n"/>
      <c r="I12" s="127" t="n"/>
      <c r="J12" s="127" t="n"/>
    </row>
    <row r="13" ht="25.5" customHeight="1" s="199">
      <c r="A13" s="257" t="n">
        <v>1</v>
      </c>
      <c r="B13" s="137" t="inlineStr">
        <is>
          <t>1-3-9</t>
        </is>
      </c>
      <c r="C13" s="256" t="inlineStr">
        <is>
          <t>Затраты труда рабочих-строителей среднего разряда (3,9)</t>
        </is>
      </c>
      <c r="D13" s="257" t="inlineStr">
        <is>
          <t>чел.-ч.</t>
        </is>
      </c>
      <c r="E13" s="340">
        <f>G13/F13</f>
        <v/>
      </c>
      <c r="F13" s="32" t="n">
        <v>9.76</v>
      </c>
      <c r="G13" s="32" t="n">
        <v>3545.58</v>
      </c>
      <c r="H13" s="130">
        <f>G13/G14</f>
        <v/>
      </c>
      <c r="I13" s="32">
        <f>'ФОТр.тек.'!E13</f>
        <v/>
      </c>
      <c r="J13" s="32">
        <f>ROUND(I13*E13,2)</f>
        <v/>
      </c>
    </row>
    <row r="14" ht="25.5" customFormat="1" customHeight="1" s="196">
      <c r="A14" s="257" t="n"/>
      <c r="B14" s="257" t="n"/>
      <c r="C14" s="246" t="inlineStr">
        <is>
          <t>Итого по разделу "Затраты труда рабочих-строителей"</t>
        </is>
      </c>
      <c r="D14" s="257" t="inlineStr">
        <is>
          <t>чел.-ч.</t>
        </is>
      </c>
      <c r="E14" s="340">
        <f>SUM(E13:E13)</f>
        <v/>
      </c>
      <c r="F14" s="32" t="n"/>
      <c r="G14" s="32">
        <f>SUM(G13:G13)</f>
        <v/>
      </c>
      <c r="H14" s="260" t="n">
        <v>1</v>
      </c>
      <c r="I14" s="127" t="n"/>
      <c r="J14" s="32">
        <f>SUM(J13:J13)</f>
        <v/>
      </c>
    </row>
    <row r="15" ht="14.25" customFormat="1" customHeight="1" s="196">
      <c r="A15" s="257" t="n"/>
      <c r="B15" s="256" t="inlineStr">
        <is>
          <t>Затраты труда машинистов</t>
        </is>
      </c>
      <c r="C15" s="328" t="n"/>
      <c r="D15" s="328" t="n"/>
      <c r="E15" s="328" t="n"/>
      <c r="F15" s="328" t="n"/>
      <c r="G15" s="328" t="n"/>
      <c r="H15" s="329" t="n"/>
      <c r="I15" s="127" t="n"/>
      <c r="J15" s="127" t="n"/>
    </row>
    <row r="16" ht="14.25" customFormat="1" customHeight="1" s="196">
      <c r="A16" s="257" t="n">
        <v>2</v>
      </c>
      <c r="B16" s="257" t="n">
        <v>2</v>
      </c>
      <c r="C16" s="256" t="inlineStr">
        <is>
          <t>Затраты труда машинистов</t>
        </is>
      </c>
      <c r="D16" s="257" t="inlineStr">
        <is>
          <t>чел.-ч.</t>
        </is>
      </c>
      <c r="E16" s="341">
        <f>Прил.3!F18</f>
        <v/>
      </c>
      <c r="F16" s="176">
        <f>G16/E16</f>
        <v/>
      </c>
      <c r="G16" s="32" t="n">
        <v>282.4</v>
      </c>
      <c r="H16" s="260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96">
      <c r="A17" s="257" t="n"/>
      <c r="B17" s="246" t="inlineStr">
        <is>
          <t>Машины и механизмы</t>
        </is>
      </c>
      <c r="C17" s="328" t="n"/>
      <c r="D17" s="328" t="n"/>
      <c r="E17" s="328" t="n"/>
      <c r="F17" s="328" t="n"/>
      <c r="G17" s="328" t="n"/>
      <c r="H17" s="329" t="n"/>
      <c r="I17" s="127" t="n"/>
      <c r="J17" s="127" t="n"/>
    </row>
    <row r="18" ht="14.25" customFormat="1" customHeight="1" s="196">
      <c r="A18" s="257" t="n"/>
      <c r="B18" s="256" t="inlineStr">
        <is>
          <t>Основные машины и механизмы</t>
        </is>
      </c>
      <c r="C18" s="328" t="n"/>
      <c r="D18" s="328" t="n"/>
      <c r="E18" s="328" t="n"/>
      <c r="F18" s="328" t="n"/>
      <c r="G18" s="328" t="n"/>
      <c r="H18" s="329" t="n"/>
      <c r="I18" s="127" t="n"/>
      <c r="J18" s="127" t="n"/>
    </row>
    <row r="19" ht="25.5" customFormat="1" customHeight="1" s="196">
      <c r="A19" s="257" t="n">
        <v>3</v>
      </c>
      <c r="B19" s="137" t="inlineStr">
        <is>
          <t>91.05.05-015</t>
        </is>
      </c>
      <c r="C19" s="181" t="inlineStr">
        <is>
          <t>Краны на автомобильном ходу, грузоподъемность 16 т</t>
        </is>
      </c>
      <c r="D19" s="257" t="inlineStr">
        <is>
          <t>маш.час</t>
        </is>
      </c>
      <c r="E19" s="341" t="n">
        <v>9.390000000000001</v>
      </c>
      <c r="F19" s="274" t="n">
        <v>115.4</v>
      </c>
      <c r="G19" s="32">
        <f>ROUND(E19*F19,2)</f>
        <v/>
      </c>
      <c r="H19" s="130">
        <f>G19/$G$29</f>
        <v/>
      </c>
      <c r="I19" s="32">
        <f>ROUND(F19*Прил.10!$D$12,2)</f>
        <v/>
      </c>
      <c r="J19" s="32">
        <f>ROUND(I19*E19,2)</f>
        <v/>
      </c>
    </row>
    <row r="20" ht="25.5" customFormat="1" customHeight="1" s="196">
      <c r="A20" s="257" t="n">
        <v>4</v>
      </c>
      <c r="B20" s="137" t="inlineStr">
        <is>
          <t>91.05.04-010</t>
        </is>
      </c>
      <c r="C20" s="181" t="inlineStr">
        <is>
          <t>Краны мостовые электрические, грузоподъемность 50 т</t>
        </is>
      </c>
      <c r="D20" s="257" t="inlineStr">
        <is>
          <t>маш.час</t>
        </is>
      </c>
      <c r="E20" s="341" t="n">
        <v>3.23</v>
      </c>
      <c r="F20" s="274" t="n">
        <v>197.01</v>
      </c>
      <c r="G20" s="32">
        <f>ROUND(E20*F20,2)</f>
        <v/>
      </c>
      <c r="H20" s="130">
        <f>G20/$G$29</f>
        <v/>
      </c>
      <c r="I20" s="32">
        <f>ROUND(F20*Прил.10!$D$12,2)</f>
        <v/>
      </c>
      <c r="J20" s="32">
        <f>ROUND(I20*E20,2)</f>
        <v/>
      </c>
    </row>
    <row r="21" ht="25.5" customFormat="1" customHeight="1" s="196">
      <c r="A21" s="257" t="n">
        <v>5</v>
      </c>
      <c r="B21" s="137" t="inlineStr">
        <is>
          <t>91.14.02-001</t>
        </is>
      </c>
      <c r="C21" s="181" t="inlineStr">
        <is>
          <t>Автомобили бортовые, грузоподъемность до 5 т</t>
        </is>
      </c>
      <c r="D21" s="257" t="inlineStr">
        <is>
          <t>маш.час</t>
        </is>
      </c>
      <c r="E21" s="341" t="n">
        <v>9.390000000000001</v>
      </c>
      <c r="F21" s="274" t="n">
        <v>65.70999999999999</v>
      </c>
      <c r="G21" s="32">
        <f>ROUND(E21*F21,2)</f>
        <v/>
      </c>
      <c r="H21" s="130">
        <f>G21/$G$29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96">
      <c r="A22" s="257" t="n">
        <v>6</v>
      </c>
      <c r="B22" s="137" t="inlineStr">
        <is>
          <t>91.06.03-061</t>
        </is>
      </c>
      <c r="C22" s="181" t="inlineStr">
        <is>
          <t>Лебедки электрические тяговым усилием до 12,26 кН (1,25 т)</t>
        </is>
      </c>
      <c r="D22" s="257" t="inlineStr">
        <is>
          <t>маш.час</t>
        </is>
      </c>
      <c r="E22" s="341" t="n">
        <v>54.92</v>
      </c>
      <c r="F22" s="274" t="n">
        <v>3.28</v>
      </c>
      <c r="G22" s="32">
        <f>ROUND(E22*F22,2)</f>
        <v/>
      </c>
      <c r="H22" s="130">
        <f>G22/$G$29</f>
        <v/>
      </c>
      <c r="I22" s="32">
        <f>ROUND(F22*Прил.10!$D$12,2)</f>
        <v/>
      </c>
      <c r="J22" s="32">
        <f>ROUND(I22*E22,2)</f>
        <v/>
      </c>
    </row>
    <row r="23" ht="14.25" customFormat="1" customHeight="1" s="196">
      <c r="A23" s="257" t="n">
        <v>7</v>
      </c>
      <c r="B23" s="257" t="n"/>
      <c r="C23" s="256" t="inlineStr">
        <is>
          <t>Итого основные машины и механизмы</t>
        </is>
      </c>
      <c r="D23" s="257" t="n"/>
      <c r="E23" s="340" t="n"/>
      <c r="F23" s="32" t="n"/>
      <c r="G23" s="32">
        <f>SUM(G19:G22)</f>
        <v/>
      </c>
      <c r="H23" s="260">
        <f>G23/G29</f>
        <v/>
      </c>
      <c r="I23" s="129" t="n"/>
      <c r="J23" s="32">
        <f>SUM(J19:J22)</f>
        <v/>
      </c>
    </row>
    <row r="24" ht="25.5" customFormat="1" customHeight="1" s="196">
      <c r="A24" s="257" t="n">
        <v>8</v>
      </c>
      <c r="B24" s="137" t="inlineStr">
        <is>
          <t>91.17.04-233</t>
        </is>
      </c>
      <c r="C24" s="181" t="inlineStr">
        <is>
          <t>Установки для сварки ручной дуговой (постоянного тока)</t>
        </is>
      </c>
      <c r="D24" s="257" t="inlineStr">
        <is>
          <t>маш.час</t>
        </is>
      </c>
      <c r="E24" s="341" t="n">
        <v>22.03</v>
      </c>
      <c r="F24" s="274" t="n">
        <v>8.1</v>
      </c>
      <c r="G24" s="32">
        <f>ROUND(E24*F24,2)</f>
        <v/>
      </c>
      <c r="H24" s="130">
        <f>G24/$G$29</f>
        <v/>
      </c>
      <c r="I24" s="32">
        <f>ROUND(F24*Прил.10!$D$12,2)</f>
        <v/>
      </c>
      <c r="J24" s="32">
        <f>ROUND(I24*E24,2)</f>
        <v/>
      </c>
    </row>
    <row r="25" hidden="1" outlineLevel="1" ht="25.5" customFormat="1" customHeight="1" s="196">
      <c r="A25" s="257" t="n">
        <v>9</v>
      </c>
      <c r="B25" s="137" t="inlineStr">
        <is>
          <t>91.06.01-003</t>
        </is>
      </c>
      <c r="C25" s="181" t="inlineStr">
        <is>
          <t>Домкраты гидравлические, грузоподъемность 63-100 т</t>
        </is>
      </c>
      <c r="D25" s="257" t="inlineStr">
        <is>
          <t>маш.час</t>
        </is>
      </c>
      <c r="E25" s="341" t="n">
        <v>54.92</v>
      </c>
      <c r="F25" s="274" t="n">
        <v>0.9</v>
      </c>
      <c r="G25" s="32">
        <f>ROUND(E25*F25,2)</f>
        <v/>
      </c>
      <c r="H25" s="130">
        <f>G25/$G$29</f>
        <v/>
      </c>
      <c r="I25" s="32">
        <f>ROUND(F25*Прил.10!$D$12,2)</f>
        <v/>
      </c>
      <c r="J25" s="32">
        <f>ROUND(I25*E25,2)</f>
        <v/>
      </c>
    </row>
    <row r="26" hidden="1" outlineLevel="1" ht="25.5" customFormat="1" customHeight="1" s="196">
      <c r="A26" s="257" t="n">
        <v>10</v>
      </c>
      <c r="B26" s="137" t="inlineStr">
        <is>
          <t>91.17.04-161</t>
        </is>
      </c>
      <c r="C26" s="181" t="inlineStr">
        <is>
          <t>Полуавтоматы сварочные номинальным сварочным током 40-500 А</t>
        </is>
      </c>
      <c r="D26" s="257" t="inlineStr">
        <is>
          <t>маш.час</t>
        </is>
      </c>
      <c r="E26" s="341" t="n">
        <v>1.06</v>
      </c>
      <c r="F26" s="274" t="n">
        <v>16.44</v>
      </c>
      <c r="G26" s="32">
        <f>ROUND(E26*F26,2)</f>
        <v/>
      </c>
      <c r="H26" s="130">
        <f>G26/$G$29</f>
        <v/>
      </c>
      <c r="I26" s="32">
        <f>ROUND(F26*Прил.10!$D$12,2)</f>
        <v/>
      </c>
      <c r="J26" s="32">
        <f>ROUND(I26*E26,2)</f>
        <v/>
      </c>
    </row>
    <row r="27" hidden="1" outlineLevel="1" ht="25.5" customFormat="1" customHeight="1" s="196">
      <c r="A27" s="257" t="n">
        <v>11</v>
      </c>
      <c r="B27" s="137" t="inlineStr">
        <is>
          <t>91.06.06-042</t>
        </is>
      </c>
      <c r="C27" s="181" t="inlineStr">
        <is>
          <t>Подъемники гидравлические, высота подъема 10 м</t>
        </is>
      </c>
      <c r="D27" s="257" t="inlineStr">
        <is>
          <t>маш.час</t>
        </is>
      </c>
      <c r="E27" s="341" t="n">
        <v>0.02</v>
      </c>
      <c r="F27" s="274" t="n">
        <v>29.6</v>
      </c>
      <c r="G27" s="32">
        <f>ROUND(E27*F27,2)</f>
        <v/>
      </c>
      <c r="H27" s="130">
        <f>G27/$G$29</f>
        <v/>
      </c>
      <c r="I27" s="32">
        <f>ROUND(F27*Прил.10!$D$12,2)</f>
        <v/>
      </c>
      <c r="J27" s="32">
        <f>ROUND(I27*E27,2)</f>
        <v/>
      </c>
    </row>
    <row r="28" collapsed="1" ht="14.25" customFormat="1" customHeight="1" s="196">
      <c r="A28" s="257" t="n"/>
      <c r="B28" s="257" t="n"/>
      <c r="C28" s="256" t="inlineStr">
        <is>
          <t>Итого прочие машины и механизмы</t>
        </is>
      </c>
      <c r="D28" s="257" t="n"/>
      <c r="E28" s="258" t="n"/>
      <c r="F28" s="32" t="n"/>
      <c r="G28" s="129">
        <f>SUM(G24:G27)</f>
        <v/>
      </c>
      <c r="H28" s="130">
        <f>G28/G29</f>
        <v/>
      </c>
      <c r="I28" s="32" t="n"/>
      <c r="J28" s="32">
        <f>SUM(J24:J27)</f>
        <v/>
      </c>
    </row>
    <row r="29" ht="25.5" customFormat="1" customHeight="1" s="196">
      <c r="A29" s="257" t="n"/>
      <c r="B29" s="257" t="n"/>
      <c r="C29" s="246" t="inlineStr">
        <is>
          <t>Итого по разделу «Машины и механизмы»</t>
        </is>
      </c>
      <c r="D29" s="257" t="n"/>
      <c r="E29" s="258" t="n"/>
      <c r="F29" s="32" t="n"/>
      <c r="G29" s="32">
        <f>G28+G23</f>
        <v/>
      </c>
      <c r="H29" s="131" t="n">
        <v>1</v>
      </c>
      <c r="I29" s="132" t="n"/>
      <c r="J29" s="133">
        <f>J28+J23</f>
        <v/>
      </c>
    </row>
    <row r="30" ht="14.25" customFormat="1" customHeight="1" s="196">
      <c r="A30" s="257" t="n"/>
      <c r="B30" s="246" t="inlineStr">
        <is>
          <t>Оборудование</t>
        </is>
      </c>
      <c r="C30" s="328" t="n"/>
      <c r="D30" s="328" t="n"/>
      <c r="E30" s="328" t="n"/>
      <c r="F30" s="328" t="n"/>
      <c r="G30" s="328" t="n"/>
      <c r="H30" s="329" t="n"/>
      <c r="I30" s="127" t="n"/>
      <c r="J30" s="127" t="n"/>
    </row>
    <row r="31">
      <c r="A31" s="257" t="n"/>
      <c r="B31" s="256" t="inlineStr">
        <is>
          <t>Основное оборудование</t>
        </is>
      </c>
      <c r="C31" s="328" t="n"/>
      <c r="D31" s="328" t="n"/>
      <c r="E31" s="328" t="n"/>
      <c r="F31" s="328" t="n"/>
      <c r="G31" s="328" t="n"/>
      <c r="H31" s="329" t="n"/>
      <c r="I31" s="127" t="n"/>
      <c r="J31" s="127" t="n"/>
    </row>
    <row r="32" ht="27.75" customFormat="1" customHeight="1" s="196">
      <c r="A32" s="257" t="n">
        <v>12</v>
      </c>
      <c r="B32" s="257" t="inlineStr">
        <is>
          <t>БЦ.30_1.38</t>
        </is>
      </c>
      <c r="C32" s="256" t="inlineStr">
        <is>
          <t>Комплект защит шунтирующего реактора ШЭТ 430.04-0</t>
        </is>
      </c>
      <c r="D32" s="257" t="inlineStr">
        <is>
          <t>шт</t>
        </is>
      </c>
      <c r="E32" s="341" t="n">
        <v>1</v>
      </c>
      <c r="F32" s="25">
        <f>ROUND(I32/Прил.10!$D$14,2)</f>
        <v/>
      </c>
      <c r="G32" s="32">
        <f>ROUND(E32*F32,2)</f>
        <v/>
      </c>
      <c r="H32" s="130">
        <f>G32/$G$35</f>
        <v/>
      </c>
      <c r="I32" s="32" t="n">
        <v>2925750</v>
      </c>
      <c r="J32" s="32">
        <f>ROUND(I32*E32,2)</f>
        <v/>
      </c>
    </row>
    <row r="33">
      <c r="A33" s="268" t="n"/>
      <c r="B33" s="268" t="n"/>
      <c r="C33" s="143" t="inlineStr">
        <is>
          <t>Итого основное оборудование</t>
        </is>
      </c>
      <c r="D33" s="268" t="n"/>
      <c r="E33" s="342" t="n"/>
      <c r="F33" s="182" t="n"/>
      <c r="G33" s="133">
        <f>G32</f>
        <v/>
      </c>
      <c r="H33" s="183">
        <f>G33/$G$35</f>
        <v/>
      </c>
      <c r="I33" s="132" t="n"/>
      <c r="J33" s="133">
        <f>J32</f>
        <v/>
      </c>
    </row>
    <row r="34">
      <c r="A34" s="257" t="n"/>
      <c r="B34" s="257" t="n"/>
      <c r="C34" s="256" t="inlineStr">
        <is>
          <t>Итого прочее оборудование</t>
        </is>
      </c>
      <c r="D34" s="175" t="n"/>
      <c r="E34" s="341" t="n"/>
      <c r="F34" s="259" t="n"/>
      <c r="G34" s="32" t="n">
        <v>0</v>
      </c>
      <c r="H34" s="130">
        <f>G34/$G$35</f>
        <v/>
      </c>
      <c r="I34" s="129" t="n"/>
      <c r="J34" s="32" t="n">
        <v>0</v>
      </c>
    </row>
    <row r="35">
      <c r="A35" s="257" t="n"/>
      <c r="B35" s="257" t="n"/>
      <c r="C35" s="246" t="inlineStr">
        <is>
          <t>Итого по разделу «Оборудование»</t>
        </is>
      </c>
      <c r="D35" s="257" t="n"/>
      <c r="E35" s="258" t="n"/>
      <c r="F35" s="259" t="n"/>
      <c r="G35" s="32">
        <f>G33</f>
        <v/>
      </c>
      <c r="H35" s="130">
        <f>G35/$G$35</f>
        <v/>
      </c>
      <c r="I35" s="129" t="n"/>
      <c r="J35" s="32">
        <f>J33+J34</f>
        <v/>
      </c>
    </row>
    <row r="36" ht="25.5" customHeight="1" s="199">
      <c r="A36" s="257" t="n"/>
      <c r="B36" s="257" t="n"/>
      <c r="C36" s="256" t="inlineStr">
        <is>
          <t>в том числе технологическое оборудование</t>
        </is>
      </c>
      <c r="D36" s="257" t="n"/>
      <c r="E36" s="341" t="n"/>
      <c r="F36" s="259" t="n"/>
      <c r="G36" s="32">
        <f>G35</f>
        <v/>
      </c>
      <c r="H36" s="260" t="n"/>
      <c r="I36" s="129" t="n"/>
      <c r="J36" s="32">
        <f>J35</f>
        <v/>
      </c>
    </row>
    <row r="37" ht="14.25" customFormat="1" customHeight="1" s="196">
      <c r="A37" s="257" t="n"/>
      <c r="B37" s="246" t="inlineStr">
        <is>
          <t>Материалы</t>
        </is>
      </c>
      <c r="C37" s="328" t="n"/>
      <c r="D37" s="328" t="n"/>
      <c r="E37" s="328" t="n"/>
      <c r="F37" s="328" t="n"/>
      <c r="G37" s="328" t="n"/>
      <c r="H37" s="329" t="n"/>
      <c r="I37" s="127" t="n"/>
      <c r="J37" s="127" t="n"/>
    </row>
    <row r="38" ht="14.25" customFormat="1" customHeight="1" s="196">
      <c r="A38" s="252" t="n"/>
      <c r="B38" s="251" t="inlineStr">
        <is>
          <t>Основные материалы</t>
        </is>
      </c>
      <c r="C38" s="343" t="n"/>
      <c r="D38" s="343" t="n"/>
      <c r="E38" s="343" t="n"/>
      <c r="F38" s="343" t="n"/>
      <c r="G38" s="343" t="n"/>
      <c r="H38" s="344" t="n"/>
      <c r="I38" s="140" t="n"/>
      <c r="J38" s="140" t="n"/>
    </row>
    <row r="39" ht="14.25" customFormat="1" customHeight="1" s="196">
      <c r="A39" s="257" t="n">
        <v>13</v>
      </c>
      <c r="B39" s="137" t="inlineStr">
        <is>
          <t>21.1.08.03-0581</t>
        </is>
      </c>
      <c r="C39" s="181" t="inlineStr">
        <is>
          <t>Кабель контрольный КВВГЭнг(A)-LS 7х1,5</t>
        </is>
      </c>
      <c r="D39" s="257" t="inlineStr">
        <is>
          <t>1000 м</t>
        </is>
      </c>
      <c r="E39" s="341" t="n">
        <v>2.4</v>
      </c>
      <c r="F39" s="274" t="n">
        <v>37014.5</v>
      </c>
      <c r="G39" s="32">
        <f>ROUND(E39*F39,2)</f>
        <v/>
      </c>
      <c r="H39" s="130">
        <f>G39/$G$82</f>
        <v/>
      </c>
      <c r="I39" s="32">
        <f>ROUND(F39*Прил.10!$D$13,2)</f>
        <v/>
      </c>
      <c r="J39" s="32">
        <f>ROUND(I39*E39,2)</f>
        <v/>
      </c>
    </row>
    <row r="40" ht="14.25" customFormat="1" customHeight="1" s="196">
      <c r="A40" s="257" t="n">
        <v>14</v>
      </c>
      <c r="B40" s="137" t="inlineStr">
        <is>
          <t>21.1.08.03-0579</t>
        </is>
      </c>
      <c r="C40" s="181" t="inlineStr">
        <is>
          <t>Кабель контрольный КВВГЭнг(A)-LS 5х2,5</t>
        </is>
      </c>
      <c r="D40" s="257" t="inlineStr">
        <is>
          <t>1000 м</t>
        </is>
      </c>
      <c r="E40" s="341" t="n">
        <v>1.02</v>
      </c>
      <c r="F40" s="274" t="n">
        <v>38348.22</v>
      </c>
      <c r="G40" s="32">
        <f>ROUND(E40*F40,2)</f>
        <v/>
      </c>
      <c r="H40" s="130">
        <f>G40/$G$82</f>
        <v/>
      </c>
      <c r="I40" s="32">
        <f>ROUND(F40*Прил.10!$D$13,2)</f>
        <v/>
      </c>
      <c r="J40" s="32">
        <f>ROUND(I40*E40,2)</f>
        <v/>
      </c>
    </row>
    <row r="41" ht="14.25" customFormat="1" customHeight="1" s="196">
      <c r="A41" s="257" t="n">
        <v>15</v>
      </c>
      <c r="B41" s="142" t="n"/>
      <c r="C41" s="143" t="inlineStr">
        <is>
          <t>Итого основные материалы</t>
        </is>
      </c>
      <c r="D41" s="268" t="n"/>
      <c r="E41" s="342" t="n"/>
      <c r="F41" s="133" t="n"/>
      <c r="G41" s="133">
        <f>SUM(G39:G40)</f>
        <v/>
      </c>
      <c r="H41" s="130">
        <f>G41/$G$82</f>
        <v/>
      </c>
      <c r="I41" s="32" t="n"/>
      <c r="J41" s="133">
        <f>SUM(J39:J40)</f>
        <v/>
      </c>
    </row>
    <row r="42" hidden="1" outlineLevel="1" ht="14.25" customFormat="1" customHeight="1" s="196">
      <c r="A42" s="257" t="n">
        <v>16</v>
      </c>
      <c r="B42" s="137" t="inlineStr">
        <is>
          <t>21.1.08.03-0574</t>
        </is>
      </c>
      <c r="C42" s="181" t="inlineStr">
        <is>
          <t>Кабель контрольный КВВГЭнг(A)-LS 4х2,5</t>
        </is>
      </c>
      <c r="D42" s="257" t="inlineStr">
        <is>
          <t>1000 м</t>
        </is>
      </c>
      <c r="E42" s="341" t="n">
        <v>0.102</v>
      </c>
      <c r="F42" s="274" t="n">
        <v>32828.83</v>
      </c>
      <c r="G42" s="32">
        <f>ROUND(E42*F42,2)</f>
        <v/>
      </c>
      <c r="H42" s="130">
        <f>G42/$G$82</f>
        <v/>
      </c>
      <c r="I42" s="32">
        <f>ROUND(F42*Прил.10!$D$13,2)</f>
        <v/>
      </c>
      <c r="J42" s="32">
        <f>ROUND(I42*E42,2)</f>
        <v/>
      </c>
    </row>
    <row r="43" hidden="1" outlineLevel="1" ht="25.5" customFormat="1" customHeight="1" s="196">
      <c r="A43" s="257" t="n">
        <v>17</v>
      </c>
      <c r="B43" s="137" t="inlineStr">
        <is>
          <t>07.2.07.04-0007</t>
        </is>
      </c>
      <c r="C43" s="181" t="inlineStr">
        <is>
          <t>Конструкции стальные индивидуальные решетчатые сварные, масса до 0,1 т</t>
        </is>
      </c>
      <c r="D43" s="257" t="inlineStr">
        <is>
          <t>т</t>
        </is>
      </c>
      <c r="E43" s="341" t="n">
        <v>0.26164</v>
      </c>
      <c r="F43" s="274" t="n">
        <v>11500</v>
      </c>
      <c r="G43" s="32">
        <f>ROUND(E43*F43,2)</f>
        <v/>
      </c>
      <c r="H43" s="130">
        <f>G43/$G$82</f>
        <v/>
      </c>
      <c r="I43" s="32">
        <f>ROUND(F43*Прил.10!$D$13,2)</f>
        <v/>
      </c>
      <c r="J43" s="32">
        <f>ROUND(I43*E43,2)</f>
        <v/>
      </c>
    </row>
    <row r="44" hidden="1" outlineLevel="1" ht="38.25" customFormat="1" customHeight="1" s="196">
      <c r="A44" s="257" t="n">
        <v>18</v>
      </c>
      <c r="B44" s="137" t="inlineStr">
        <is>
          <t>20.5.02.02-0001</t>
        </is>
      </c>
      <c r="C44" s="181" t="inlineStr">
        <is>
          <t>Коробка клеммная взрывозащищенная SA141410(1C10-1N-1PE- 1C2-1N-1PE-1FL3(C)-1FL2(C) 2Exel IT6, IP66</t>
        </is>
      </c>
      <c r="D44" s="257" t="inlineStr">
        <is>
          <t>шт</t>
        </is>
      </c>
      <c r="E44" s="341" t="n">
        <v>1</v>
      </c>
      <c r="F44" s="274" t="n">
        <v>2639.24</v>
      </c>
      <c r="G44" s="32">
        <f>ROUND(E44*F44,2)</f>
        <v/>
      </c>
      <c r="H44" s="130">
        <f>G44/$G$82</f>
        <v/>
      </c>
      <c r="I44" s="32">
        <f>ROUND(F44*Прил.10!$D$13,2)</f>
        <v/>
      </c>
      <c r="J44" s="32">
        <f>ROUND(I44*E44,2)</f>
        <v/>
      </c>
    </row>
    <row r="45" hidden="1" outlineLevel="1" ht="25.5" customFormat="1" customHeight="1" s="196">
      <c r="A45" s="257" t="n">
        <v>19</v>
      </c>
      <c r="B45" s="137" t="inlineStr">
        <is>
          <t>10.3.02.03-0011</t>
        </is>
      </c>
      <c r="C45" s="181" t="inlineStr">
        <is>
          <t>Припои оловянно-свинцовые бессурьмянистые, марка ПОС30</t>
        </is>
      </c>
      <c r="D45" s="257" t="inlineStr">
        <is>
          <t>т</t>
        </is>
      </c>
      <c r="E45" s="341" t="n">
        <v>0.0145</v>
      </c>
      <c r="F45" s="274" t="n">
        <v>68050</v>
      </c>
      <c r="G45" s="32">
        <f>ROUND(E45*F45,2)</f>
        <v/>
      </c>
      <c r="H45" s="130">
        <f>G45/$G$82</f>
        <v/>
      </c>
      <c r="I45" s="32">
        <f>ROUND(F45*Прил.10!$D$13,2)</f>
        <v/>
      </c>
      <c r="J45" s="32">
        <f>ROUND(I45*E45,2)</f>
        <v/>
      </c>
    </row>
    <row r="46" hidden="1" outlineLevel="1" ht="14.25" customFormat="1" customHeight="1" s="196">
      <c r="A46" s="257" t="n">
        <v>20</v>
      </c>
      <c r="B46" s="137" t="inlineStr">
        <is>
          <t>14.4.02.09-0001</t>
        </is>
      </c>
      <c r="C46" s="181" t="inlineStr">
        <is>
          <t>Краска</t>
        </is>
      </c>
      <c r="D46" s="257" t="inlineStr">
        <is>
          <t>кг</t>
        </is>
      </c>
      <c r="E46" s="341" t="n">
        <v>26.174</v>
      </c>
      <c r="F46" s="274" t="n">
        <v>28.6</v>
      </c>
      <c r="G46" s="32">
        <f>ROUND(E46*F46,2)</f>
        <v/>
      </c>
      <c r="H46" s="130">
        <f>G46/$G$82</f>
        <v/>
      </c>
      <c r="I46" s="32">
        <f>ROUND(F46*Прил.10!$D$13,2)</f>
        <v/>
      </c>
      <c r="J46" s="32">
        <f>ROUND(I46*E46,2)</f>
        <v/>
      </c>
    </row>
    <row r="47" hidden="1" outlineLevel="1" ht="51" customFormat="1" customHeight="1" s="196">
      <c r="A47" s="257" t="n">
        <v>21</v>
      </c>
      <c r="B47" s="137" t="inlineStr">
        <is>
          <t>08.1.02.13-0005</t>
        </is>
      </c>
      <c r="C47" s="181" t="inlineStr">
        <is>
          <t>Рукава металлические из стальной оцинкованной ленты, негерметичные, простого профиля, РЗ-ЦХ, условный диаметр 15 мм</t>
        </is>
      </c>
      <c r="D47" s="257" t="inlineStr">
        <is>
          <t>м</t>
        </is>
      </c>
      <c r="E47" s="341" t="n">
        <v>90</v>
      </c>
      <c r="F47" s="274" t="n">
        <v>8.279999999999999</v>
      </c>
      <c r="G47" s="32">
        <f>ROUND(E47*F47,2)</f>
        <v/>
      </c>
      <c r="H47" s="130">
        <f>G47/$G$82</f>
        <v/>
      </c>
      <c r="I47" s="32">
        <f>ROUND(F47*Прил.10!$D$13,2)</f>
        <v/>
      </c>
      <c r="J47" s="32">
        <f>ROUND(I47*E47,2)</f>
        <v/>
      </c>
    </row>
    <row r="48" hidden="1" outlineLevel="1" ht="14.25" customFormat="1" customHeight="1" s="196">
      <c r="A48" s="257" t="n">
        <v>22</v>
      </c>
      <c r="B48" s="137" t="inlineStr">
        <is>
          <t>18.5.08.09-0001</t>
        </is>
      </c>
      <c r="C48" s="181" t="inlineStr">
        <is>
          <t>Патрубки</t>
        </is>
      </c>
      <c r="D48" s="257" t="inlineStr">
        <is>
          <t>10 шт</t>
        </is>
      </c>
      <c r="E48" s="341" t="n">
        <v>0.9</v>
      </c>
      <c r="F48" s="274" t="n">
        <v>277.5</v>
      </c>
      <c r="G48" s="32">
        <f>ROUND(E48*F48,2)</f>
        <v/>
      </c>
      <c r="H48" s="130">
        <f>G48/$G$82</f>
        <v/>
      </c>
      <c r="I48" s="32">
        <f>ROUND(F48*Прил.10!$D$13,2)</f>
        <v/>
      </c>
      <c r="J48" s="32">
        <f>ROUND(I48*E48,2)</f>
        <v/>
      </c>
    </row>
    <row r="49" hidden="1" outlineLevel="1" ht="25.5" customFormat="1" customHeight="1" s="196">
      <c r="A49" s="257" t="n">
        <v>23</v>
      </c>
      <c r="B49" s="137" t="inlineStr">
        <is>
          <t>14.4.02.09-0301</t>
        </is>
      </c>
      <c r="C49" s="181" t="inlineStr">
        <is>
          <t>Композиция антикоррозионная цинкнаполненная</t>
        </is>
      </c>
      <c r="D49" s="257" t="inlineStr">
        <is>
          <t>кг</t>
        </is>
      </c>
      <c r="E49" s="341" t="n">
        <v>1</v>
      </c>
      <c r="F49" s="274" t="n">
        <v>238.48</v>
      </c>
      <c r="G49" s="32">
        <f>ROUND(E49*F49,2)</f>
        <v/>
      </c>
      <c r="H49" s="130">
        <f>G49/$G$82</f>
        <v/>
      </c>
      <c r="I49" s="32">
        <f>ROUND(F49*Прил.10!$D$13,2)</f>
        <v/>
      </c>
      <c r="J49" s="32">
        <f>ROUND(I49*E49,2)</f>
        <v/>
      </c>
    </row>
    <row r="50" hidden="1" outlineLevel="1" ht="18.75" customFormat="1" customHeight="1" s="196">
      <c r="A50" s="257" t="n">
        <v>24</v>
      </c>
      <c r="B50" s="137" t="inlineStr">
        <is>
          <t>08.3.07.01-0076</t>
        </is>
      </c>
      <c r="C50" s="181" t="inlineStr">
        <is>
          <t>Прокат полосовой, горячекатаный, марка стали Ст3сп, ширина 50-200 мм, толщина 4-5 мм</t>
        </is>
      </c>
      <c r="D50" s="257" t="inlineStr">
        <is>
          <t>т</t>
        </is>
      </c>
      <c r="E50" s="341" t="n">
        <v>0.04763</v>
      </c>
      <c r="F50" s="274" t="n">
        <v>5000</v>
      </c>
      <c r="G50" s="32">
        <f>ROUND(E50*F50,2)</f>
        <v/>
      </c>
      <c r="H50" s="130">
        <f>G50/$G$82</f>
        <v/>
      </c>
      <c r="I50" s="32">
        <f>ROUND(F50*Прил.10!$D$13,2)</f>
        <v/>
      </c>
      <c r="J50" s="32">
        <f>ROUND(I50*E50,2)</f>
        <v/>
      </c>
    </row>
    <row r="51" hidden="1" outlineLevel="1" ht="14.25" customFormat="1" customHeight="1" s="196">
      <c r="A51" s="257" t="n">
        <v>25</v>
      </c>
      <c r="B51" s="137" t="inlineStr">
        <is>
          <t>01.7.06.07-0002</t>
        </is>
      </c>
      <c r="C51" s="181" t="inlineStr">
        <is>
          <t>Лента монтажная, тип ЛМ-5</t>
        </is>
      </c>
      <c r="D51" s="257" t="inlineStr">
        <is>
          <t>10 м</t>
        </is>
      </c>
      <c r="E51" s="341" t="n">
        <v>19.035</v>
      </c>
      <c r="F51" s="274" t="n">
        <v>6.9</v>
      </c>
      <c r="G51" s="32">
        <f>ROUND(E51*F51,2)</f>
        <v/>
      </c>
      <c r="H51" s="130">
        <f>G51/$G$82</f>
        <v/>
      </c>
      <c r="I51" s="32">
        <f>ROUND(F51*Прил.10!$D$13,2)</f>
        <v/>
      </c>
      <c r="J51" s="32">
        <f>ROUND(I51*E51,2)</f>
        <v/>
      </c>
    </row>
    <row r="52" hidden="1" outlineLevel="1" ht="14.25" customFormat="1" customHeight="1" s="196">
      <c r="A52" s="257" t="n">
        <v>26</v>
      </c>
      <c r="B52" s="137" t="inlineStr">
        <is>
          <t>20.1.02.06-0001</t>
        </is>
      </c>
      <c r="C52" s="181" t="inlineStr">
        <is>
          <t>Жир паяльный</t>
        </is>
      </c>
      <c r="D52" s="257" t="inlineStr">
        <is>
          <t>кг</t>
        </is>
      </c>
      <c r="E52" s="341" t="n">
        <v>1.04</v>
      </c>
      <c r="F52" s="274" t="n">
        <v>100.8</v>
      </c>
      <c r="G52" s="32">
        <f>ROUND(E52*F52,2)</f>
        <v/>
      </c>
      <c r="H52" s="130">
        <f>G52/$G$82</f>
        <v/>
      </c>
      <c r="I52" s="32">
        <f>ROUND(F52*Прил.10!$D$13,2)</f>
        <v/>
      </c>
      <c r="J52" s="32">
        <f>ROUND(I52*E52,2)</f>
        <v/>
      </c>
    </row>
    <row r="53" hidden="1" outlineLevel="1" ht="14.25" customFormat="1" customHeight="1" s="196">
      <c r="A53" s="257" t="n">
        <v>27</v>
      </c>
      <c r="B53" s="137" t="inlineStr">
        <is>
          <t>14.4.03.03-0002</t>
        </is>
      </c>
      <c r="C53" s="181" t="inlineStr">
        <is>
          <t>Лак битумный БТ-123</t>
        </is>
      </c>
      <c r="D53" s="257" t="inlineStr">
        <is>
          <t>т</t>
        </is>
      </c>
      <c r="E53" s="341" t="n">
        <v>0.01176</v>
      </c>
      <c r="F53" s="274" t="n">
        <v>7826.9</v>
      </c>
      <c r="G53" s="32">
        <f>ROUND(E53*F53,2)</f>
        <v/>
      </c>
      <c r="H53" s="130">
        <f>G53/$G$82</f>
        <v/>
      </c>
      <c r="I53" s="32">
        <f>ROUND(F53*Прил.10!$D$13,2)</f>
        <v/>
      </c>
      <c r="J53" s="32">
        <f>ROUND(I53*E53,2)</f>
        <v/>
      </c>
    </row>
    <row r="54" hidden="1" outlineLevel="1" ht="14.25" customFormat="1" customHeight="1" s="196">
      <c r="A54" s="257" t="n">
        <v>28</v>
      </c>
      <c r="B54" s="137" t="inlineStr">
        <is>
          <t>25.2.01.01-0017</t>
        </is>
      </c>
      <c r="C54" s="181" t="inlineStr">
        <is>
          <t>Бирки маркировочные пластмассовые</t>
        </is>
      </c>
      <c r="D54" s="257" t="inlineStr">
        <is>
          <t>100 шт</t>
        </is>
      </c>
      <c r="E54" s="341" t="n">
        <v>2.4</v>
      </c>
      <c r="F54" s="274" t="n">
        <v>30.74</v>
      </c>
      <c r="G54" s="32">
        <f>ROUND(E54*F54,2)</f>
        <v/>
      </c>
      <c r="H54" s="130">
        <f>G54/$G$82</f>
        <v/>
      </c>
      <c r="I54" s="32">
        <f>ROUND(F54*Прил.10!$D$13,2)</f>
        <v/>
      </c>
      <c r="J54" s="32">
        <f>ROUND(I54*E54,2)</f>
        <v/>
      </c>
    </row>
    <row r="55" hidden="1" outlineLevel="1" ht="25.5" customFormat="1" customHeight="1" s="196">
      <c r="A55" s="257" t="n">
        <v>29</v>
      </c>
      <c r="B55" s="137" t="inlineStr">
        <is>
          <t>999-9950</t>
        </is>
      </c>
      <c r="C55" s="181" t="inlineStr">
        <is>
          <t>Вспомогательные ненормируемые ресурсы (2% от Оплаты труда рабочих)</t>
        </is>
      </c>
      <c r="D55" s="257" t="inlineStr">
        <is>
          <t>руб</t>
        </is>
      </c>
      <c r="E55" s="341" t="n">
        <v>70.99698840000001</v>
      </c>
      <c r="F55" s="274" t="n">
        <v>1</v>
      </c>
      <c r="G55" s="32">
        <f>ROUND(E55*F55,2)</f>
        <v/>
      </c>
      <c r="H55" s="130">
        <f>G55/$G$82</f>
        <v/>
      </c>
      <c r="I55" s="32">
        <f>ROUND(F55*Прил.10!$D$13,2)</f>
        <v/>
      </c>
      <c r="J55" s="32">
        <f>ROUND(I55*E55,2)</f>
        <v/>
      </c>
    </row>
    <row r="56" hidden="1" outlineLevel="1" ht="18.75" customFormat="1" customHeight="1" s="196">
      <c r="A56" s="257" t="n">
        <v>30</v>
      </c>
      <c r="B56" s="137" t="inlineStr">
        <is>
          <t>01.7.15.03-0042</t>
        </is>
      </c>
      <c r="C56" s="181" t="inlineStr">
        <is>
          <t>Болты с гайками и шайбами строительные</t>
        </is>
      </c>
      <c r="D56" s="257" t="inlineStr">
        <is>
          <t>кг</t>
        </is>
      </c>
      <c r="E56" s="341" t="n">
        <v>4.06264</v>
      </c>
      <c r="F56" s="274" t="n">
        <v>9.039999999999999</v>
      </c>
      <c r="G56" s="32">
        <f>ROUND(E56*F56,2)</f>
        <v/>
      </c>
      <c r="H56" s="130">
        <f>G56/$G$82</f>
        <v/>
      </c>
      <c r="I56" s="32">
        <f>ROUND(F56*Прил.10!$D$13,2)</f>
        <v/>
      </c>
      <c r="J56" s="32">
        <f>ROUND(I56*E56,2)</f>
        <v/>
      </c>
    </row>
    <row r="57" hidden="1" outlineLevel="1" ht="14.25" customFormat="1" customHeight="1" s="196">
      <c r="A57" s="257" t="n">
        <v>31</v>
      </c>
      <c r="B57" s="137" t="inlineStr">
        <is>
          <t>20.1.02.23-0082</t>
        </is>
      </c>
      <c r="C57" s="181" t="inlineStr">
        <is>
          <t>Перемычки гибкие, тип ПГС-50</t>
        </is>
      </c>
      <c r="D57" s="257" t="inlineStr">
        <is>
          <t>10 шт</t>
        </is>
      </c>
      <c r="E57" s="341" t="n">
        <v>0.87</v>
      </c>
      <c r="F57" s="274" t="n">
        <v>39</v>
      </c>
      <c r="G57" s="32">
        <f>ROUND(E57*F57,2)</f>
        <v/>
      </c>
      <c r="H57" s="130">
        <f>G57/$G$82</f>
        <v/>
      </c>
      <c r="I57" s="32">
        <f>ROUND(F57*Прил.10!$D$13,2)</f>
        <v/>
      </c>
      <c r="J57" s="32">
        <f>ROUND(I57*E57,2)</f>
        <v/>
      </c>
    </row>
    <row r="58" hidden="1" outlineLevel="1" ht="25.5" customFormat="1" customHeight="1" s="196">
      <c r="A58" s="257" t="n">
        <v>32</v>
      </c>
      <c r="B58" s="137" t="inlineStr">
        <is>
          <t>01.7.15.04-0011</t>
        </is>
      </c>
      <c r="C58" s="181" t="inlineStr">
        <is>
          <t>Винты с полукруглой головкой, длина 50 мм</t>
        </is>
      </c>
      <c r="D58" s="257" t="inlineStr">
        <is>
          <t>т</t>
        </is>
      </c>
      <c r="E58" s="341" t="n">
        <v>0.001962</v>
      </c>
      <c r="F58" s="274" t="n">
        <v>12430</v>
      </c>
      <c r="G58" s="32">
        <f>ROUND(E58*F58,2)</f>
        <v/>
      </c>
      <c r="H58" s="130">
        <f>G58/$G$82</f>
        <v/>
      </c>
      <c r="I58" s="32">
        <f>ROUND(F58*Прил.10!$D$13,2)</f>
        <v/>
      </c>
      <c r="J58" s="32">
        <f>ROUND(I58*E58,2)</f>
        <v/>
      </c>
    </row>
    <row r="59" hidden="1" outlineLevel="1" ht="25.5" customFormat="1" customHeight="1" s="196">
      <c r="A59" s="257" t="n">
        <v>33</v>
      </c>
      <c r="B59" s="137" t="inlineStr">
        <is>
          <t>10.3.02.03-0013</t>
        </is>
      </c>
      <c r="C59" s="181" t="inlineStr">
        <is>
          <t>Припои оловянно-свинцовые бессурьмянистые, марка ПОС61</t>
        </is>
      </c>
      <c r="D59" s="257" t="inlineStr">
        <is>
          <t>т</t>
        </is>
      </c>
      <c r="E59" s="341" t="n">
        <v>0.000192</v>
      </c>
      <c r="F59" s="274" t="n">
        <v>114220</v>
      </c>
      <c r="G59" s="32">
        <f>ROUND(E59*F59,2)</f>
        <v/>
      </c>
      <c r="H59" s="130">
        <f>G59/$G$82</f>
        <v/>
      </c>
      <c r="I59" s="32">
        <f>ROUND(F59*Прил.10!$D$13,2)</f>
        <v/>
      </c>
      <c r="J59" s="32">
        <f>ROUND(I59*E59,2)</f>
        <v/>
      </c>
    </row>
    <row r="60" hidden="1" outlineLevel="1" ht="25.5" customFormat="1" customHeight="1" s="196">
      <c r="A60" s="257" t="n">
        <v>34</v>
      </c>
      <c r="B60" s="137" t="inlineStr">
        <is>
          <t>01.7.11.07-0034</t>
        </is>
      </c>
      <c r="C60" s="181" t="inlineStr">
        <is>
          <t>Электроды сварочные Э42А, диаметр 4 мм</t>
        </is>
      </c>
      <c r="D60" s="257" t="inlineStr">
        <is>
          <t>кг</t>
        </is>
      </c>
      <c r="E60" s="341" t="n">
        <v>1.946896</v>
      </c>
      <c r="F60" s="274" t="n">
        <v>10.57</v>
      </c>
      <c r="G60" s="32">
        <f>ROUND(E60*F60,2)</f>
        <v/>
      </c>
      <c r="H60" s="130">
        <f>G60/$G$82</f>
        <v/>
      </c>
      <c r="I60" s="32">
        <f>ROUND(F60*Прил.10!$D$13,2)</f>
        <v/>
      </c>
      <c r="J60" s="32">
        <f>ROUND(I60*E60,2)</f>
        <v/>
      </c>
    </row>
    <row r="61" hidden="1" outlineLevel="1" ht="14.25" customFormat="1" customHeight="1" s="196">
      <c r="A61" s="257" t="n">
        <v>35</v>
      </c>
      <c r="B61" s="137" t="inlineStr">
        <is>
          <t>01.7.15.14-0165</t>
        </is>
      </c>
      <c r="C61" s="181" t="inlineStr">
        <is>
          <t>Шурупы с полукруглой головкой 4х40 мм</t>
        </is>
      </c>
      <c r="D61" s="257" t="inlineStr">
        <is>
          <t>т</t>
        </is>
      </c>
      <c r="E61" s="341" t="n">
        <v>0.00165</v>
      </c>
      <c r="F61" s="274" t="n">
        <v>12430</v>
      </c>
      <c r="G61" s="32">
        <f>ROUND(E61*F61,2)</f>
        <v/>
      </c>
      <c r="H61" s="130">
        <f>G61/$G$82</f>
        <v/>
      </c>
      <c r="I61" s="32">
        <f>ROUND(F61*Прил.10!$D$13,2)</f>
        <v/>
      </c>
      <c r="J61" s="32">
        <f>ROUND(I61*E61,2)</f>
        <v/>
      </c>
    </row>
    <row r="62" hidden="1" outlineLevel="1" ht="38.25" customFormat="1" customHeight="1" s="196">
      <c r="A62" s="257" t="n">
        <v>36</v>
      </c>
      <c r="B62" s="137" t="inlineStr">
        <is>
          <t>20.2.04.04-0001</t>
        </is>
      </c>
      <c r="C62" s="181" t="inlineStr">
        <is>
          <t>Короб кабельный прямой из оцинкованный стали толщиной 1,5 мм, размер 2000х150х100 мм, 1-канальный</t>
        </is>
      </c>
      <c r="D62" s="257" t="inlineStr">
        <is>
          <t>шт</t>
        </is>
      </c>
      <c r="E62" s="341" t="n">
        <v>0.11</v>
      </c>
      <c r="F62" s="274" t="n">
        <v>157.3</v>
      </c>
      <c r="G62" s="32">
        <f>ROUND(E62*F62,2)</f>
        <v/>
      </c>
      <c r="H62" s="130">
        <f>G62/$G$82</f>
        <v/>
      </c>
      <c r="I62" s="32">
        <f>ROUND(F62*Прил.10!$D$13,2)</f>
        <v/>
      </c>
      <c r="J62" s="32">
        <f>ROUND(I62*E62,2)</f>
        <v/>
      </c>
    </row>
    <row r="63" hidden="1" outlineLevel="1" ht="38.25" customFormat="1" customHeight="1" s="196">
      <c r="A63" s="257" t="n">
        <v>37</v>
      </c>
      <c r="B63" s="137" t="inlineStr">
        <is>
          <t>01.7.06.05-0041</t>
        </is>
      </c>
      <c r="C63" s="181" t="inlineStr">
        <is>
          <t>Лента изоляционная прорезиненная односторонняя, ширина 20 мм, толщина 0,25-0,35 мм</t>
        </is>
      </c>
      <c r="D63" s="257" t="inlineStr">
        <is>
          <t>кг</t>
        </is>
      </c>
      <c r="E63" s="341" t="n">
        <v>0.5600000000000001</v>
      </c>
      <c r="F63" s="274" t="n">
        <v>30.4</v>
      </c>
      <c r="G63" s="32">
        <f>ROUND(E63*F63,2)</f>
        <v/>
      </c>
      <c r="H63" s="130">
        <f>G63/$G$82</f>
        <v/>
      </c>
      <c r="I63" s="32">
        <f>ROUND(F63*Прил.10!$D$13,2)</f>
        <v/>
      </c>
      <c r="J63" s="32">
        <f>ROUND(I63*E63,2)</f>
        <v/>
      </c>
    </row>
    <row r="64" hidden="1" outlineLevel="1" ht="14.25" customFormat="1" customHeight="1" s="196">
      <c r="A64" s="257" t="n">
        <v>38</v>
      </c>
      <c r="B64" s="137" t="inlineStr">
        <is>
          <t>08.3.07.01-0037</t>
        </is>
      </c>
      <c r="C64" s="181" t="inlineStr">
        <is>
          <t>Сталь полосовая: 30х4 мм, марка Ст3сп</t>
        </is>
      </c>
      <c r="D64" s="257" t="inlineStr">
        <is>
          <t>т</t>
        </is>
      </c>
      <c r="E64" s="341" t="n">
        <v>0.002</v>
      </c>
      <c r="F64" s="274" t="n">
        <v>6674.64</v>
      </c>
      <c r="G64" s="32">
        <f>ROUND(E64*F64,2)</f>
        <v/>
      </c>
      <c r="H64" s="130">
        <f>G64/$G$82</f>
        <v/>
      </c>
      <c r="I64" s="32">
        <f>ROUND(F64*Прил.10!$D$13,2)</f>
        <v/>
      </c>
      <c r="J64" s="32">
        <f>ROUND(I64*E64,2)</f>
        <v/>
      </c>
    </row>
    <row r="65" hidden="1" outlineLevel="1" ht="14.25" customFormat="1" customHeight="1" s="196">
      <c r="A65" s="257" t="n">
        <v>39</v>
      </c>
      <c r="B65" s="137" t="inlineStr">
        <is>
          <t>25.2.01.01-0001</t>
        </is>
      </c>
      <c r="C65" s="181" t="inlineStr">
        <is>
          <t>Бирки-оконцеватели</t>
        </is>
      </c>
      <c r="D65" s="257" t="inlineStr">
        <is>
          <t>100 шт</t>
        </is>
      </c>
      <c r="E65" s="341" t="n">
        <v>0.2</v>
      </c>
      <c r="F65" s="274" t="n">
        <v>63</v>
      </c>
      <c r="G65" s="32">
        <f>ROUND(E65*F65,2)</f>
        <v/>
      </c>
      <c r="H65" s="130">
        <f>G65/$G$82</f>
        <v/>
      </c>
      <c r="I65" s="32">
        <f>ROUND(F65*Прил.10!$D$13,2)</f>
        <v/>
      </c>
      <c r="J65" s="32">
        <f>ROUND(I65*E65,2)</f>
        <v/>
      </c>
    </row>
    <row r="66" hidden="1" outlineLevel="1" ht="38.25" customFormat="1" customHeight="1" s="196">
      <c r="A66" s="257" t="n">
        <v>40</v>
      </c>
      <c r="B66" s="137" t="inlineStr">
        <is>
          <t>08.3.05.02-0101</t>
        </is>
      </c>
      <c r="C66" s="181" t="inlineStr">
        <is>
          <t>Прокат толстолистовой горячекатаный в листах, марка стали ВСт3пс5, толщина 4-6 мм</t>
        </is>
      </c>
      <c r="D66" s="257" t="inlineStr">
        <is>
          <t>т</t>
        </is>
      </c>
      <c r="E66" s="341" t="n">
        <v>0.002</v>
      </c>
      <c r="F66" s="274" t="n">
        <v>5763</v>
      </c>
      <c r="G66" s="32">
        <f>ROUND(E66*F66,2)</f>
        <v/>
      </c>
      <c r="H66" s="130">
        <f>G66/$G$82</f>
        <v/>
      </c>
      <c r="I66" s="32">
        <f>ROUND(F66*Прил.10!$D$13,2)</f>
        <v/>
      </c>
      <c r="J66" s="32">
        <f>ROUND(I66*E66,2)</f>
        <v/>
      </c>
    </row>
    <row r="67" hidden="1" outlineLevel="1" ht="14.25" customFormat="1" customHeight="1" s="196">
      <c r="A67" s="257" t="n">
        <v>41</v>
      </c>
      <c r="B67" s="137" t="inlineStr">
        <is>
          <t>01.3.01.05-0009</t>
        </is>
      </c>
      <c r="C67" s="181" t="inlineStr">
        <is>
          <t>Парафин нефтяной твердый Т-1</t>
        </is>
      </c>
      <c r="D67" s="257" t="inlineStr">
        <is>
          <t>т</t>
        </is>
      </c>
      <c r="E67" s="341" t="n">
        <v>0.00052</v>
      </c>
      <c r="F67" s="274" t="n">
        <v>8105.71</v>
      </c>
      <c r="G67" s="32">
        <f>ROUND(E67*F67,2)</f>
        <v/>
      </c>
      <c r="H67" s="130">
        <f>G67/$G$82</f>
        <v/>
      </c>
      <c r="I67" s="32">
        <f>ROUND(F67*Прил.10!$D$13,2)</f>
        <v/>
      </c>
      <c r="J67" s="32">
        <f>ROUND(I67*E67,2)</f>
        <v/>
      </c>
    </row>
    <row r="68" hidden="1" outlineLevel="1" ht="14.25" customFormat="1" customHeight="1" s="196">
      <c r="A68" s="257" t="n">
        <v>42</v>
      </c>
      <c r="B68" s="137" t="inlineStr">
        <is>
          <t>24.3.01.01-0002</t>
        </is>
      </c>
      <c r="C68" s="181" t="inlineStr">
        <is>
          <t>Трубка полихлорвиниловая</t>
        </is>
      </c>
      <c r="D68" s="257" t="inlineStr">
        <is>
          <t>кг</t>
        </is>
      </c>
      <c r="E68" s="341" t="n">
        <v>0.096</v>
      </c>
      <c r="F68" s="274" t="n">
        <v>35.7</v>
      </c>
      <c r="G68" s="32">
        <f>ROUND(E68*F68,2)</f>
        <v/>
      </c>
      <c r="H68" s="130">
        <f>G68/$G$82</f>
        <v/>
      </c>
      <c r="I68" s="32">
        <f>ROUND(F68*Прил.10!$D$13,2)</f>
        <v/>
      </c>
      <c r="J68" s="32">
        <f>ROUND(I68*E68,2)</f>
        <v/>
      </c>
    </row>
    <row r="69" hidden="1" outlineLevel="1" ht="25.5" customFormat="1" customHeight="1" s="196">
      <c r="A69" s="257" t="n">
        <v>43</v>
      </c>
      <c r="B69" s="137" t="inlineStr">
        <is>
          <t>01.3.01.07-0009</t>
        </is>
      </c>
      <c r="C69" s="181" t="inlineStr">
        <is>
          <t>Спирт этиловый ректификованный технический, сорт I</t>
        </is>
      </c>
      <c r="D69" s="257" t="inlineStr">
        <is>
          <t>кг</t>
        </is>
      </c>
      <c r="E69" s="341" t="n">
        <v>0.0696</v>
      </c>
      <c r="F69" s="274" t="n">
        <v>38.89</v>
      </c>
      <c r="G69" s="32">
        <f>ROUND(E69*F69,2)</f>
        <v/>
      </c>
      <c r="H69" s="130">
        <f>G69/$G$82</f>
        <v/>
      </c>
      <c r="I69" s="32">
        <f>ROUND(F69*Прил.10!$D$13,2)</f>
        <v/>
      </c>
      <c r="J69" s="32">
        <f>ROUND(I69*E69,2)</f>
        <v/>
      </c>
    </row>
    <row r="70" hidden="1" outlineLevel="1" ht="14.25" customFormat="1" customHeight="1" s="196">
      <c r="A70" s="257" t="n">
        <v>44</v>
      </c>
      <c r="B70" s="137" t="inlineStr">
        <is>
          <t>20.2.02.01-0019</t>
        </is>
      </c>
      <c r="C70" s="181" t="inlineStr">
        <is>
          <t>Втулки изолирующие</t>
        </is>
      </c>
      <c r="D70" s="257" t="inlineStr">
        <is>
          <t>1000 шт</t>
        </is>
      </c>
      <c r="E70" s="341" t="n">
        <v>0.008999999999999999</v>
      </c>
      <c r="F70" s="274" t="n">
        <v>270</v>
      </c>
      <c r="G70" s="32">
        <f>ROUND(E70*F70,2)</f>
        <v/>
      </c>
      <c r="H70" s="130">
        <f>G70/$G$82</f>
        <v/>
      </c>
      <c r="I70" s="32">
        <f>ROUND(F70*Прил.10!$D$13,2)</f>
        <v/>
      </c>
      <c r="J70" s="32">
        <f>ROUND(I70*E70,2)</f>
        <v/>
      </c>
    </row>
    <row r="71" hidden="1" outlineLevel="1" ht="14.25" customFormat="1" customHeight="1" s="196">
      <c r="A71" s="257" t="n">
        <v>45</v>
      </c>
      <c r="B71" s="137" t="inlineStr">
        <is>
          <t>01.7.15.07-0014</t>
        </is>
      </c>
      <c r="C71" s="181" t="inlineStr">
        <is>
          <t>Дюбели распорные полипропиленовые</t>
        </is>
      </c>
      <c r="D71" s="257" t="inlineStr">
        <is>
          <t>100 шт</t>
        </is>
      </c>
      <c r="E71" s="341" t="n">
        <v>0.01488</v>
      </c>
      <c r="F71" s="274" t="n">
        <v>86</v>
      </c>
      <c r="G71" s="32">
        <f>ROUND(E71*F71,2)</f>
        <v/>
      </c>
      <c r="H71" s="130">
        <f>G71/$G$82</f>
        <v/>
      </c>
      <c r="I71" s="32">
        <f>ROUND(F71*Прил.10!$D$13,2)</f>
        <v/>
      </c>
      <c r="J71" s="32">
        <f>ROUND(I71*E71,2)</f>
        <v/>
      </c>
    </row>
    <row r="72" hidden="1" outlineLevel="1" ht="14.25" customFormat="1" customHeight="1" s="196">
      <c r="A72" s="257" t="n">
        <v>46</v>
      </c>
      <c r="B72" s="137" t="inlineStr">
        <is>
          <t>01.3.05.17-0002</t>
        </is>
      </c>
      <c r="C72" s="181" t="inlineStr">
        <is>
          <t>Канифоль сосновая</t>
        </is>
      </c>
      <c r="D72" s="257" t="inlineStr">
        <is>
          <t>кг</t>
        </is>
      </c>
      <c r="E72" s="341" t="n">
        <v>0.0456</v>
      </c>
      <c r="F72" s="274" t="n">
        <v>27.74</v>
      </c>
      <c r="G72" s="32">
        <f>ROUND(E72*F72,2)</f>
        <v/>
      </c>
      <c r="H72" s="130">
        <f>G72/$G$82</f>
        <v/>
      </c>
      <c r="I72" s="32">
        <f>ROUND(F72*Прил.10!$D$13,2)</f>
        <v/>
      </c>
      <c r="J72" s="32">
        <f>ROUND(I72*E72,2)</f>
        <v/>
      </c>
    </row>
    <row r="73" hidden="1" outlineLevel="1" ht="14.25" customFormat="1" customHeight="1" s="196">
      <c r="A73" s="257" t="n">
        <v>47</v>
      </c>
      <c r="B73" s="137" t="inlineStr">
        <is>
          <t>01.3.01.02-0002</t>
        </is>
      </c>
      <c r="C73" s="181" t="inlineStr">
        <is>
          <t>Вазелин технический</t>
        </is>
      </c>
      <c r="D73" s="257" t="inlineStr">
        <is>
          <t>кг</t>
        </is>
      </c>
      <c r="E73" s="341" t="n">
        <v>0.02</v>
      </c>
      <c r="F73" s="274" t="n">
        <v>44.97</v>
      </c>
      <c r="G73" s="32">
        <f>ROUND(E73*F73,2)</f>
        <v/>
      </c>
      <c r="H73" s="130">
        <f>G73/$G$82</f>
        <v/>
      </c>
      <c r="I73" s="32">
        <f>ROUND(F73*Прил.10!$D$13,2)</f>
        <v/>
      </c>
      <c r="J73" s="32">
        <f>ROUND(I73*E73,2)</f>
        <v/>
      </c>
    </row>
    <row r="74" hidden="1" outlineLevel="1" ht="14.25" customFormat="1" customHeight="1" s="196">
      <c r="A74" s="257" t="n">
        <v>48</v>
      </c>
      <c r="B74" s="137" t="inlineStr">
        <is>
          <t>14.4.03.17-0011</t>
        </is>
      </c>
      <c r="C74" s="181" t="inlineStr">
        <is>
          <t>Лак электроизоляционный 318</t>
        </is>
      </c>
      <c r="D74" s="257" t="inlineStr">
        <is>
          <t>кг</t>
        </is>
      </c>
      <c r="E74" s="341" t="n">
        <v>0.02</v>
      </c>
      <c r="F74" s="274" t="n">
        <v>35.63</v>
      </c>
      <c r="G74" s="32">
        <f>ROUND(E74*F74,2)</f>
        <v/>
      </c>
      <c r="H74" s="130">
        <f>G74/$G$82</f>
        <v/>
      </c>
      <c r="I74" s="32">
        <f>ROUND(F74*Прил.10!$D$13,2)</f>
        <v/>
      </c>
      <c r="J74" s="32">
        <f>ROUND(I74*E74,2)</f>
        <v/>
      </c>
    </row>
    <row r="75" hidden="1" outlineLevel="1" ht="14.25" customFormat="1" customHeight="1" s="196">
      <c r="A75" s="257" t="n">
        <v>49</v>
      </c>
      <c r="B75" s="137" t="inlineStr">
        <is>
          <t>01.7.20.04-0005</t>
        </is>
      </c>
      <c r="C75" s="181" t="inlineStr">
        <is>
          <t>Нитки швейные</t>
        </is>
      </c>
      <c r="D75" s="257" t="inlineStr">
        <is>
          <t>кг</t>
        </is>
      </c>
      <c r="E75" s="341" t="n">
        <v>0.002</v>
      </c>
      <c r="F75" s="274" t="n">
        <v>133.05</v>
      </c>
      <c r="G75" s="32">
        <f>ROUND(E75*F75,2)</f>
        <v/>
      </c>
      <c r="H75" s="130">
        <f>G75/$G$82</f>
        <v/>
      </c>
      <c r="I75" s="32">
        <f>ROUND(F75*Прил.10!$D$13,2)</f>
        <v/>
      </c>
      <c r="J75" s="32">
        <f>ROUND(I75*E75,2)</f>
        <v/>
      </c>
    </row>
    <row r="76" hidden="1" outlineLevel="1" ht="14.25" customFormat="1" customHeight="1" s="196">
      <c r="A76" s="257" t="n">
        <v>50</v>
      </c>
      <c r="B76" s="137" t="inlineStr">
        <is>
          <t>01.3.05.11-0001</t>
        </is>
      </c>
      <c r="C76" s="181" t="inlineStr">
        <is>
          <t>Дихлорэтан технический, сорт I</t>
        </is>
      </c>
      <c r="D76" s="257" t="inlineStr">
        <is>
          <t>т</t>
        </is>
      </c>
      <c r="E76" s="341" t="n">
        <v>4.8e-05</v>
      </c>
      <c r="F76" s="274" t="n">
        <v>4934.48</v>
      </c>
      <c r="G76" s="32">
        <f>ROUND(E76*F76,2)</f>
        <v/>
      </c>
      <c r="H76" s="130">
        <f>G76/$G$82</f>
        <v/>
      </c>
      <c r="I76" s="32">
        <f>ROUND(F76*Прил.10!$D$13,2)</f>
        <v/>
      </c>
      <c r="J76" s="32">
        <f>ROUND(I76*E76,2)</f>
        <v/>
      </c>
    </row>
    <row r="77" hidden="1" outlineLevel="1" ht="14.25" customFormat="1" customHeight="1" s="196">
      <c r="A77" s="257" t="n">
        <v>51</v>
      </c>
      <c r="B77" s="137" t="inlineStr">
        <is>
          <t>20.2.08.07-0033</t>
        </is>
      </c>
      <c r="C77" s="181" t="inlineStr">
        <is>
          <t>Скоба У1078</t>
        </is>
      </c>
      <c r="D77" s="257" t="inlineStr">
        <is>
          <t>100 шт</t>
        </is>
      </c>
      <c r="E77" s="341" t="n">
        <v>0.000242</v>
      </c>
      <c r="F77" s="274" t="n">
        <v>617</v>
      </c>
      <c r="G77" s="32">
        <f>ROUND(E77*F77,2)</f>
        <v/>
      </c>
      <c r="H77" s="130">
        <f>G77/$G$82</f>
        <v/>
      </c>
      <c r="I77" s="32">
        <f>ROUND(F77*Прил.10!$D$13,2)</f>
        <v/>
      </c>
      <c r="J77" s="32">
        <f>ROUND(I77*E77,2)</f>
        <v/>
      </c>
    </row>
    <row r="78" hidden="1" outlineLevel="1" ht="14.25" customFormat="1" customHeight="1" s="196">
      <c r="A78" s="257" t="n">
        <v>52</v>
      </c>
      <c r="B78" s="137" t="inlineStr">
        <is>
          <t>01.7.02.09-0002</t>
        </is>
      </c>
      <c r="C78" s="181" t="inlineStr">
        <is>
          <t>Шпагат бумажный</t>
        </is>
      </c>
      <c r="D78" s="257" t="inlineStr">
        <is>
          <t>кг</t>
        </is>
      </c>
      <c r="E78" s="341" t="n">
        <v>0.004</v>
      </c>
      <c r="F78" s="274" t="n">
        <v>11.5</v>
      </c>
      <c r="G78" s="32">
        <f>ROUND(E78*F78,2)</f>
        <v/>
      </c>
      <c r="H78" s="130">
        <f>G78/$G$82</f>
        <v/>
      </c>
      <c r="I78" s="32">
        <f>ROUND(F78*Прил.10!$D$13,2)</f>
        <v/>
      </c>
      <c r="J78" s="32">
        <f>ROUND(I78*E78,2)</f>
        <v/>
      </c>
    </row>
    <row r="79" hidden="1" outlineLevel="1" ht="14.25" customFormat="1" customHeight="1" s="196">
      <c r="A79" s="257" t="n">
        <v>53</v>
      </c>
      <c r="B79" s="137" t="inlineStr">
        <is>
          <t>01.7.15.07-0031</t>
        </is>
      </c>
      <c r="C79" s="181" t="inlineStr">
        <is>
          <t>Дюбели распорные с гайкой</t>
        </is>
      </c>
      <c r="D79" s="257" t="inlineStr">
        <is>
          <t>100 шт</t>
        </is>
      </c>
      <c r="E79" s="341" t="n">
        <v>0.000352</v>
      </c>
      <c r="F79" s="274" t="n">
        <v>110</v>
      </c>
      <c r="G79" s="32">
        <f>ROUND(E79*F79,2)</f>
        <v/>
      </c>
      <c r="H79" s="130">
        <f>G79/$G$82</f>
        <v/>
      </c>
      <c r="I79" s="32">
        <f>ROUND(F79*Прил.10!$D$13,2)</f>
        <v/>
      </c>
      <c r="J79" s="32">
        <f>ROUND(I79*E79,2)</f>
        <v/>
      </c>
    </row>
    <row r="80" hidden="1" outlineLevel="1" ht="38.25" customFormat="1" customHeight="1" s="196">
      <c r="A80" s="257" t="n">
        <v>54</v>
      </c>
      <c r="B80" s="137" t="inlineStr">
        <is>
          <t>03.2.01.01-0003</t>
        </is>
      </c>
      <c r="C80" s="181" t="inlineStr">
        <is>
          <t>Портландцемент общестроительного назначения бездобавочный М500 Д0 (ЦЕМ I 42,5Н)</t>
        </is>
      </c>
      <c r="D80" s="257" t="inlineStr">
        <is>
          <t>т</t>
        </is>
      </c>
      <c r="E80" s="341" t="n">
        <v>7.92e-05</v>
      </c>
      <c r="F80" s="274" t="n">
        <v>480</v>
      </c>
      <c r="G80" s="32">
        <f>ROUND(E80*F80,2)</f>
        <v/>
      </c>
      <c r="H80" s="130">
        <f>G80/$G$82</f>
        <v/>
      </c>
      <c r="I80" s="32">
        <f>ROUND(F80*Прил.10!$D$13,2)</f>
        <v/>
      </c>
      <c r="J80" s="32">
        <f>ROUND(I80*E80,2)</f>
        <v/>
      </c>
    </row>
    <row r="81" collapsed="1" ht="14.25" customFormat="1" customHeight="1" s="196">
      <c r="A81" s="257" t="n"/>
      <c r="B81" s="257" t="n"/>
      <c r="C81" s="256" t="inlineStr">
        <is>
          <t>Итого прочие материалы</t>
        </is>
      </c>
      <c r="D81" s="257" t="n"/>
      <c r="E81" s="341" t="n"/>
      <c r="F81" s="259" t="n"/>
      <c r="G81" s="32">
        <f>SUM(G42:G80)</f>
        <v/>
      </c>
      <c r="H81" s="130">
        <f>G81/$G$82</f>
        <v/>
      </c>
      <c r="I81" s="32" t="n"/>
      <c r="J81" s="32">
        <f>SUM(J42:J80)</f>
        <v/>
      </c>
    </row>
    <row r="82" ht="14.25" customFormat="1" customHeight="1" s="196">
      <c r="A82" s="257" t="n"/>
      <c r="B82" s="257" t="n"/>
      <c r="C82" s="246" t="inlineStr">
        <is>
          <t>Итого по разделу «Материалы»</t>
        </is>
      </c>
      <c r="D82" s="257" t="n"/>
      <c r="E82" s="258" t="n"/>
      <c r="F82" s="259" t="n"/>
      <c r="G82" s="32">
        <f>G41+G81</f>
        <v/>
      </c>
      <c r="H82" s="260">
        <f>G82/$G$82</f>
        <v/>
      </c>
      <c r="I82" s="32" t="n"/>
      <c r="J82" s="32">
        <f>J41+J81</f>
        <v/>
      </c>
    </row>
    <row r="83" ht="14.25" customFormat="1" customHeight="1" s="196">
      <c r="A83" s="257" t="n"/>
      <c r="B83" s="257" t="n"/>
      <c r="C83" s="256" t="inlineStr">
        <is>
          <t>ИТОГО ПО РМ</t>
        </is>
      </c>
      <c r="D83" s="257" t="n"/>
      <c r="E83" s="258" t="n"/>
      <c r="F83" s="259" t="n"/>
      <c r="G83" s="32">
        <f>G14+G29+G82</f>
        <v/>
      </c>
      <c r="H83" s="260" t="n"/>
      <c r="I83" s="32" t="n"/>
      <c r="J83" s="32">
        <f>J14+J29+J82</f>
        <v/>
      </c>
    </row>
    <row r="84" ht="14.25" customFormat="1" customHeight="1" s="196">
      <c r="A84" s="257" t="n"/>
      <c r="B84" s="257" t="n"/>
      <c r="C84" s="256" t="inlineStr">
        <is>
          <t>Накладные расходы</t>
        </is>
      </c>
      <c r="D84" s="135">
        <f>ROUND(G84/(G$16+$G$14),2)</f>
        <v/>
      </c>
      <c r="E84" s="258" t="n"/>
      <c r="F84" s="259" t="n"/>
      <c r="G84" s="32" t="n">
        <v>3697.91</v>
      </c>
      <c r="H84" s="260" t="n"/>
      <c r="I84" s="32" t="n"/>
      <c r="J84" s="32">
        <f>ROUND(D84*(J14+J16),2)</f>
        <v/>
      </c>
    </row>
    <row r="85" ht="14.25" customFormat="1" customHeight="1" s="196">
      <c r="A85" s="257" t="n"/>
      <c r="B85" s="257" t="n"/>
      <c r="C85" s="256" t="inlineStr">
        <is>
          <t>Сметная прибыль</t>
        </is>
      </c>
      <c r="D85" s="135">
        <f>ROUND(G85/(G$14+G$16),2)</f>
        <v/>
      </c>
      <c r="E85" s="258" t="n"/>
      <c r="F85" s="259" t="n"/>
      <c r="G85" s="32" t="n">
        <v>1941.39</v>
      </c>
      <c r="H85" s="260" t="n"/>
      <c r="I85" s="32" t="n"/>
      <c r="J85" s="32">
        <f>ROUND(D85*(J14+J16),2)</f>
        <v/>
      </c>
    </row>
    <row r="86" ht="14.25" customFormat="1" customHeight="1" s="196">
      <c r="A86" s="257" t="n"/>
      <c r="B86" s="257" t="n"/>
      <c r="C86" s="256" t="inlineStr">
        <is>
          <t>Итого СМР (с НР и СП)</t>
        </is>
      </c>
      <c r="D86" s="257" t="n"/>
      <c r="E86" s="258" t="n"/>
      <c r="F86" s="259" t="n"/>
      <c r="G86" s="32">
        <f>G14+G29+G82+G84+G85</f>
        <v/>
      </c>
      <c r="H86" s="260" t="n"/>
      <c r="I86" s="32" t="n"/>
      <c r="J86" s="32">
        <f>J14+J29+J82+J84+J85</f>
        <v/>
      </c>
    </row>
    <row r="87" ht="14.25" customFormat="1" customHeight="1" s="196">
      <c r="A87" s="257" t="n"/>
      <c r="B87" s="257" t="n"/>
      <c r="C87" s="256" t="inlineStr">
        <is>
          <t>ВСЕГО СМР + ОБОРУДОВАНИЕ</t>
        </is>
      </c>
      <c r="D87" s="257" t="n"/>
      <c r="E87" s="258" t="n"/>
      <c r="F87" s="259" t="n"/>
      <c r="G87" s="32">
        <f>G86+G35</f>
        <v/>
      </c>
      <c r="H87" s="260" t="n"/>
      <c r="I87" s="32" t="n"/>
      <c r="J87" s="32">
        <f>J86+J35</f>
        <v/>
      </c>
    </row>
    <row r="88" ht="34.5" customFormat="1" customHeight="1" s="196">
      <c r="A88" s="257" t="n"/>
      <c r="B88" s="257" t="n"/>
      <c r="C88" s="256" t="inlineStr">
        <is>
          <t>ИТОГО ПОКАЗАТЕЛЬ НА ЕД. ИЗМ.</t>
        </is>
      </c>
      <c r="D88" s="257" t="inlineStr">
        <is>
          <t>система</t>
        </is>
      </c>
      <c r="E88" s="341" t="n">
        <v>1</v>
      </c>
      <c r="F88" s="259" t="n"/>
      <c r="G88" s="32">
        <f>G87/E88</f>
        <v/>
      </c>
      <c r="H88" s="260" t="n"/>
      <c r="I88" s="32" t="n"/>
      <c r="J88" s="32">
        <f>J87/E88</f>
        <v/>
      </c>
    </row>
    <row r="90" ht="14.25" customFormat="1" customHeight="1" s="196">
      <c r="A90" s="186" t="inlineStr">
        <is>
          <t>Составил ______________________    А.Р. Маркова</t>
        </is>
      </c>
    </row>
    <row r="91" ht="14.25" customFormat="1" customHeight="1" s="196">
      <c r="A91" s="197" t="inlineStr">
        <is>
          <t xml:space="preserve">                         (подпись, инициалы, фамилия)</t>
        </is>
      </c>
    </row>
    <row r="92" ht="14.25" customFormat="1" customHeight="1" s="196">
      <c r="A92" s="186" t="n"/>
    </row>
    <row r="93" ht="14.25" customFormat="1" customHeight="1" s="196">
      <c r="A93" s="186" t="inlineStr">
        <is>
          <t>Проверил ______________________        А.В. Костянецкая</t>
        </is>
      </c>
    </row>
    <row r="94" ht="14.25" customFormat="1" customHeight="1" s="196">
      <c r="A94" s="19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38:H38"/>
    <mergeCell ref="B37:H37"/>
    <mergeCell ref="I9:J9"/>
  </mergeCells>
  <conditionalFormatting sqref="B19:B22">
    <cfRule type="duplicateValues" priority="1" dxfId="0"/>
  </conditionalFormatting>
  <conditionalFormatting sqref="B24:B27">
    <cfRule type="duplicateValues" priority="2" dxfId="0"/>
  </conditionalFormatting>
  <conditionalFormatting sqref="B39:B40">
    <cfRule type="duplicateValues" priority="3" dxfId="0"/>
  </conditionalFormatting>
  <conditionalFormatting sqref="B42:B80">
    <cfRule type="duplicateValues" priority="4" dxfId="0"/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3" workbookViewId="0">
      <selection activeCell="E18" sqref="E18"/>
    </sheetView>
  </sheetViews>
  <sheetFormatPr baseColWidth="8" defaultRowHeight="15"/>
  <cols>
    <col width="5.7109375" customWidth="1" style="199" min="1" max="1"/>
    <col width="17.5703125" customWidth="1" style="199" min="2" max="2"/>
    <col width="39.140625" customWidth="1" style="199" min="3" max="3"/>
    <col width="10.7109375" customWidth="1" style="199" min="4" max="4"/>
    <col width="13.85546875" customWidth="1" style="199" min="5" max="5"/>
    <col width="13.28515625" customWidth="1" style="199" min="6" max="6"/>
    <col width="14.140625" customWidth="1" style="199" min="7" max="7"/>
  </cols>
  <sheetData>
    <row r="1">
      <c r="A1" s="270" t="inlineStr">
        <is>
          <t>Приложение №6</t>
        </is>
      </c>
    </row>
    <row r="2" ht="21.75" customHeight="1" s="199">
      <c r="A2" s="270" t="n"/>
      <c r="B2" s="270" t="n"/>
      <c r="C2" s="270" t="n"/>
      <c r="D2" s="270" t="n"/>
      <c r="E2" s="270" t="n"/>
      <c r="F2" s="270" t="n"/>
      <c r="G2" s="270" t="n"/>
    </row>
    <row r="3">
      <c r="A3" s="222" t="inlineStr">
        <is>
          <t>Расчет стоимости оборудования</t>
        </is>
      </c>
    </row>
    <row r="4" ht="25.5" customHeight="1" s="199">
      <c r="A4" s="225" t="inlineStr">
        <is>
          <t>Наименование разрабатываемого показателя УНЦ — РЗА УШР</t>
        </is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99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7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 s="199">
      <c r="A9" s="25" t="n"/>
      <c r="B9" s="256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 s="199">
      <c r="A10" s="257" t="n"/>
      <c r="B10" s="246" t="n"/>
      <c r="C10" s="256" t="inlineStr">
        <is>
          <t>ИТОГО ИНЖЕНЕРНОЕ ОБОРУДОВАНИЕ</t>
        </is>
      </c>
      <c r="D10" s="246" t="n"/>
      <c r="E10" s="105" t="n"/>
      <c r="F10" s="259" t="n"/>
      <c r="G10" s="259" t="n">
        <v>0</v>
      </c>
    </row>
    <row r="11">
      <c r="A11" s="257" t="n"/>
      <c r="B11" s="256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33" customHeight="1" s="199">
      <c r="A12" s="257" t="n">
        <v>1</v>
      </c>
      <c r="B12" s="256">
        <f>'Прил.5 Расчет СМР и ОБ'!B32</f>
        <v/>
      </c>
      <c r="C12" s="256">
        <f>'Прил.5 Расчет СМР и ОБ'!C32</f>
        <v/>
      </c>
      <c r="D12" s="257">
        <f>'Прил.5 Расчет СМР и ОБ'!D32</f>
        <v/>
      </c>
      <c r="E12" s="341">
        <f>'Прил.5 Расчет СМР и ОБ'!E32</f>
        <v/>
      </c>
      <c r="F12" s="32">
        <f>'Прил.5 Расчет СМР и ОБ'!F32</f>
        <v/>
      </c>
      <c r="G12" s="32">
        <f>ROUND(E12*F12,2)</f>
        <v/>
      </c>
    </row>
    <row r="13" ht="25.5" customHeight="1" s="199">
      <c r="A13" s="257" t="n"/>
      <c r="B13" s="256" t="n"/>
      <c r="C13" s="256" t="inlineStr">
        <is>
          <t>ИТОГО ТЕХНОЛОГИЧЕСКОЕ ОБОРУДОВАНИЕ</t>
        </is>
      </c>
      <c r="D13" s="256" t="n"/>
      <c r="E13" s="274" t="n"/>
      <c r="F13" s="259" t="n"/>
      <c r="G13" s="32">
        <f>SUM(G12:G12)</f>
        <v/>
      </c>
    </row>
    <row r="14" ht="19.5" customHeight="1" s="199">
      <c r="A14" s="257" t="n"/>
      <c r="B14" s="256" t="n"/>
      <c r="C14" s="256" t="inlineStr">
        <is>
          <t>Всего по разделу «Оборудование»</t>
        </is>
      </c>
      <c r="D14" s="256" t="n"/>
      <c r="E14" s="274" t="n"/>
      <c r="F14" s="259" t="n"/>
      <c r="G14" s="32">
        <f>G10+G13</f>
        <v/>
      </c>
    </row>
    <row r="15">
      <c r="A15" s="194" t="n"/>
      <c r="B15" s="195" t="n"/>
      <c r="C15" s="194" t="n"/>
      <c r="D15" s="194" t="n"/>
      <c r="E15" s="194" t="n"/>
      <c r="F15" s="194" t="n"/>
      <c r="G15" s="194" t="n"/>
    </row>
    <row r="16">
      <c r="A16" s="186" t="inlineStr">
        <is>
          <t>Составил ______________________    А.Р. Маркова</t>
        </is>
      </c>
      <c r="B16" s="196" t="n"/>
      <c r="C16" s="196" t="n"/>
      <c r="D16" s="194" t="n"/>
      <c r="E16" s="194" t="n"/>
      <c r="F16" s="194" t="n"/>
      <c r="G16" s="194" t="n"/>
    </row>
    <row r="17">
      <c r="A17" s="197" t="inlineStr">
        <is>
          <t xml:space="preserve">                         (подпись, инициалы, фамилия)</t>
        </is>
      </c>
      <c r="B17" s="196" t="n"/>
      <c r="C17" s="196" t="n"/>
      <c r="D17" s="194" t="n"/>
      <c r="E17" s="194" t="n"/>
      <c r="F17" s="194" t="n"/>
      <c r="G17" s="194" t="n"/>
    </row>
    <row r="18">
      <c r="A18" s="186" t="n"/>
      <c r="B18" s="196" t="n"/>
      <c r="C18" s="196" t="n"/>
      <c r="D18" s="194" t="n"/>
      <c r="E18" s="194" t="n"/>
      <c r="F18" s="194" t="n"/>
      <c r="G18" s="194" t="n"/>
    </row>
    <row r="19">
      <c r="A19" s="186" t="inlineStr">
        <is>
          <t>Проверил ______________________        А.В. Костянецкая</t>
        </is>
      </c>
      <c r="B19" s="196" t="n"/>
      <c r="C19" s="196" t="n"/>
      <c r="D19" s="194" t="n"/>
      <c r="E19" s="194" t="n"/>
      <c r="F19" s="194" t="n"/>
      <c r="G19" s="194" t="n"/>
    </row>
    <row r="20">
      <c r="A20" s="197" t="inlineStr">
        <is>
          <t xml:space="preserve">                        (подпись, инициалы, фамилия)</t>
        </is>
      </c>
      <c r="B20" s="196" t="n"/>
      <c r="C20" s="196" t="n"/>
      <c r="D20" s="194" t="n"/>
      <c r="E20" s="194" t="n"/>
      <c r="F20" s="194" t="n"/>
      <c r="G20" s="19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99" min="1" max="1"/>
    <col width="29.7109375" customWidth="1" style="199" min="2" max="2"/>
    <col width="39.140625" customWidth="1" style="199" min="3" max="3"/>
    <col width="24.5703125" customWidth="1" style="199" min="4" max="4"/>
  </cols>
  <sheetData>
    <row r="1">
      <c r="B1" s="186" t="n"/>
      <c r="C1" s="186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199">
      <c r="A3" s="222" t="inlineStr">
        <is>
          <t>Расчет показателя УНЦ</t>
        </is>
      </c>
    </row>
    <row r="4" ht="24.75" customHeight="1" s="199">
      <c r="A4" s="222" t="n"/>
      <c r="B4" s="222" t="n"/>
      <c r="C4" s="222" t="n"/>
      <c r="D4" s="222" t="n"/>
    </row>
    <row r="5" ht="24.6" customHeight="1" s="199">
      <c r="A5" s="225" t="inlineStr">
        <is>
          <t xml:space="preserve">Наименование разрабатываемого показателя УНЦ - </t>
        </is>
      </c>
      <c r="D5" s="225">
        <f>'Прил.5 Расчет СМР и ОБ'!D6:J6</f>
        <v/>
      </c>
    </row>
    <row r="6" ht="19.9" customHeight="1" s="199">
      <c r="A6" s="225" t="inlineStr">
        <is>
          <t>Единица измерения  — 1 ед</t>
        </is>
      </c>
      <c r="D6" s="225" t="n"/>
    </row>
    <row r="7">
      <c r="A7" s="186" t="n"/>
      <c r="B7" s="186" t="n"/>
      <c r="C7" s="186" t="n"/>
      <c r="D7" s="186" t="n"/>
    </row>
    <row r="8" ht="14.45" customHeight="1" s="199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99">
      <c r="A9" s="331" t="n"/>
      <c r="B9" s="331" t="n"/>
      <c r="C9" s="331" t="n"/>
      <c r="D9" s="331" t="n"/>
    </row>
    <row r="10">
      <c r="A10" s="257" t="n">
        <v>1</v>
      </c>
      <c r="B10" s="257" t="n">
        <v>2</v>
      </c>
      <c r="C10" s="257" t="n">
        <v>3</v>
      </c>
      <c r="D10" s="257" t="n">
        <v>4</v>
      </c>
    </row>
    <row r="11" ht="41.45" customHeight="1" s="199">
      <c r="A11" s="257" t="inlineStr">
        <is>
          <t>М9-08-2</t>
        </is>
      </c>
      <c r="B11" s="257" t="inlineStr">
        <is>
          <t xml:space="preserve">УНЦ КРМ 110 - 750 кВ </t>
        </is>
      </c>
      <c r="C11" s="191">
        <f>D5</f>
        <v/>
      </c>
      <c r="D11" s="192">
        <f>'Прил.4 РМ'!C41/1000</f>
        <v/>
      </c>
      <c r="E11" s="193" t="n"/>
    </row>
    <row r="12">
      <c r="A12" s="194" t="n"/>
      <c r="B12" s="195" t="n"/>
      <c r="C12" s="194" t="n"/>
      <c r="D12" s="194" t="n"/>
    </row>
    <row r="13">
      <c r="A13" s="186" t="inlineStr">
        <is>
          <t>Составил ______________________      А.Р. Маркова</t>
        </is>
      </c>
      <c r="B13" s="196" t="n"/>
      <c r="C13" s="196" t="n"/>
      <c r="D13" s="194" t="n"/>
    </row>
    <row r="14">
      <c r="A14" s="197" t="inlineStr">
        <is>
          <t xml:space="preserve">                         (подпись, инициалы, фамилия)</t>
        </is>
      </c>
      <c r="B14" s="196" t="n"/>
      <c r="C14" s="196" t="n"/>
      <c r="D14" s="194" t="n"/>
    </row>
    <row r="15">
      <c r="A15" s="186" t="n"/>
      <c r="B15" s="196" t="n"/>
      <c r="C15" s="196" t="n"/>
      <c r="D15" s="194" t="n"/>
    </row>
    <row r="16">
      <c r="A16" s="186" t="inlineStr">
        <is>
          <t>Проверил ______________________        А.В. Костянецкая</t>
        </is>
      </c>
      <c r="B16" s="196" t="n"/>
      <c r="C16" s="196" t="n"/>
      <c r="D16" s="194" t="n"/>
    </row>
    <row r="17">
      <c r="A17" s="197" t="inlineStr">
        <is>
          <t xml:space="preserve">                        (подпись, инициалы, фамилия)</t>
        </is>
      </c>
      <c r="B17" s="196" t="n"/>
      <c r="C17" s="196" t="n"/>
      <c r="D17" s="19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5" sqref="D25"/>
    </sheetView>
  </sheetViews>
  <sheetFormatPr baseColWidth="8" defaultColWidth="9.140625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32" t="inlineStr">
        <is>
          <t>Приложение № 10</t>
        </is>
      </c>
    </row>
    <row r="5" ht="18.75" customHeight="1" s="199">
      <c r="B5" s="120" t="n"/>
    </row>
    <row r="6" ht="15.75" customHeight="1" s="199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199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199">
      <c r="B10" s="238" t="n">
        <v>1</v>
      </c>
      <c r="C10" s="238" t="n">
        <v>2</v>
      </c>
      <c r="D10" s="238" t="n">
        <v>3</v>
      </c>
    </row>
    <row r="11" ht="45" customHeight="1" s="199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199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  прил.1</t>
        </is>
      </c>
      <c r="D12" s="238" t="n">
        <v>13.47</v>
      </c>
    </row>
    <row r="13" ht="29.25" customHeight="1" s="199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8.039999999999999</v>
      </c>
    </row>
    <row r="14" ht="30.75" customHeight="1" s="199">
      <c r="B14" s="238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199">
      <c r="B15" s="238" t="inlineStr">
        <is>
          <t>Временные здания и сооружения</t>
        </is>
      </c>
      <c r="C15" s="2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199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199">
      <c r="B17" s="238" t="inlineStr">
        <is>
          <t>Строительный контроль</t>
        </is>
      </c>
      <c r="C17" s="238" t="inlineStr">
        <is>
          <t>Постановление Правительства РФ от 21.06.10 г. № 468</t>
        </is>
      </c>
      <c r="D17" s="122" t="n">
        <v>0.0214</v>
      </c>
    </row>
    <row r="18" ht="31.5" customHeight="1" s="199">
      <c r="B18" s="238" t="inlineStr">
        <is>
          <t>Авторский надзор - 0,2%</t>
        </is>
      </c>
      <c r="C18" s="238" t="inlineStr">
        <is>
          <t>Приказ от 4.08.2020 № 421/пр п.173</t>
        </is>
      </c>
      <c r="D18" s="122" t="n">
        <v>0.002</v>
      </c>
    </row>
    <row r="19" ht="24" customHeight="1" s="199">
      <c r="B19" s="238" t="inlineStr">
        <is>
          <t>Непредвиденные расходы</t>
        </is>
      </c>
      <c r="C19" s="238" t="inlineStr">
        <is>
          <t>Приказ от 4.08.2020 № 421/пр п.179</t>
        </is>
      </c>
      <c r="D19" s="122" t="n">
        <v>0.03</v>
      </c>
    </row>
    <row r="20" ht="18.75" customHeight="1" s="199">
      <c r="B20" s="121" t="n"/>
    </row>
    <row r="21" ht="18.75" customHeight="1" s="199">
      <c r="B21" s="121" t="n"/>
    </row>
    <row r="22" ht="18.75" customHeight="1" s="199">
      <c r="B22" s="121" t="n"/>
    </row>
    <row r="23" ht="18.75" customHeight="1" s="199">
      <c r="B23" s="121" t="n"/>
    </row>
    <row r="26">
      <c r="B26" s="186" t="inlineStr">
        <is>
          <t>Составил ______________________        А.Р. Маркова</t>
        </is>
      </c>
      <c r="C26" s="196" t="n"/>
    </row>
    <row r="27">
      <c r="B27" s="197" t="inlineStr">
        <is>
          <t xml:space="preserve">                         (подпись, инициалы, фамилия)</t>
        </is>
      </c>
      <c r="C27" s="196" t="n"/>
    </row>
    <row r="28">
      <c r="B28" s="186" t="n"/>
      <c r="C28" s="196" t="n"/>
    </row>
    <row r="29">
      <c r="B29" s="186" t="inlineStr">
        <is>
          <t>Проверил ______________________        А.В. Костянецкая</t>
        </is>
      </c>
      <c r="C29" s="196" t="n"/>
    </row>
    <row r="30">
      <c r="B30" s="197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53.7109375" bestFit="1" customWidth="1" style="199" min="6" max="6"/>
  </cols>
  <sheetData>
    <row r="1" s="199"/>
    <row r="2" ht="18" customHeight="1" s="199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6" customHeight="1" s="199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201" t="n"/>
    </row>
    <row r="6" ht="15.6" customHeight="1" s="199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201" t="n"/>
    </row>
    <row r="7" ht="109.1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1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6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07" t="n">
        <v>1</v>
      </c>
      <c r="F9" s="208" t="n"/>
      <c r="G9" s="210" t="n"/>
    </row>
    <row r="10" ht="15.6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38" t="n"/>
      <c r="D10" s="238" t="n"/>
      <c r="E10" s="345" t="n">
        <v>3.9</v>
      </c>
      <c r="F10" s="208" t="inlineStr">
        <is>
          <t>РТМ</t>
        </is>
      </c>
      <c r="G10" s="210" t="n"/>
    </row>
    <row r="11" ht="78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346" t="n">
        <v>1.324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" customHeight="1" s="199">
      <c r="A12" s="213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347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99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2025-01-24T12:15:17Z</dcterms:modified>
  <cp:lastModifiedBy>Николай Трофименко</cp:lastModifiedBy>
  <cp:lastPrinted>2023-11-27T08:00:44Z</cp:lastPrinted>
</cp:coreProperties>
</file>