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770" windowHeight="12195" tabRatio="878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IntlFixup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Fill">#REF!</definedName>
    <definedName name="_xlnm._FilterDatabase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AS2DocOpenMode">"AS2DocumentEdit"</definedName>
    <definedName name="BLPH1">#REF!</definedName>
    <definedName name="BLPH2">#REF!</definedName>
    <definedName name="ehc">#REF!</definedName>
    <definedName name="hfcxtn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>{#N/A,#N/A,FALSE,"Aging Summary";#N/A,#N/A,FALSE,"Ratio Analysis";#N/A,#N/A,FALSE,"Test 120 Day Accts";#N/A,#N/A,FALSE,"Tickmarks"}</definedName>
    <definedName name="корр">{#N/A,#N/A,FALSE,"Шаблон_Спец1"}</definedName>
    <definedName name="С">{#N/A,#N/A,FALSE,"Шаблон_Спец1"}</definedName>
    <definedName name="урс123">#REF!</definedName>
    <definedName name="_xlnm.Print_Titles" localSheetId="2">'Прил.3'!$9:$11</definedName>
    <definedName name="_xlnm.Print_Area" localSheetId="2">'Прил.3'!$A$1:$H$53</definedName>
    <definedName name="_xlnm.Print_Titles" localSheetId="4">'Прил.5 Расчет СМР и ОБ'!$9:$11</definedName>
    <definedName name="_xlnm.Print_Area" localSheetId="4">'Прил.5 Расчет СМР и ОБ'!$A$1:$J$69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#,##0.0000"/>
    <numFmt numFmtId="166" formatCode="0.0000"/>
    <numFmt numFmtId="167" formatCode="_-* #,##0.0\ _₽_-;\-* #,##0.0\ _₽_-;_-* &quot;-&quot;??\ _₽_-;_-@_-"/>
    <numFmt numFmtId="168" formatCode="_-* #,##0.00\ _₽_-;\-* #,##0.00\ _₽_-;_-* &quot;-&quot;??\ _₽_-;_-@_-"/>
    <numFmt numFmtId="169" formatCode="#,##0.0"/>
    <numFmt numFmtId="170" formatCode="#,##0.000"/>
  </numFmts>
  <fonts count="14">
    <font>
      <name val="Calibri"/>
      <color rgb="FF000000"/>
      <sz val="11"/>
    </font>
    <font>
      <name val="Calibri"/>
      <color rgb="FFFF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Arial"/>
      <color rgb="FF000000"/>
      <sz val="10"/>
    </font>
    <font>
      <name val="Arial"/>
      <color rgb="FF000000"/>
      <sz val="11"/>
    </font>
    <font>
      <name val="Arial"/>
      <color rgb="FF000000"/>
      <sz val="9"/>
    </font>
    <font>
      <name val="Calibri"/>
      <color rgb="FF00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justify" vertical="center"/>
    </xf>
    <xf numFmtId="0" fontId="5" fillId="0" borderId="0" pivotButton="0" quotePrefix="0" xfId="0"/>
    <xf numFmtId="4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0" fontId="6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16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4" fontId="3" fillId="0" borderId="1" applyAlignment="1" pivotButton="0" quotePrefix="0" xfId="0">
      <alignment horizontal="right" vertical="top"/>
    </xf>
    <xf numFmtId="4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10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vertical="top" wrapText="1"/>
    </xf>
    <xf numFmtId="9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pivotButton="0" quotePrefix="0" xfId="0"/>
    <xf numFmtId="0" fontId="4" fillId="0" borderId="0" pivotButton="0" quotePrefix="0" xfId="0"/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0" pivotButton="0" quotePrefix="0" xfId="0"/>
    <xf numFmtId="4" fontId="3" fillId="0" borderId="0" pivotButton="0" quotePrefix="0" xfId="0"/>
    <xf numFmtId="0" fontId="2" fillId="0" borderId="0" applyAlignment="1" pivotButton="0" quotePrefix="0" xfId="0">
      <alignment horizontal="right" vertical="center"/>
    </xf>
    <xf numFmtId="10" fontId="3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vertical="center"/>
    </xf>
    <xf numFmtId="10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vertical="center" wrapText="1"/>
    </xf>
    <xf numFmtId="4" fontId="3" fillId="0" borderId="2" applyAlignment="1" pivotButton="0" quotePrefix="0" xfId="0">
      <alignment horizontal="right" vertical="center"/>
    </xf>
    <xf numFmtId="10" fontId="3" fillId="0" borderId="2" applyAlignment="1" pivotButton="0" quotePrefix="0" xfId="0">
      <alignment vertical="center" wrapText="1"/>
    </xf>
    <xf numFmtId="10" fontId="3" fillId="0" borderId="2" applyAlignment="1" pivotButton="0" quotePrefix="0" xfId="0">
      <alignment vertical="center"/>
    </xf>
    <xf numFmtId="4" fontId="3" fillId="0" borderId="0" pivotButton="0" quotePrefix="0" xfId="0"/>
    <xf numFmtId="0" fontId="3" fillId="0" borderId="1" pivotButton="0" quotePrefix="0" xfId="0"/>
    <xf numFmtId="10" fontId="3" fillId="0" borderId="1" pivotButton="0" quotePrefix="0" xfId="0"/>
    <xf numFmtId="0" fontId="3" fillId="0" borderId="3" applyAlignment="1" pivotButton="0" quotePrefix="0" xfId="0">
      <alignment vertical="center" wrapText="1"/>
    </xf>
    <xf numFmtId="4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/>
    </xf>
    <xf numFmtId="4" fontId="3" fillId="0" borderId="1" applyAlignment="1" pivotButton="0" quotePrefix="0" xfId="0">
      <alignment vertical="top"/>
    </xf>
    <xf numFmtId="0" fontId="7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 vertical="center"/>
    </xf>
    <xf numFmtId="4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4" fontId="3" fillId="0" borderId="1" applyAlignment="1" pivotButton="0" quotePrefix="0" xfId="0">
      <alignment vertical="top"/>
    </xf>
    <xf numFmtId="4" fontId="3" fillId="0" borderId="1" applyAlignment="1" pivotButton="0" quotePrefix="0" xfId="0">
      <alignment horizontal="right" vertical="top" wrapText="1"/>
    </xf>
    <xf numFmtId="4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top"/>
    </xf>
    <xf numFmtId="0" fontId="3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165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right" vertical="center" wrapText="1"/>
    </xf>
    <xf numFmtId="4" fontId="3" fillId="0" borderId="1" applyAlignment="1" pivotButton="0" quotePrefix="0" xfId="0">
      <alignment horizontal="right" vertical="center" wrapText="1"/>
    </xf>
    <xf numFmtId="10" fontId="3" fillId="0" borderId="4" applyAlignment="1" pivotButton="0" quotePrefix="0" xfId="0">
      <alignment horizontal="right" vertical="center" wrapText="1"/>
    </xf>
    <xf numFmtId="4" fontId="3" fillId="0" borderId="4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left" vertical="center" wrapText="1"/>
    </xf>
    <xf numFmtId="2" fontId="3" fillId="0" borderId="1" applyAlignment="1" pivotButton="0" quotePrefix="0" xfId="0">
      <alignment horizontal="center" vertical="center" wrapText="1"/>
    </xf>
    <xf numFmtId="166" fontId="3" fillId="0" borderId="1" applyAlignment="1" pivotButton="0" quotePrefix="0" xfId="0">
      <alignment horizontal="center" vertical="center" wrapText="1"/>
    </xf>
    <xf numFmtId="4" fontId="3" fillId="0" borderId="0" applyAlignment="1" pivotButton="0" quotePrefix="0" xfId="0">
      <alignment vertical="center" wrapText="1"/>
    </xf>
    <xf numFmtId="4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right" vertical="top" wrapText="1"/>
    </xf>
    <xf numFmtId="0" fontId="3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4" fontId="3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horizontal="center" vertical="center"/>
    </xf>
    <xf numFmtId="0" fontId="7" fillId="0" borderId="0" pivotButton="0" quotePrefix="0" xfId="0"/>
    <xf numFmtId="0" fontId="8" fillId="0" borderId="0" pivotButton="0" quotePrefix="0" xfId="0"/>
    <xf numFmtId="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vertical="top"/>
    </xf>
    <xf numFmtId="0" fontId="3" fillId="0" borderId="0" pivotButton="0" quotePrefix="0" xfId="0"/>
    <xf numFmtId="167" fontId="3" fillId="0" borderId="0" pivotButton="0" quotePrefix="0" xfId="0"/>
    <xf numFmtId="10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3" fontId="3" fillId="0" borderId="1" applyAlignment="1" pivotButton="0" quotePrefix="0" xfId="0">
      <alignment vertical="center" wrapText="1"/>
    </xf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horizontal="center" vertical="center" wrapText="1"/>
    </xf>
    <xf numFmtId="14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168" fontId="3" fillId="0" borderId="0" pivotButton="0" quotePrefix="0" xfId="0"/>
    <xf numFmtId="168" fontId="3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49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9" fillId="0" borderId="0" pivotButton="0" quotePrefix="0" xfId="0"/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9" fontId="3" fillId="0" borderId="1" applyAlignment="1" pivotButton="0" quotePrefix="0" xfId="0">
      <alignment horizontal="center" vertical="center"/>
    </xf>
    <xf numFmtId="17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166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wrapText="1"/>
    </xf>
    <xf numFmtId="49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left" vertical="center"/>
    </xf>
    <xf numFmtId="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2" fontId="5" fillId="0" borderId="1" applyAlignment="1" pivotButton="0" quotePrefix="0" xfId="0">
      <alignment horizontal="center" vertical="center" wrapText="1"/>
    </xf>
    <xf numFmtId="2" fontId="5" fillId="0" borderId="1" applyAlignment="1" pivotButton="0" quotePrefix="0" xfId="0">
      <alignment horizontal="right" vertical="center" wrapText="1"/>
    </xf>
    <xf numFmtId="10" fontId="5" fillId="0" borderId="4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2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right" vertical="center" wrapText="1"/>
    </xf>
    <xf numFmtId="10" fontId="3" fillId="0" borderId="4" applyAlignment="1" pivotButton="0" quotePrefix="0" xfId="0">
      <alignment horizontal="right" vertical="center" wrapText="1"/>
    </xf>
    <xf numFmtId="4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vertical="center" wrapText="1"/>
    </xf>
    <xf numFmtId="0" fontId="5" fillId="0" borderId="1" pivotButton="0" quotePrefix="0" xfId="0"/>
    <xf numFmtId="0" fontId="3" fillId="0" borderId="1" applyAlignment="1" pivotButton="0" quotePrefix="0" xfId="0">
      <alignment wrapText="1"/>
    </xf>
    <xf numFmtId="0" fontId="3" fillId="0" borderId="1" pivotButton="0" quotePrefix="0" xfId="0"/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3" pivotButton="0" quotePrefix="0" xfId="0"/>
    <xf numFmtId="43" fontId="3" fillId="0" borderId="1" applyAlignment="1" pivotButton="0" quotePrefix="0" xfId="0">
      <alignment vertical="center" wrapText="1"/>
    </xf>
    <xf numFmtId="168" fontId="3" fillId="0" borderId="0" pivotButton="0" quotePrefix="0" xfId="0"/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</cellXfs>
  <cellStyles count="1">
    <cellStyle name="Обычный" xfId="0" builtinId="0"/>
  </cellStyles>
  <dxfs count="18"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  <dxf>
      <numFmt numFmtId="165" formatCode="#,##0.00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3"/>
  <sheetViews>
    <sheetView view="pageBreakPreview" topLeftCell="A19" zoomScale="115" workbookViewId="0">
      <selection activeCell="D29" sqref="D29"/>
    </sheetView>
  </sheetViews>
  <sheetFormatPr baseColWidth="8" defaultRowHeight="15"/>
  <cols>
    <col width="9.140625" customWidth="1" style="155" min="1" max="2"/>
    <col width="36.85546875" customWidth="1" style="155" min="3" max="3"/>
    <col width="39.42578125" customWidth="1" style="155" min="4" max="4"/>
    <col width="9.140625" customWidth="1" style="155" min="5" max="5"/>
  </cols>
  <sheetData>
    <row r="3" ht="15.6" customHeight="1" s="155">
      <c r="B3" s="178" t="inlineStr">
        <is>
          <t>Приложение № 1</t>
        </is>
      </c>
    </row>
    <row r="4" ht="17.45" customHeight="1" s="155">
      <c r="B4" s="179" t="inlineStr">
        <is>
          <t>Сравнительная таблица отбора объекта-представителя</t>
        </is>
      </c>
    </row>
    <row r="5" ht="75" customHeight="1" s="155">
      <c r="B5" s="18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" customHeight="1" s="155">
      <c r="B6" s="146" t="n"/>
      <c r="C6" s="146" t="n"/>
      <c r="D6" s="146" t="n"/>
    </row>
    <row r="7" ht="15.6" customHeight="1" s="155">
      <c r="B7" s="177" t="inlineStr">
        <is>
          <t>Наименование разрабатываемого показателя УНЦ — Н1-01-1___1 труба 110 до 400 м_ФСЭМ</t>
        </is>
      </c>
    </row>
    <row r="8" ht="15.6" customHeight="1" s="155">
      <c r="B8" s="177" t="inlineStr">
        <is>
          <t>Сопоставимый уровень цен: 2 кв. 2017</t>
        </is>
      </c>
    </row>
    <row r="9" ht="15.6" customHeight="1" s="155">
      <c r="B9" s="177" t="inlineStr">
        <is>
          <t>Единица измерения  —  км</t>
        </is>
      </c>
    </row>
    <row r="10" ht="18" customHeight="1" s="155">
      <c r="B10" s="144" t="n"/>
    </row>
    <row r="11" ht="15.6" customHeight="1" s="155">
      <c r="B11" s="183" t="inlineStr">
        <is>
          <t>№ п/п</t>
        </is>
      </c>
      <c r="C11" s="183" t="inlineStr">
        <is>
          <t>Параметр</t>
        </is>
      </c>
      <c r="D11" s="183" t="inlineStr">
        <is>
          <t>Объект-представитель</t>
        </is>
      </c>
    </row>
    <row r="12" ht="31.15" customHeight="1" s="155">
      <c r="B12" s="183" t="n">
        <v>1</v>
      </c>
      <c r="C12" s="202" t="inlineStr">
        <is>
          <t>Наименование объекта-представителя</t>
        </is>
      </c>
      <c r="D12" s="183" t="inlineStr">
        <is>
          <t>КВЛ 330 кВ Ленинградская АЭС -2-Пулковская-Южная</t>
        </is>
      </c>
    </row>
    <row r="13" ht="31.15" customHeight="1" s="155">
      <c r="B13" s="183" t="n">
        <v>2</v>
      </c>
      <c r="C13" s="202" t="inlineStr">
        <is>
          <t>Наименование субъекта Российской Федерации</t>
        </is>
      </c>
      <c r="D13" s="183" t="inlineStr">
        <is>
          <t>Ленинградская область</t>
        </is>
      </c>
    </row>
    <row r="14" ht="15.6" customHeight="1" s="155">
      <c r="B14" s="183" t="n">
        <v>3</v>
      </c>
      <c r="C14" s="202" t="inlineStr">
        <is>
          <t>Климатический район и подрайон</t>
        </is>
      </c>
      <c r="D14" s="183" t="inlineStr">
        <is>
          <t>IIВ</t>
        </is>
      </c>
    </row>
    <row r="15" ht="15.6" customHeight="1" s="155">
      <c r="B15" s="183" t="n">
        <v>4</v>
      </c>
      <c r="C15" s="202" t="inlineStr">
        <is>
          <t>Мощность объекта</t>
        </is>
      </c>
      <c r="D15" s="183" t="n">
        <v>0.025</v>
      </c>
    </row>
    <row r="16" ht="93.59999999999999" customHeight="1" s="155">
      <c r="B16" s="183" t="n">
        <v>5</v>
      </c>
      <c r="C16" s="14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83" t="inlineStr">
        <is>
          <t>Трубы ПЭ80 SDR17,6 Ø110 мм</t>
        </is>
      </c>
    </row>
    <row r="17" ht="78" customHeight="1" s="155">
      <c r="B17" s="183" t="n">
        <v>6</v>
      </c>
      <c r="C17" s="14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37">
        <f>SUM(D18:D21)</f>
        <v/>
      </c>
    </row>
    <row r="18" ht="15.6" customHeight="1" s="155">
      <c r="B18" s="150" t="inlineStr">
        <is>
          <t>6.1</t>
        </is>
      </c>
      <c r="C18" s="202" t="inlineStr">
        <is>
          <t>строительно-монтажные работы</t>
        </is>
      </c>
      <c r="D18" s="137">
        <f>1006465.12404+1016.59156</f>
        <v/>
      </c>
    </row>
    <row r="19" ht="15.6" customHeight="1" s="155">
      <c r="B19" s="150" t="inlineStr">
        <is>
          <t>6.2</t>
        </is>
      </c>
      <c r="C19" s="202" t="inlineStr">
        <is>
          <t>оборудование и инвентарь</t>
        </is>
      </c>
      <c r="D19" s="137" t="n"/>
    </row>
    <row r="20" ht="15.6" customHeight="1" s="155">
      <c r="B20" s="150" t="inlineStr">
        <is>
          <t>6.3</t>
        </is>
      </c>
      <c r="C20" s="202" t="inlineStr">
        <is>
          <t>пусконаладочные работы</t>
        </is>
      </c>
      <c r="D20" s="137" t="n"/>
    </row>
    <row r="21" ht="15.6" customHeight="1" s="155">
      <c r="B21" s="150" t="inlineStr">
        <is>
          <t>6.4</t>
        </is>
      </c>
      <c r="C21" s="202" t="inlineStr">
        <is>
          <t>прочие и лимитированные затраты</t>
        </is>
      </c>
      <c r="D21" s="137">
        <f>D18*3.9%+(D18+D18*3.9%)*1%</f>
        <v/>
      </c>
    </row>
    <row r="22" ht="15.6" customHeight="1" s="155">
      <c r="B22" s="183" t="n">
        <v>7</v>
      </c>
      <c r="C22" s="202" t="inlineStr">
        <is>
          <t>Сопоставимый уровень цен</t>
        </is>
      </c>
      <c r="D22" s="138" t="inlineStr">
        <is>
          <t>2 кв. 2017</t>
        </is>
      </c>
    </row>
    <row r="23" ht="109.15" customHeight="1" s="155">
      <c r="B23" s="183" t="n">
        <v>8</v>
      </c>
      <c r="C23" s="14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37">
        <f>D17</f>
        <v/>
      </c>
    </row>
    <row r="24" ht="46.9" customHeight="1" s="155">
      <c r="B24" s="183" t="n">
        <v>9</v>
      </c>
      <c r="C24" s="149" t="inlineStr">
        <is>
          <t>Приведенная сметная стоимость на единицу мощности, тыс. руб. (строка 8/строку 4)</t>
        </is>
      </c>
      <c r="D24" s="137">
        <f>D23/D15</f>
        <v/>
      </c>
    </row>
    <row r="25" ht="15.6" customHeight="1" s="155">
      <c r="B25" s="183" t="n">
        <v>10</v>
      </c>
      <c r="C25" s="202" t="inlineStr">
        <is>
          <t>Примечание</t>
        </is>
      </c>
      <c r="D25" s="183" t="n"/>
    </row>
    <row r="26" ht="15.6" customHeight="1" s="155">
      <c r="B26" s="151" t="n"/>
      <c r="C26" s="152" t="n"/>
      <c r="D26" s="140" t="n"/>
    </row>
    <row r="27" ht="15.6" customHeight="1" s="155">
      <c r="B27" s="157" t="n"/>
      <c r="C27" s="157" t="n"/>
      <c r="D27" s="140" t="n"/>
    </row>
    <row r="28" ht="15.6" customFormat="1" customHeight="1" s="157">
      <c r="B28" s="157" t="inlineStr">
        <is>
          <t>Составил ______________________        М.С. Колотиевская</t>
        </is>
      </c>
      <c r="C28" s="157" t="n"/>
    </row>
    <row r="29" ht="15.6" customFormat="1" customHeight="1" s="157">
      <c r="B29" s="151" t="inlineStr">
        <is>
          <t xml:space="preserve">                         (подпись, инициалы, фамилия)</t>
        </is>
      </c>
      <c r="C29" s="157" t="n"/>
    </row>
    <row r="30" ht="15.6" customFormat="1" customHeight="1" s="157">
      <c r="B30" s="157" t="n"/>
      <c r="C30" s="157" t="n"/>
    </row>
    <row r="31" ht="15.6" customFormat="1" customHeight="1" s="157">
      <c r="B31" s="157" t="inlineStr">
        <is>
          <t>Проверил ______________________      А.В. Костянецкая</t>
        </is>
      </c>
      <c r="C31" s="157" t="n"/>
    </row>
    <row r="32" ht="15.6" customFormat="1" customHeight="1" s="157">
      <c r="B32" s="151" t="inlineStr">
        <is>
          <t xml:space="preserve">                        (подпись, инициалы, фамилия)</t>
        </is>
      </c>
      <c r="C32" s="157" t="n"/>
    </row>
    <row r="33" ht="15.6" customHeight="1" s="155">
      <c r="B33" s="152" t="n"/>
      <c r="C33" s="152" t="n"/>
      <c r="D33" s="152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W24"/>
  <sheetViews>
    <sheetView view="pageBreakPreview" topLeftCell="A13" zoomScaleNormal="90" workbookViewId="0">
      <selection activeCell="D29" sqref="D29"/>
    </sheetView>
  </sheetViews>
  <sheetFormatPr baseColWidth="8" defaultColWidth="9.140625" defaultRowHeight="15"/>
  <cols>
    <col width="5.5703125" customWidth="1" style="155" min="1" max="1"/>
    <col width="9.140625" customWidth="1" style="155" min="2" max="2"/>
    <col width="35.28515625" customWidth="1" style="155" min="3" max="3"/>
    <col width="13.85546875" customWidth="1" style="155" min="4" max="4"/>
    <col width="17.42578125" customWidth="1" style="155" min="5" max="5"/>
    <col width="14.7109375" customWidth="1" style="155" min="6" max="6"/>
    <col width="14.85546875" customWidth="1" style="155" min="7" max="7"/>
    <col width="16.7109375" customWidth="1" style="155" min="8" max="8"/>
    <col width="8" customWidth="1" style="155" min="9" max="9"/>
    <col width="14.5703125" customWidth="1" style="155" min="10" max="10"/>
    <col width="19" customWidth="1" style="155" min="11" max="11"/>
    <col width="10.7109375" customWidth="1" style="155" min="12" max="12"/>
    <col width="19" customWidth="1" style="155" min="13" max="13"/>
  </cols>
  <sheetData>
    <row r="3" ht="15.6" customHeight="1" s="155">
      <c r="B3" s="178" t="inlineStr">
        <is>
          <t>Приложение № 2</t>
        </is>
      </c>
    </row>
    <row r="4" ht="15.6" customHeight="1" s="155">
      <c r="B4" s="182" t="inlineStr">
        <is>
          <t>Расчет стоимости основных видов работ для выбора объекта-представителя</t>
        </is>
      </c>
    </row>
    <row r="5" ht="15.6" customHeight="1" s="155">
      <c r="B5" s="9" t="n"/>
      <c r="C5" s="9" t="n"/>
      <c r="D5" s="9" t="n"/>
      <c r="E5" s="9" t="n"/>
      <c r="F5" s="9" t="n"/>
      <c r="G5" s="9" t="n"/>
      <c r="H5" s="9" t="n"/>
      <c r="I5" s="9" t="n"/>
      <c r="J5" s="9" t="n"/>
    </row>
    <row r="6" ht="15.6" customHeight="1" s="155">
      <c r="B6" s="177" t="inlineStr">
        <is>
          <t>Наименование разрабатываемого показателя УНЦ -  Н1-01-1___1 труба 110 до 400 м_ФСЭМ</t>
        </is>
      </c>
      <c r="K6" s="2" t="n"/>
    </row>
    <row r="7" ht="15.6" customHeight="1" s="155">
      <c r="B7" s="177" t="inlineStr">
        <is>
          <t>Единица измерения  — км</t>
        </is>
      </c>
      <c r="K7" s="2" t="n"/>
    </row>
    <row r="8" ht="18" customHeight="1" s="155">
      <c r="B8" s="144" t="n"/>
    </row>
    <row r="9" ht="15.6" customFormat="1" customHeight="1" s="157">
      <c r="B9" s="183" t="inlineStr">
        <is>
          <t>№ п/п</t>
        </is>
      </c>
      <c r="C9" s="18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83" t="inlineStr">
        <is>
          <t>Объект-представитель 1</t>
        </is>
      </c>
      <c r="E9" s="212" t="n"/>
      <c r="F9" s="212" t="n"/>
      <c r="G9" s="212" t="n"/>
      <c r="H9" s="212" t="n"/>
      <c r="I9" s="212" t="n"/>
      <c r="J9" s="213" t="n"/>
    </row>
    <row r="10" ht="15.6" customFormat="1" customHeight="1" s="157">
      <c r="B10" s="214" t="n"/>
      <c r="C10" s="214" t="n"/>
      <c r="D10" s="183" t="inlineStr">
        <is>
          <t>Номер сметы</t>
        </is>
      </c>
      <c r="E10" s="183" t="inlineStr">
        <is>
          <t>Наименование сметы</t>
        </is>
      </c>
      <c r="F10" s="183" t="inlineStr">
        <is>
          <t>Сметная стоимость в уровне цен 2 кв. 2017 г., тыс. руб.</t>
        </is>
      </c>
      <c r="G10" s="212" t="n"/>
      <c r="H10" s="212" t="n"/>
      <c r="I10" s="212" t="n"/>
      <c r="J10" s="213" t="n"/>
    </row>
    <row r="11" ht="31.15" customFormat="1" customHeight="1" s="157">
      <c r="B11" s="215" t="n"/>
      <c r="C11" s="215" t="n"/>
      <c r="D11" s="215" t="n"/>
      <c r="E11" s="215" t="n"/>
      <c r="F11" s="183" t="inlineStr">
        <is>
          <t>Строительные работы</t>
        </is>
      </c>
      <c r="G11" s="183" t="inlineStr">
        <is>
          <t>Монтажные работы</t>
        </is>
      </c>
      <c r="H11" s="183" t="inlineStr">
        <is>
          <t>Оборудование</t>
        </is>
      </c>
      <c r="I11" s="183" t="inlineStr">
        <is>
          <t>Прочее</t>
        </is>
      </c>
      <c r="J11" s="183" t="inlineStr">
        <is>
          <t>Всего</t>
        </is>
      </c>
    </row>
    <row r="12" ht="173.25" customFormat="1" customHeight="1" s="157">
      <c r="B12" s="183" t="n">
        <v>1</v>
      </c>
      <c r="C12" s="183" t="inlineStr">
        <is>
          <t>Трубы ПЭ80 SDR17,6 Ø110 мм</t>
        </is>
      </c>
      <c r="D12" s="150" t="inlineStr">
        <is>
          <t>02-04-01</t>
        </is>
      </c>
      <c r="E12" s="202" t="inlineStr">
        <is>
          <t>Строительные работы по устройству кабельного канала КВЛ ЛАЭС-Пулковская от СМ 6 до ПП (Лен.обл., Ломоносовский р-н)</t>
        </is>
      </c>
      <c r="F12" s="216">
        <f>122212980/1000*6.29</f>
        <v/>
      </c>
      <c r="G12" s="216">
        <f>772/1000*6.29</f>
        <v/>
      </c>
      <c r="H12" s="216" t="n"/>
      <c r="I12" s="216" t="n"/>
      <c r="J12" s="216">
        <f>SUM(F12:I12)</f>
        <v/>
      </c>
      <c r="K12" s="217" t="n"/>
      <c r="L12" s="217" t="n"/>
      <c r="M12" s="217" t="n"/>
      <c r="N12" s="157" t="n"/>
      <c r="O12" s="157" t="n"/>
      <c r="P12" s="157" t="n"/>
      <c r="Q12" s="157" t="n"/>
      <c r="R12" s="157" t="n"/>
      <c r="S12" s="157" t="n"/>
      <c r="T12" s="157" t="n"/>
      <c r="U12" s="157" t="n"/>
      <c r="V12" s="157" t="n"/>
      <c r="W12" s="157" t="n"/>
    </row>
    <row r="13" ht="126" customFormat="1" customHeight="1" s="157">
      <c r="B13" s="214" t="n"/>
      <c r="C13" s="214" t="n"/>
      <c r="D13" s="150" t="inlineStr">
        <is>
          <t xml:space="preserve">02-05-01.1 </t>
        </is>
      </c>
      <c r="E13" s="202" t="inlineStr">
        <is>
          <t>Строительные работы по устройству кабельного канала на участке от ПС Пулковская до СМ3 (СПб.)</t>
        </is>
      </c>
      <c r="F13" s="216">
        <f>21900919/1000*6.56</f>
        <v/>
      </c>
      <c r="G13" s="216">
        <f>85320/1000*6.56</f>
        <v/>
      </c>
      <c r="H13" s="216" t="n"/>
      <c r="I13" s="216" t="n"/>
      <c r="J13" s="216">
        <f>SUM(F13:I13)</f>
        <v/>
      </c>
      <c r="K13" s="217" t="n"/>
      <c r="L13" s="157" t="n"/>
      <c r="M13" s="157" t="n"/>
      <c r="N13" s="157" t="n"/>
      <c r="O13" s="157" t="n"/>
      <c r="P13" s="157" t="n"/>
      <c r="Q13" s="157" t="n"/>
      <c r="R13" s="157" t="n"/>
      <c r="S13" s="157" t="n"/>
      <c r="T13" s="157" t="n"/>
      <c r="U13" s="157" t="n"/>
      <c r="V13" s="157" t="n"/>
      <c r="W13" s="157" t="n"/>
    </row>
    <row r="14" ht="110.25" customFormat="1" customHeight="1" s="157">
      <c r="B14" s="215" t="n"/>
      <c r="C14" s="215" t="n"/>
      <c r="D14" s="150" t="inlineStr">
        <is>
          <t>02-05-01.2</t>
        </is>
      </c>
      <c r="E14" s="202" t="inlineStr">
        <is>
          <t>Строительные работы по устройству кабельного канала на участке от СМ3 до СМ6 (СПб.)</t>
        </is>
      </c>
      <c r="F14" s="216">
        <f>14340770/1000*6.56</f>
        <v/>
      </c>
      <c r="G14" s="216">
        <f>68908/1000*6.56</f>
        <v/>
      </c>
      <c r="H14" s="216" t="n"/>
      <c r="I14" s="216" t="n"/>
      <c r="J14" s="216">
        <f>SUM(F14:I14)</f>
        <v/>
      </c>
      <c r="K14" s="217" t="n"/>
    </row>
    <row r="15" ht="15.6" customFormat="1" customHeight="1" s="157">
      <c r="B15" s="181" t="inlineStr">
        <is>
          <t>Всего по объекту:</t>
        </is>
      </c>
      <c r="C15" s="212" t="n"/>
      <c r="D15" s="212" t="n"/>
      <c r="E15" s="213" t="n"/>
      <c r="F15" s="218">
        <f>SUM(F12:F14)</f>
        <v/>
      </c>
      <c r="G15" s="218">
        <f>SUM(G12:G14)</f>
        <v/>
      </c>
      <c r="H15" s="218">
        <f>SUM(H12:H14)</f>
        <v/>
      </c>
      <c r="I15" s="218">
        <f>SUM(I12:I14)</f>
        <v/>
      </c>
      <c r="J15" s="218">
        <f>SUM(F15:I15)</f>
        <v/>
      </c>
    </row>
    <row r="16" ht="28.5" customFormat="1" customHeight="1" s="157">
      <c r="B16" s="181" t="inlineStr">
        <is>
          <t>Всего по объекту в сопоставимом уровне цен 2 кв. 2017 г:</t>
        </is>
      </c>
      <c r="C16" s="212" t="n"/>
      <c r="D16" s="212" t="n"/>
      <c r="E16" s="213" t="n"/>
      <c r="F16" s="219">
        <f>F15</f>
        <v/>
      </c>
      <c r="G16" s="219">
        <f>G15</f>
        <v/>
      </c>
      <c r="H16" s="219">
        <f>H15</f>
        <v/>
      </c>
      <c r="I16" s="219">
        <f>I15</f>
        <v/>
      </c>
      <c r="J16" s="219">
        <f>SUM(F16:I16)</f>
        <v/>
      </c>
    </row>
    <row r="17" ht="15.6" customFormat="1" customHeight="1" s="157">
      <c r="B17" s="177" t="n"/>
    </row>
    <row r="18" ht="15.6" customFormat="1" customHeight="1" s="157"/>
    <row r="19" ht="15.6" customFormat="1" customHeight="1" s="157">
      <c r="C19" s="157" t="n"/>
      <c r="D19" s="157" t="n"/>
    </row>
    <row r="20" ht="15.6" customFormat="1" customHeight="1" s="157">
      <c r="C20" s="157" t="inlineStr">
        <is>
          <t>Составил ______________________        М.С. Колотиевская</t>
        </is>
      </c>
      <c r="D20" s="157" t="n"/>
    </row>
    <row r="21" ht="15.6" customFormat="1" customHeight="1" s="157">
      <c r="C21" s="151" t="inlineStr">
        <is>
          <t xml:space="preserve">                         (подпись, инициалы, фамилия)</t>
        </is>
      </c>
      <c r="D21" s="157" t="n"/>
    </row>
    <row r="22" ht="15.6" customFormat="1" customHeight="1" s="157">
      <c r="C22" s="157" t="n"/>
      <c r="D22" s="157" t="n"/>
    </row>
    <row r="23" ht="15.6" customFormat="1" customHeight="1" s="157">
      <c r="C23" s="157" t="inlineStr">
        <is>
          <t>Проверил ______________________      А.В. Костянецкая</t>
        </is>
      </c>
      <c r="D23" s="157" t="n"/>
    </row>
    <row r="24" ht="15.6" customFormat="1" customHeight="1" s="157">
      <c r="C24" s="151" t="inlineStr">
        <is>
          <t xml:space="preserve">                        (подпись, инициалы, фамилия)</t>
        </is>
      </c>
      <c r="D24" s="157" t="n"/>
    </row>
    <row r="25" ht="15.6" customFormat="1" customHeight="1" s="157"/>
  </sheetData>
  <mergeCells count="14">
    <mergeCell ref="B7:J7"/>
    <mergeCell ref="B3:J3"/>
    <mergeCell ref="D10:D11"/>
    <mergeCell ref="C12:C14"/>
    <mergeCell ref="D9:J9"/>
    <mergeCell ref="B12:B14"/>
    <mergeCell ref="F10:J10"/>
    <mergeCell ref="B16:E16"/>
    <mergeCell ref="B15:E15"/>
    <mergeCell ref="B6:J6"/>
    <mergeCell ref="B9:B11"/>
    <mergeCell ref="B4:J4"/>
    <mergeCell ref="E10:E11"/>
    <mergeCell ref="C9:C11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4:L52"/>
  <sheetViews>
    <sheetView showGridLines="0" view="pageBreakPreview" zoomScale="25" zoomScaleNormal="85" zoomScaleSheetLayoutView="25" workbookViewId="0">
      <selection activeCell="H164" sqref="H164"/>
    </sheetView>
  </sheetViews>
  <sheetFormatPr baseColWidth="8" defaultColWidth="9.140625" defaultRowHeight="15"/>
  <cols>
    <col width="9.140625" customWidth="1" style="155" min="1" max="1"/>
    <col width="12.5703125" customWidth="1" style="155" min="2" max="2"/>
    <col width="20.28515625" customWidth="1" style="155" min="3" max="3"/>
    <col width="49.7109375" customWidth="1" style="155" min="4" max="4"/>
    <col width="16.28515625" customWidth="1" style="155" min="5" max="5"/>
    <col width="20.7109375" customWidth="1" style="155" min="6" max="6"/>
    <col width="16.140625" customWidth="1" style="155" min="7" max="7"/>
    <col width="16.7109375" customWidth="1" style="155" min="8" max="8"/>
    <col width="9.140625" customWidth="1" style="155" min="9" max="9"/>
  </cols>
  <sheetData>
    <row r="2" s="155"/>
    <row r="3" s="155"/>
    <row r="4" ht="15.6" customHeight="1" s="155">
      <c r="A4" s="178" t="inlineStr">
        <is>
          <t xml:space="preserve">Приложение № 3 </t>
        </is>
      </c>
    </row>
    <row r="5" ht="17.45" customHeight="1" s="155">
      <c r="A5" s="179" t="inlineStr">
        <is>
          <t>Объектная ресурсная ведомость</t>
        </is>
      </c>
    </row>
    <row r="6" ht="18" customHeight="1" s="155">
      <c r="A6" s="144" t="n"/>
    </row>
    <row r="7" ht="15.6" customHeight="1" s="155">
      <c r="A7" s="187" t="inlineStr">
        <is>
          <t>Наименование разрабатываемого показателя УНЦ -  Н1-01-1___1 труба 110 до 400 м_ФСЭМ</t>
        </is>
      </c>
    </row>
    <row r="8" ht="15.6" customHeight="1" s="155">
      <c r="A8" s="187" t="n"/>
      <c r="B8" s="187" t="n"/>
      <c r="C8" s="187" t="n"/>
      <c r="D8" s="187" t="n"/>
      <c r="E8" s="187" t="n"/>
      <c r="F8" s="187" t="n"/>
      <c r="G8" s="187" t="n"/>
      <c r="H8" s="187" t="n"/>
    </row>
    <row r="9" ht="38.25" customFormat="1" customHeight="1" s="157">
      <c r="A9" s="183" t="inlineStr">
        <is>
          <t>п/п</t>
        </is>
      </c>
      <c r="B9" s="183" t="inlineStr">
        <is>
          <t>№ЛСР</t>
        </is>
      </c>
      <c r="C9" s="183" t="inlineStr">
        <is>
          <t>Код ресурса</t>
        </is>
      </c>
      <c r="D9" s="183" t="inlineStr">
        <is>
          <t>Наименование ресурса</t>
        </is>
      </c>
      <c r="E9" s="183" t="inlineStr">
        <is>
          <t>Ед. изм.</t>
        </is>
      </c>
      <c r="F9" s="183" t="inlineStr">
        <is>
          <t>Кол-во единиц по данным объекта-представителя</t>
        </is>
      </c>
      <c r="G9" s="183" t="inlineStr">
        <is>
          <t>Сметная стоимость в ценах на 01.01.2000 (руб.)</t>
        </is>
      </c>
      <c r="H9" s="213" t="n"/>
    </row>
    <row r="10" ht="40.5" customFormat="1" customHeight="1" s="157">
      <c r="A10" s="215" t="n"/>
      <c r="B10" s="215" t="n"/>
      <c r="C10" s="215" t="n"/>
      <c r="D10" s="215" t="n"/>
      <c r="E10" s="215" t="n"/>
      <c r="F10" s="215" t="n"/>
      <c r="G10" s="183" t="inlineStr">
        <is>
          <t>на ед.изм.</t>
        </is>
      </c>
      <c r="H10" s="183" t="inlineStr">
        <is>
          <t>общая</t>
        </is>
      </c>
    </row>
    <row r="11" ht="15.6" customFormat="1" customHeight="1" s="157">
      <c r="A11" s="183" t="n">
        <v>1</v>
      </c>
      <c r="B11" s="183" t="n"/>
      <c r="C11" s="183" t="n">
        <v>2</v>
      </c>
      <c r="D11" s="183" t="inlineStr">
        <is>
          <t>З</t>
        </is>
      </c>
      <c r="E11" s="183" t="n">
        <v>4</v>
      </c>
      <c r="F11" s="183" t="n">
        <v>5</v>
      </c>
      <c r="G11" s="183" t="n">
        <v>6</v>
      </c>
      <c r="H11" s="183" t="n">
        <v>7</v>
      </c>
    </row>
    <row r="12" ht="15.6" customFormat="1" customHeight="1" s="118">
      <c r="A12" s="184" t="inlineStr">
        <is>
          <t>Затраты труда рабочих</t>
        </is>
      </c>
      <c r="B12" s="212" t="n"/>
      <c r="C12" s="212" t="n"/>
      <c r="D12" s="212" t="n"/>
      <c r="E12" s="213" t="n"/>
      <c r="F12" s="184" t="n">
        <v>35.09956</v>
      </c>
      <c r="G12" s="12" t="n"/>
      <c r="H12" s="12">
        <f>SUM(H13:H16)</f>
        <v/>
      </c>
    </row>
    <row r="13" ht="15.6" customFormat="1" customHeight="1" s="157">
      <c r="A13" s="185" t="n">
        <v>1</v>
      </c>
      <c r="B13" s="185" t="n"/>
      <c r="C13" s="189" t="inlineStr">
        <is>
          <t>1-4-9</t>
        </is>
      </c>
      <c r="D13" s="186" t="inlineStr">
        <is>
          <t>Затраты труда рабочих (ср 4,9)</t>
        </is>
      </c>
      <c r="E13" s="185" t="inlineStr">
        <is>
          <t>чел.-ч</t>
        </is>
      </c>
      <c r="F13" s="185" t="n">
        <v>24.75</v>
      </c>
      <c r="G13" s="188" t="n">
        <v>10.94</v>
      </c>
      <c r="H13" s="188">
        <f>ROUND(F13*G13,2)</f>
        <v/>
      </c>
      <c r="I13" s="157" t="n"/>
      <c r="J13" s="157" t="n"/>
      <c r="K13" s="157" t="n"/>
      <c r="L13" s="130" t="n"/>
    </row>
    <row r="14" ht="15.6" customFormat="1" customHeight="1" s="157">
      <c r="A14" s="185" t="n">
        <v>2</v>
      </c>
      <c r="B14" s="185" t="n"/>
      <c r="C14" s="189" t="inlineStr">
        <is>
          <t>1-2-0</t>
        </is>
      </c>
      <c r="D14" s="186" t="inlineStr">
        <is>
          <t>Затраты труда рабочих (ср 2)</t>
        </is>
      </c>
      <c r="E14" s="185" t="inlineStr">
        <is>
          <t>чел.-ч</t>
        </is>
      </c>
      <c r="F14" s="185" t="n">
        <v>7.57956</v>
      </c>
      <c r="G14" s="188" t="n">
        <v>7.8</v>
      </c>
      <c r="H14" s="188">
        <f>ROUND(F14*G14,2)</f>
        <v/>
      </c>
      <c r="J14" s="157" t="n"/>
    </row>
    <row r="15" ht="15.6" customFormat="1" customHeight="1" s="157">
      <c r="A15" s="185" t="n">
        <v>3</v>
      </c>
      <c r="B15" s="185" t="n"/>
      <c r="C15" s="189" t="inlineStr">
        <is>
          <t>1-3-6</t>
        </is>
      </c>
      <c r="D15" s="186" t="inlineStr">
        <is>
          <t>Затраты труда рабочих (ср 3,6)</t>
        </is>
      </c>
      <c r="E15" s="185" t="inlineStr">
        <is>
          <t>чел.-ч</t>
        </is>
      </c>
      <c r="F15" s="185" t="n">
        <v>2.24</v>
      </c>
      <c r="G15" s="188" t="n">
        <v>9.18</v>
      </c>
      <c r="H15" s="188">
        <f>ROUND(F15*G15,2)</f>
        <v/>
      </c>
      <c r="J15" s="157" t="n"/>
    </row>
    <row r="16" ht="15.6" customFormat="1" customHeight="1" s="157">
      <c r="A16" s="185" t="n">
        <v>4</v>
      </c>
      <c r="B16" s="185" t="n"/>
      <c r="C16" s="189" t="inlineStr">
        <is>
          <t>1-4-0</t>
        </is>
      </c>
      <c r="D16" s="186" t="inlineStr">
        <is>
          <t>Затраты труда рабочих (ср 4)</t>
        </is>
      </c>
      <c r="E16" s="185" t="inlineStr">
        <is>
          <t>чел.-ч</t>
        </is>
      </c>
      <c r="F16" s="185" t="n">
        <v>0.53</v>
      </c>
      <c r="G16" s="188" t="n">
        <v>9.619999999999999</v>
      </c>
      <c r="H16" s="188">
        <f>ROUND(F16*G16,2)</f>
        <v/>
      </c>
      <c r="J16" s="157" t="n"/>
    </row>
    <row r="17" ht="15.6" customFormat="1" customHeight="1" s="118">
      <c r="A17" s="184" t="inlineStr">
        <is>
          <t>Затраты труда машинистов</t>
        </is>
      </c>
      <c r="B17" s="212" t="n"/>
      <c r="C17" s="212" t="n"/>
      <c r="D17" s="212" t="n"/>
      <c r="E17" s="213" t="n"/>
      <c r="F17" s="184" t="n">
        <v>46.57877</v>
      </c>
      <c r="G17" s="12" t="n"/>
      <c r="H17" s="12">
        <f>SUM(H18)</f>
        <v/>
      </c>
    </row>
    <row r="18" ht="15.6" customFormat="1" customHeight="1" s="157">
      <c r="A18" s="185" t="n">
        <v>5</v>
      </c>
      <c r="B18" s="185" t="n"/>
      <c r="C18" s="186" t="n">
        <v>2</v>
      </c>
      <c r="D18" s="186" t="inlineStr">
        <is>
          <t>Затраты труда машинистов</t>
        </is>
      </c>
      <c r="E18" s="185" t="inlineStr">
        <is>
          <t>чел.-ч</t>
        </is>
      </c>
      <c r="F18" s="185" t="n">
        <v>46.57877</v>
      </c>
      <c r="G18" s="188" t="n"/>
      <c r="H18" s="188" t="n">
        <v>627.42</v>
      </c>
    </row>
    <row r="19" ht="15.6" customFormat="1" customHeight="1" s="118">
      <c r="A19" s="184" t="inlineStr">
        <is>
          <t>Машины и механизмы</t>
        </is>
      </c>
      <c r="B19" s="212" t="n"/>
      <c r="C19" s="212" t="n"/>
      <c r="D19" s="212" t="n"/>
      <c r="E19" s="213" t="n"/>
      <c r="F19" s="184" t="n"/>
      <c r="G19" s="12" t="n"/>
      <c r="H19" s="12">
        <f>SUM(H20:H33)</f>
        <v/>
      </c>
    </row>
    <row r="20" ht="35.25" customFormat="1" customHeight="1" s="157">
      <c r="A20" s="185" t="n">
        <v>6</v>
      </c>
      <c r="B20" s="185" t="n"/>
      <c r="C20" s="189" t="inlineStr">
        <is>
          <t>91.04.02-032</t>
        </is>
      </c>
      <c r="D20" s="206" t="inlineStr">
        <is>
          <t>Установки направленного бурения для бестраншейной прокладки, тяговое усилие 500 кН</t>
        </is>
      </c>
      <c r="E20" s="209" t="inlineStr">
        <is>
          <t>маш.час</t>
        </is>
      </c>
      <c r="F20" s="207" t="n">
        <v>12.08</v>
      </c>
      <c r="G20" s="28" t="n">
        <v>2230.51</v>
      </c>
      <c r="H20" s="188">
        <f>ROUND(G20*F20,2)</f>
        <v/>
      </c>
    </row>
    <row r="21" ht="31.15" customFormat="1" customHeight="1" s="157">
      <c r="A21" s="185" t="n">
        <v>7</v>
      </c>
      <c r="B21" s="185" t="n"/>
      <c r="C21" s="186" t="inlineStr">
        <is>
          <t>91.14.03-002</t>
        </is>
      </c>
      <c r="D21" s="186" t="inlineStr">
        <is>
          <t>Автомобили-самосвалы, грузоподъемность до 10 т</t>
        </is>
      </c>
      <c r="E21" s="185" t="inlineStr">
        <is>
          <t>маш.-ч</t>
        </is>
      </c>
      <c r="F21" s="185" t="n">
        <v>48.8143446</v>
      </c>
      <c r="G21" s="188" t="n">
        <v>87.48999999999999</v>
      </c>
      <c r="H21" s="188">
        <f>ROUND(F21*G21,2)</f>
        <v/>
      </c>
    </row>
    <row r="22" ht="31.15" customFormat="1" customHeight="1" s="157">
      <c r="A22" s="185" t="n">
        <v>8</v>
      </c>
      <c r="B22" s="185" t="n"/>
      <c r="C22" s="186" t="inlineStr">
        <is>
          <t>91.07.06-001</t>
        </is>
      </c>
      <c r="D22" s="186" t="inlineStr">
        <is>
          <t>Комплексы бентонито-смесительные на базе автомобиля</t>
        </is>
      </c>
      <c r="E22" s="185" t="inlineStr">
        <is>
          <t>маш.час</t>
        </is>
      </c>
      <c r="F22" s="185" t="n">
        <v>11.5</v>
      </c>
      <c r="G22" s="188" t="n">
        <v>215.09</v>
      </c>
      <c r="H22" s="188">
        <f>ROUND(F22*G22,2)</f>
        <v/>
      </c>
    </row>
    <row r="23" ht="31.15" customFormat="1" customHeight="1" s="157">
      <c r="A23" s="185" t="n">
        <v>9</v>
      </c>
      <c r="B23" s="185" t="n"/>
      <c r="C23" s="186" t="inlineStr">
        <is>
          <t>91.01.05-086</t>
        </is>
      </c>
      <c r="D23" s="186" t="inlineStr">
        <is>
          <t>Экскаваторы одноковшовые дизельные на гусеничном ходу, емкость ковша 0,65 м3</t>
        </is>
      </c>
      <c r="E23" s="185" t="inlineStr">
        <is>
          <t>маш.час</t>
        </is>
      </c>
      <c r="F23" s="185" t="n">
        <v>10.85</v>
      </c>
      <c r="G23" s="188" t="n">
        <v>115.27</v>
      </c>
      <c r="H23" s="188">
        <f>ROUND(F23*G23,2)</f>
        <v/>
      </c>
    </row>
    <row r="24" ht="31.15" customFormat="1" customHeight="1" s="157">
      <c r="A24" s="185" t="n">
        <v>10</v>
      </c>
      <c r="B24" s="185" t="n"/>
      <c r="C24" s="186" t="inlineStr">
        <is>
          <t>91.10.05-004</t>
        </is>
      </c>
      <c r="D24" s="186" t="inlineStr">
        <is>
          <t>Трубоукладчики для труб диаметром до 400 мм, грузоподъемность 6,3 т</t>
        </is>
      </c>
      <c r="E24" s="185" t="inlineStr">
        <is>
          <t>маш.час</t>
        </is>
      </c>
      <c r="F24" s="185" t="n">
        <v>5</v>
      </c>
      <c r="G24" s="188" t="n">
        <v>160.03</v>
      </c>
      <c r="H24" s="188">
        <f>ROUND(F24*G24,2)</f>
        <v/>
      </c>
    </row>
    <row r="25" ht="15.6" customFormat="1" customHeight="1" s="157">
      <c r="A25" s="185" t="n">
        <v>11</v>
      </c>
      <c r="B25" s="185" t="n"/>
      <c r="C25" s="186" t="inlineStr">
        <is>
          <t>91.01.01-035</t>
        </is>
      </c>
      <c r="D25" s="186" t="inlineStr">
        <is>
          <t>Бульдозеры, мощность 79 кВт (108 л.с.)</t>
        </is>
      </c>
      <c r="E25" s="185" t="inlineStr">
        <is>
          <t>маш.час</t>
        </is>
      </c>
      <c r="F25" s="185" t="n">
        <v>2.91813</v>
      </c>
      <c r="G25" s="188" t="n">
        <v>79.06999999999999</v>
      </c>
      <c r="H25" s="188">
        <f>ROUND(F25*G25,2)</f>
        <v/>
      </c>
    </row>
    <row r="26" ht="15.6" customFormat="1" customHeight="1" s="157">
      <c r="A26" s="185" t="n">
        <v>12</v>
      </c>
      <c r="B26" s="185" t="n"/>
      <c r="C26" s="186" t="inlineStr">
        <is>
          <t>91.01.01-034</t>
        </is>
      </c>
      <c r="D26" s="186" t="inlineStr">
        <is>
          <t>Бульдозеры, мощность 59 кВт (80 л.с.)</t>
        </is>
      </c>
      <c r="E26" s="185" t="inlineStr">
        <is>
          <t>маш.час</t>
        </is>
      </c>
      <c r="F26" s="185" t="n">
        <v>3.768</v>
      </c>
      <c r="G26" s="188" t="n">
        <v>59.47</v>
      </c>
      <c r="H26" s="188">
        <f>ROUND(F26*G26,2)</f>
        <v/>
      </c>
    </row>
    <row r="27" ht="31.15" customFormat="1" customHeight="1" s="157">
      <c r="A27" s="185" t="n">
        <v>13</v>
      </c>
      <c r="B27" s="185" t="n"/>
      <c r="C27" s="186" t="inlineStr">
        <is>
          <t>91.06.05-013</t>
        </is>
      </c>
      <c r="D27" s="186" t="inlineStr">
        <is>
          <t>Погрузчики на автомобильном ходу, грузоподъемность до 2 т</t>
        </is>
      </c>
      <c r="E27" s="185" t="inlineStr">
        <is>
          <t>маш.-ч</t>
        </is>
      </c>
      <c r="F27" s="185" t="n">
        <v>1.4355538</v>
      </c>
      <c r="G27" s="188" t="n">
        <v>82.31</v>
      </c>
      <c r="H27" s="188">
        <f>ROUND(F27*G27,2)</f>
        <v/>
      </c>
    </row>
    <row r="28" ht="15.6" customFormat="1" customHeight="1" s="157">
      <c r="A28" s="185" t="n">
        <v>14</v>
      </c>
      <c r="B28" s="185" t="n"/>
      <c r="C28" s="186" t="inlineStr">
        <is>
          <t>91.19.01-001</t>
        </is>
      </c>
      <c r="D28" s="186" t="inlineStr">
        <is>
          <t>Машины илососные, емкость до 6 м3</t>
        </is>
      </c>
      <c r="E28" s="185" t="inlineStr">
        <is>
          <t>маш.час</t>
        </is>
      </c>
      <c r="F28" s="185" t="n">
        <v>0.25</v>
      </c>
      <c r="G28" s="188" t="n">
        <v>140.97</v>
      </c>
      <c r="H28" s="188">
        <f>ROUND(F28*G28,2)</f>
        <v/>
      </c>
    </row>
    <row r="29" ht="15.6" customFormat="1" customHeight="1" s="157">
      <c r="A29" s="185" t="n">
        <v>15</v>
      </c>
      <c r="B29" s="185" t="n"/>
      <c r="C29" s="186" t="inlineStr">
        <is>
          <t>91.13.03-041</t>
        </is>
      </c>
      <c r="D29" s="186" t="inlineStr">
        <is>
          <t>Автоцистерна</t>
        </is>
      </c>
      <c r="E29" s="185" t="inlineStr">
        <is>
          <t>маш.час</t>
        </is>
      </c>
      <c r="F29" s="185" t="n">
        <v>0.25</v>
      </c>
      <c r="G29" s="188" t="n">
        <v>100.72</v>
      </c>
      <c r="H29" s="188">
        <f>ROUND(F29*G29,2)</f>
        <v/>
      </c>
    </row>
    <row r="30" ht="46.9" customFormat="1" customHeight="1" s="157">
      <c r="A30" s="185" t="n">
        <v>16</v>
      </c>
      <c r="B30" s="185" t="n"/>
      <c r="C30" s="186" t="inlineStr">
        <is>
          <t>91.17.04-046</t>
        </is>
      </c>
      <c r="D30" s="186" t="inlineStr">
        <is>
          <t>Аппараты с ручным управлением процессом сварки "встык" пластмассовых труб диаметром до 160 мм</t>
        </is>
      </c>
      <c r="E30" s="185" t="inlineStr">
        <is>
          <t>маш.час</t>
        </is>
      </c>
      <c r="F30" s="185" t="n">
        <v>1.86</v>
      </c>
      <c r="G30" s="188" t="n">
        <v>6.28</v>
      </c>
      <c r="H30" s="188">
        <f>ROUND(F30*G30,2)</f>
        <v/>
      </c>
    </row>
    <row r="31" ht="31.15" customFormat="1" customHeight="1" s="157">
      <c r="A31" s="185" t="n">
        <v>17</v>
      </c>
      <c r="B31" s="185" t="n"/>
      <c r="C31" s="186" t="inlineStr">
        <is>
          <t>91.05.05-015</t>
        </is>
      </c>
      <c r="D31" s="186" t="inlineStr">
        <is>
          <t>Краны на автомобильном ходу, грузоподъемность 16 т</t>
        </is>
      </c>
      <c r="E31" s="185" t="inlineStr">
        <is>
          <t>маш.час</t>
        </is>
      </c>
      <c r="F31" s="185" t="n">
        <v>0.025</v>
      </c>
      <c r="G31" s="188" t="n">
        <v>115.4</v>
      </c>
      <c r="H31" s="188">
        <f>ROUND(F31*G31,2)</f>
        <v/>
      </c>
    </row>
    <row r="32" ht="46.9" customFormat="1" customHeight="1" s="157">
      <c r="A32" s="185" t="n">
        <v>18</v>
      </c>
      <c r="B32" s="185" t="n"/>
      <c r="C32" s="186" t="inlineStr">
        <is>
          <t>91.21.22-231</t>
        </is>
      </c>
      <c r="D32" s="186" t="inlineStr">
        <is>
          <t>Мотопомпы бензиновые производительностью 54 м3/час, высота подъема 26 м, глубина всасывания 8 м</t>
        </is>
      </c>
      <c r="E32" s="185" t="inlineStr">
        <is>
          <t>маш.час</t>
        </is>
      </c>
      <c r="F32" s="185" t="n">
        <v>0.25</v>
      </c>
      <c r="G32" s="188" t="n">
        <v>9.08</v>
      </c>
      <c r="H32" s="188">
        <f>ROUND(F32*G32,2)</f>
        <v/>
      </c>
    </row>
    <row r="33" ht="31.5" customFormat="1" customHeight="1" s="157">
      <c r="A33" s="185" t="n">
        <v>19</v>
      </c>
      <c r="B33" s="185" t="n"/>
      <c r="C33" s="186" t="inlineStr">
        <is>
          <t>91.14.03-001</t>
        </is>
      </c>
      <c r="D33" s="186" t="inlineStr">
        <is>
          <t>Автомобили-самосвалы, грузоподъемность до 7 т</t>
        </is>
      </c>
      <c r="E33" s="185" t="inlineStr">
        <is>
          <t>маш.час</t>
        </is>
      </c>
      <c r="F33" s="185" t="n">
        <v>0.00264</v>
      </c>
      <c r="G33" s="188" t="n">
        <v>89.54000000000001</v>
      </c>
      <c r="H33" s="188">
        <f>ROUND(F33*G33,2)</f>
        <v/>
      </c>
    </row>
    <row r="34" ht="15.6" customFormat="1" customHeight="1" s="118">
      <c r="A34" s="184" t="inlineStr">
        <is>
          <t>Материалы</t>
        </is>
      </c>
      <c r="B34" s="212" t="n"/>
      <c r="C34" s="212" t="n"/>
      <c r="D34" s="212" t="n"/>
      <c r="E34" s="213" t="n"/>
      <c r="F34" s="184" t="n"/>
      <c r="G34" s="12" t="n"/>
      <c r="H34" s="12">
        <f>SUM(H35:H44)</f>
        <v/>
      </c>
    </row>
    <row r="35" ht="15.6" customFormat="1" customHeight="1" s="157">
      <c r="A35" s="185" t="n">
        <v>20</v>
      </c>
      <c r="B35" s="185" t="n"/>
      <c r="C35" s="186" t="inlineStr">
        <is>
          <t>16.2.01.01-0031</t>
        </is>
      </c>
      <c r="D35" s="186" t="inlineStr">
        <is>
          <t>Почво-грунт садовый</t>
        </is>
      </c>
      <c r="E35" s="185" t="inlineStr">
        <is>
          <t>м3</t>
        </is>
      </c>
      <c r="F35" s="185" t="n">
        <v>33</v>
      </c>
      <c r="G35" s="188" t="n">
        <v>241.11</v>
      </c>
      <c r="H35" s="188">
        <f>ROUND(F35*G35,2)</f>
        <v/>
      </c>
    </row>
    <row r="36" ht="15.6" customFormat="1" customHeight="1" s="157">
      <c r="A36" s="185" t="n">
        <v>21</v>
      </c>
      <c r="B36" s="185" t="n"/>
      <c r="C36" s="186" t="inlineStr">
        <is>
          <t>01.4.03.01-0001</t>
        </is>
      </c>
      <c r="D36" s="186" t="inlineStr">
        <is>
          <t>Бентонит Premium Gel</t>
        </is>
      </c>
      <c r="E36" s="185" t="inlineStr">
        <is>
          <t>кг</t>
        </is>
      </c>
      <c r="F36" s="185" t="n">
        <v>202.5</v>
      </c>
      <c r="G36" s="188" t="n">
        <v>9.869999999999999</v>
      </c>
      <c r="H36" s="188">
        <f>ROUND(F36*G36,2)</f>
        <v/>
      </c>
    </row>
    <row r="37" ht="31.15" customFormat="1" customHeight="1" s="157">
      <c r="A37" s="185" t="n">
        <v>22</v>
      </c>
      <c r="B37" s="185" t="n"/>
      <c r="C37" s="186" t="inlineStr">
        <is>
          <t>24.3.03.13-0195</t>
        </is>
      </c>
      <c r="D37" s="186" t="inlineStr">
        <is>
          <t>Трубы полиэтиленовые ПЭ80, SDR17,6, диаметр 110 мм</t>
        </is>
      </c>
      <c r="E37" s="185" t="inlineStr">
        <is>
          <t>м</t>
        </is>
      </c>
      <c r="F37" s="185" t="n">
        <v>27.5</v>
      </c>
      <c r="G37" s="188" t="n">
        <v>43.86</v>
      </c>
      <c r="H37" s="188">
        <f>ROUND(F37*G37,2)</f>
        <v/>
      </c>
    </row>
    <row r="38" ht="31.15" customFormat="1" customHeight="1" s="157">
      <c r="A38" s="185" t="n">
        <v>23</v>
      </c>
      <c r="B38" s="185" t="n"/>
      <c r="C38" s="186" t="inlineStr">
        <is>
          <t>01.4.03.03-0031</t>
        </is>
      </c>
      <c r="D38" s="186" t="inlineStr">
        <is>
          <t>Полимер универсальный для стабилизации буровых скважин</t>
        </is>
      </c>
      <c r="E38" s="185" t="inlineStr">
        <is>
          <t>кг</t>
        </is>
      </c>
      <c r="F38" s="185" t="n">
        <v>11.25</v>
      </c>
      <c r="G38" s="188" t="n">
        <v>69.28</v>
      </c>
      <c r="H38" s="188">
        <f>ROUND(F38*G38,2)</f>
        <v/>
      </c>
    </row>
    <row r="39" ht="15.6" customFormat="1" customHeight="1" s="157">
      <c r="A39" s="185" t="n">
        <v>24</v>
      </c>
      <c r="B39" s="185" t="n"/>
      <c r="C39" s="186" t="inlineStr">
        <is>
          <t>01.3.01.06-0034</t>
        </is>
      </c>
      <c r="D39" s="186" t="inlineStr">
        <is>
          <t>Смазка графитомедистая</t>
        </is>
      </c>
      <c r="E39" s="185" t="inlineStr">
        <is>
          <t>кг</t>
        </is>
      </c>
      <c r="F39" s="185" t="n">
        <v>0.89</v>
      </c>
      <c r="G39" s="188" t="n">
        <v>12.8</v>
      </c>
      <c r="H39" s="188">
        <f>ROUND(F39*G39,2)</f>
        <v/>
      </c>
    </row>
    <row r="40" ht="15.6" customFormat="1" customHeight="1" s="157">
      <c r="A40" s="185" t="n">
        <v>25</v>
      </c>
      <c r="B40" s="185" t="n"/>
      <c r="C40" s="186" t="inlineStr">
        <is>
          <t>01.7.03.01-0001</t>
        </is>
      </c>
      <c r="D40" s="186" t="inlineStr">
        <is>
          <t>Вода</t>
        </is>
      </c>
      <c r="E40" s="185" t="inlineStr">
        <is>
          <t>м3</t>
        </is>
      </c>
      <c r="F40" s="185" t="n">
        <v>3.75</v>
      </c>
      <c r="G40" s="188" t="n">
        <v>2.44</v>
      </c>
      <c r="H40" s="188">
        <f>ROUND(F40*G40,2)</f>
        <v/>
      </c>
    </row>
    <row r="41" ht="31.15" customFormat="1" customHeight="1" s="157">
      <c r="A41" s="185" t="n">
        <v>26</v>
      </c>
      <c r="B41" s="185" t="n"/>
      <c r="C41" s="186" t="inlineStr">
        <is>
          <t>01.3.05.23-0171</t>
        </is>
      </c>
      <c r="D41" s="186" t="inlineStr">
        <is>
          <t>Сода кальцинированная (натрий углекислый) техническая</t>
        </is>
      </c>
      <c r="E41" s="185" t="inlineStr">
        <is>
          <t>т</t>
        </is>
      </c>
      <c r="F41" s="185" t="n">
        <v>0.00275</v>
      </c>
      <c r="G41" s="188" t="n">
        <v>1865</v>
      </c>
      <c r="H41" s="188">
        <f>ROUND(F41*G41,2)</f>
        <v/>
      </c>
    </row>
    <row r="42" ht="15.6" customFormat="1" customHeight="1" s="157">
      <c r="A42" s="185" t="n">
        <v>27</v>
      </c>
      <c r="B42" s="185" t="n"/>
      <c r="C42" s="186" t="inlineStr">
        <is>
          <t>02.2.05.04-1777</t>
        </is>
      </c>
      <c r="D42" s="186" t="inlineStr">
        <is>
          <t>Щебень М 800, фракция 20-40 мм, группа 2</t>
        </is>
      </c>
      <c r="E42" s="185" t="inlineStr">
        <is>
          <t>м3</t>
        </is>
      </c>
      <c r="F42" s="185" t="n">
        <v>0.01632</v>
      </c>
      <c r="G42" s="188" t="n">
        <v>108.4</v>
      </c>
      <c r="H42" s="188">
        <f>ROUND(F42*G42,2)</f>
        <v/>
      </c>
    </row>
    <row r="43" ht="31.15" customFormat="1" customHeight="1" s="157">
      <c r="A43" s="185" t="n">
        <v>28</v>
      </c>
      <c r="B43" s="185" t="n"/>
      <c r="C43" s="186" t="inlineStr">
        <is>
          <t>01.3.01.07-0009</t>
        </is>
      </c>
      <c r="D43" s="186" t="inlineStr">
        <is>
          <t>Спирт этиловый ректификованный технический, сорт I</t>
        </is>
      </c>
      <c r="E43" s="185" t="inlineStr">
        <is>
          <t>кг</t>
        </is>
      </c>
      <c r="F43" s="185" t="n">
        <v>0.006</v>
      </c>
      <c r="G43" s="188" t="n">
        <v>38.89</v>
      </c>
      <c r="H43" s="188">
        <f>ROUND(F43*G43,2)</f>
        <v/>
      </c>
    </row>
    <row r="44" ht="15.6" customFormat="1" customHeight="1" s="157">
      <c r="A44" s="185" t="n">
        <v>29</v>
      </c>
      <c r="B44" s="185" t="n"/>
      <c r="C44" s="186" t="inlineStr">
        <is>
          <t>01.7.20.08-0051</t>
        </is>
      </c>
      <c r="D44" s="186" t="inlineStr">
        <is>
          <t>Ветошь</t>
        </is>
      </c>
      <c r="E44" s="185" t="inlineStr">
        <is>
          <t>кг</t>
        </is>
      </c>
      <c r="F44" s="185" t="n">
        <v>0.001</v>
      </c>
      <c r="G44" s="188" t="n">
        <v>1.82</v>
      </c>
      <c r="H44" s="188">
        <f>ROUND(F44*G44,2)</f>
        <v/>
      </c>
    </row>
    <row r="45" ht="15.6" customFormat="1" customHeight="1" s="157"/>
    <row r="46" ht="15.6" customFormat="1" customHeight="1" s="157"/>
    <row r="47" ht="15.6" customFormat="1" customHeight="1" s="157">
      <c r="B47" s="157" t="n"/>
      <c r="C47" s="157" t="n"/>
    </row>
    <row r="48" ht="15.6" customFormat="1" customHeight="1" s="157">
      <c r="B48" s="157" t="inlineStr">
        <is>
          <t>Составил ______________________        М.С. Колотиевская</t>
        </is>
      </c>
      <c r="C48" s="157" t="n"/>
    </row>
    <row r="49" ht="15.6" customFormat="1" customHeight="1" s="157">
      <c r="B49" s="151" t="inlineStr">
        <is>
          <t xml:space="preserve">                         (подпись, инициалы, фамилия)</t>
        </is>
      </c>
      <c r="C49" s="157" t="n"/>
    </row>
    <row r="50" ht="15.6" customFormat="1" customHeight="1" s="157">
      <c r="B50" s="157" t="n"/>
      <c r="C50" s="157" t="n"/>
    </row>
    <row r="51" ht="15.6" customFormat="1" customHeight="1" s="157">
      <c r="B51" s="157" t="inlineStr">
        <is>
          <t>Проверил ______________________      А.В. Костянецкая</t>
        </is>
      </c>
      <c r="C51" s="157" t="n"/>
    </row>
    <row r="52" ht="15.6" customFormat="1" customHeight="1" s="157">
      <c r="B52" s="151" t="inlineStr">
        <is>
          <t xml:space="preserve">                        (подпись, инициалы, фамилия)</t>
        </is>
      </c>
      <c r="C52" s="157" t="n"/>
    </row>
    <row r="53" ht="15.6" customFormat="1" customHeight="1" s="157"/>
  </sheetData>
  <mergeCells count="14">
    <mergeCell ref="A4:H4"/>
    <mergeCell ref="A34:E34"/>
    <mergeCell ref="A12:E12"/>
    <mergeCell ref="B9:B10"/>
    <mergeCell ref="C9:C10"/>
    <mergeCell ref="D9:D10"/>
    <mergeCell ref="E9:E10"/>
    <mergeCell ref="A7:H7"/>
    <mergeCell ref="A9:A10"/>
    <mergeCell ref="F9:F10"/>
    <mergeCell ref="A19:E19"/>
    <mergeCell ref="A5:H5"/>
    <mergeCell ref="G9:H9"/>
    <mergeCell ref="A17:E17"/>
  </mergeCells>
  <conditionalFormatting sqref="F12:F19">
    <cfRule type="expression" priority="1" dxfId="0" stopIfTrue="1">
      <formula>ROUND(F12*10000,0)/10000=F12</formula>
    </cfRule>
  </conditionalFormatting>
  <conditionalFormatting sqref="F21:F44">
    <cfRule type="expression" priority="2" dxfId="0" stopIfTrue="1">
      <formula>ROUND(F12*10000,0)/10000=F12</formula>
    </cfRule>
  </conditionalFormatting>
  <conditionalFormatting sqref="F20">
    <cfRule type="expression" priority="3" dxfId="0" stopIfTrue="1">
      <formula>F20&gt;=1/10000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7"/>
  <sheetViews>
    <sheetView view="pageBreakPreview" topLeftCell="A34" workbookViewId="0">
      <selection activeCell="D29" sqref="D29"/>
    </sheetView>
  </sheetViews>
  <sheetFormatPr baseColWidth="8" defaultColWidth="9.140625" defaultRowHeight="15"/>
  <cols>
    <col width="4.140625" customWidth="1" style="155" min="1" max="1"/>
    <col width="36.28515625" customWidth="1" style="155" min="2" max="2"/>
    <col width="18.85546875" customWidth="1" style="155" min="3" max="3"/>
    <col width="18.28515625" customWidth="1" style="155" min="4" max="4"/>
    <col width="20.85546875" customWidth="1" style="155" min="5" max="5"/>
    <col width="9.140625" customWidth="1" style="155" min="6" max="10"/>
    <col width="13.5703125" customWidth="1" style="155" min="11" max="11"/>
    <col width="9.140625" customWidth="1" style="155" min="12" max="12"/>
  </cols>
  <sheetData>
    <row r="1" ht="15.6" customHeight="1" s="155">
      <c r="A1" s="47" t="n"/>
      <c r="B1" s="157" t="n"/>
      <c r="C1" s="157" t="n"/>
      <c r="D1" s="157" t="n"/>
      <c r="E1" s="157" t="n"/>
    </row>
    <row r="2" ht="15.6" customHeight="1" s="155">
      <c r="B2" s="157" t="n"/>
      <c r="C2" s="157" t="n"/>
      <c r="D2" s="157" t="n"/>
      <c r="E2" s="200" t="inlineStr">
        <is>
          <t>Приложение № 4</t>
        </is>
      </c>
    </row>
    <row r="3" ht="15.6" customHeight="1" s="155">
      <c r="B3" s="157" t="n"/>
      <c r="C3" s="157" t="n"/>
      <c r="D3" s="157" t="n"/>
      <c r="E3" s="157" t="n"/>
    </row>
    <row r="4" ht="15.6" customHeight="1" s="155">
      <c r="B4" s="157" t="n"/>
      <c r="C4" s="157" t="n"/>
      <c r="D4" s="157" t="n"/>
      <c r="E4" s="157" t="n"/>
    </row>
    <row r="5" ht="15.6" customHeight="1" s="155">
      <c r="B5" s="182" t="inlineStr">
        <is>
          <t>Ресурсная модель</t>
        </is>
      </c>
    </row>
    <row r="6" ht="15.6" customHeight="1" s="155">
      <c r="B6" s="177" t="n"/>
      <c r="C6" s="157" t="n"/>
      <c r="D6" s="157" t="n"/>
      <c r="E6" s="157" t="n"/>
    </row>
    <row r="7" ht="15.6" customHeight="1" s="155">
      <c r="B7" s="187" t="inlineStr">
        <is>
          <t>Наименование разрабатываемой расценки УНЦ —  Н1-01-1___1 труба 110 до 400 м_ФСЭМ</t>
        </is>
      </c>
    </row>
    <row r="8" ht="15.6" customHeight="1" s="155">
      <c r="B8" s="187" t="inlineStr">
        <is>
          <t>Единица измерения  — км</t>
        </is>
      </c>
    </row>
    <row r="9">
      <c r="B9" s="52" t="n"/>
      <c r="C9" s="53" t="n"/>
      <c r="D9" s="53" t="n"/>
      <c r="E9" s="53" t="n"/>
    </row>
    <row r="10" ht="62.45" customFormat="1" customHeight="1" s="157">
      <c r="B10" s="183" t="inlineStr">
        <is>
          <t>Наименование</t>
        </is>
      </c>
      <c r="C10" s="183" t="inlineStr">
        <is>
          <t>Сметная стоимость в ценах на 01.01.2023
 (руб.)</t>
        </is>
      </c>
      <c r="D10" s="183" t="inlineStr">
        <is>
          <t>Удельный вес, 
(в СМР)</t>
        </is>
      </c>
      <c r="E10" s="183" t="inlineStr">
        <is>
          <t>Удельный вес, % 
(от всего по РМ)</t>
        </is>
      </c>
    </row>
    <row r="11" ht="15" customFormat="1" customHeight="1" s="157">
      <c r="B11" s="202" t="inlineStr">
        <is>
          <t>Оплата труда рабочих</t>
        </is>
      </c>
      <c r="C11" s="122">
        <f>'Прил.5 Расчет СМР и ОБ'!J14</f>
        <v/>
      </c>
      <c r="D11" s="57">
        <f>C11/C24</f>
        <v/>
      </c>
      <c r="E11" s="57">
        <f>C11/C40</f>
        <v/>
      </c>
    </row>
    <row r="12" ht="15" customFormat="1" customHeight="1" s="157">
      <c r="B12" s="202" t="inlineStr">
        <is>
          <t>Эксплуатация машин основных</t>
        </is>
      </c>
      <c r="C12" s="122">
        <f>'Прил.5 Расчет СМР и ОБ'!J21</f>
        <v/>
      </c>
      <c r="D12" s="57">
        <f>C12/C24</f>
        <v/>
      </c>
      <c r="E12" s="57">
        <f>C12/C40</f>
        <v/>
      </c>
    </row>
    <row r="13" ht="15" customFormat="1" customHeight="1" s="157">
      <c r="B13" s="202" t="inlineStr">
        <is>
          <t>Эксплуатация машин прочих</t>
        </is>
      </c>
      <c r="C13" s="122">
        <f>'Прил.5 Расчет СМР и ОБ'!J34</f>
        <v/>
      </c>
      <c r="D13" s="57">
        <f>C13/C24</f>
        <v/>
      </c>
      <c r="E13" s="57">
        <f>C13/C40</f>
        <v/>
      </c>
    </row>
    <row r="14" ht="15" customFormat="1" customHeight="1" s="157">
      <c r="B14" s="202" t="inlineStr">
        <is>
          <t>ЭКСПЛУАТАЦИЯ МАШИН, ВСЕГО:</t>
        </is>
      </c>
      <c r="C14" s="122">
        <f>C13+C12</f>
        <v/>
      </c>
      <c r="D14" s="57">
        <f>C14/C24</f>
        <v/>
      </c>
      <c r="E14" s="57">
        <f>C14/C40</f>
        <v/>
      </c>
    </row>
    <row r="15" ht="15" customFormat="1" customHeight="1" s="157">
      <c r="B15" s="202" t="inlineStr">
        <is>
          <t>в том числе зарплата машинистов</t>
        </is>
      </c>
      <c r="C15" s="122">
        <f>'Прил.5 Расчет СМР и ОБ'!J16</f>
        <v/>
      </c>
      <c r="D15" s="57">
        <f>C15/C24</f>
        <v/>
      </c>
      <c r="E15" s="57">
        <f>C15/C40</f>
        <v/>
      </c>
    </row>
    <row r="16" ht="15" customFormat="1" customHeight="1" s="157">
      <c r="B16" s="202" t="inlineStr">
        <is>
          <t>Материалы основные</t>
        </is>
      </c>
      <c r="C16" s="122">
        <f>'Прил.5 Расчет СМР и ОБ'!J47</f>
        <v/>
      </c>
      <c r="D16" s="57">
        <f>C16/C24</f>
        <v/>
      </c>
      <c r="E16" s="57">
        <f>C16/C40</f>
        <v/>
      </c>
    </row>
    <row r="17" ht="15" customFormat="1" customHeight="1" s="157">
      <c r="B17" s="202" t="inlineStr">
        <is>
          <t>Материалы прочие</t>
        </is>
      </c>
      <c r="C17" s="122">
        <f>'Прил.5 Расчет СМР и ОБ'!J54</f>
        <v/>
      </c>
      <c r="D17" s="57">
        <f>C17/C24</f>
        <v/>
      </c>
      <c r="E17" s="57">
        <f>C17/C40</f>
        <v/>
      </c>
    </row>
    <row r="18" ht="15" customFormat="1" customHeight="1" s="157">
      <c r="B18" s="202" t="inlineStr">
        <is>
          <t>МАТЕРИАЛЫ, ВСЕГО:</t>
        </is>
      </c>
      <c r="C18" s="122">
        <f>C17+C16</f>
        <v/>
      </c>
      <c r="D18" s="57">
        <f>C18/C24</f>
        <v/>
      </c>
      <c r="E18" s="57">
        <f>C18/C40</f>
        <v/>
      </c>
    </row>
    <row r="19" ht="15" customFormat="1" customHeight="1" s="157">
      <c r="B19" s="202" t="inlineStr">
        <is>
          <t>ИТОГО</t>
        </is>
      </c>
      <c r="C19" s="122">
        <f>C18+C14+C11</f>
        <v/>
      </c>
      <c r="D19" s="57">
        <f>C19/C24</f>
        <v/>
      </c>
      <c r="E19" s="58">
        <f>C19/C40</f>
        <v/>
      </c>
    </row>
    <row r="20" ht="15" customFormat="1" customHeight="1" s="157">
      <c r="B20" s="202" t="inlineStr">
        <is>
          <t>Сметная прибыль, руб.</t>
        </is>
      </c>
      <c r="C20" s="122">
        <f>'Прил.5 Расчет СМР и ОБ'!J58</f>
        <v/>
      </c>
      <c r="D20" s="57">
        <f>C20/C24</f>
        <v/>
      </c>
      <c r="E20" s="57">
        <f>C20/C40</f>
        <v/>
      </c>
    </row>
    <row r="21" ht="15" customFormat="1" customHeight="1" s="157">
      <c r="B21" s="202" t="inlineStr">
        <is>
          <t>Сметная прибыль, %</t>
        </is>
      </c>
      <c r="C21" s="59">
        <f>C20/(C11+C15)</f>
        <v/>
      </c>
      <c r="D21" s="57" t="n"/>
      <c r="E21" s="58" t="n"/>
    </row>
    <row r="22" ht="15" customFormat="1" customHeight="1" s="157">
      <c r="B22" s="202" t="inlineStr">
        <is>
          <t>Накладные расходы, руб.</t>
        </is>
      </c>
      <c r="C22" s="122">
        <f>'Прил.5 Расчет СМР и ОБ'!J57</f>
        <v/>
      </c>
      <c r="D22" s="57">
        <f>C22/C24</f>
        <v/>
      </c>
      <c r="E22" s="57">
        <f>C22/C40</f>
        <v/>
      </c>
    </row>
    <row r="23" ht="15" customFormat="1" customHeight="1" s="157">
      <c r="B23" s="202" t="inlineStr">
        <is>
          <t>Накладные расходы, %</t>
        </is>
      </c>
      <c r="C23" s="59">
        <f>C22/(C11+C15)</f>
        <v/>
      </c>
      <c r="D23" s="57" t="n"/>
      <c r="E23" s="58" t="n"/>
    </row>
    <row r="24" ht="15" customFormat="1" customHeight="1" s="157">
      <c r="B24" s="202" t="inlineStr">
        <is>
          <t>ВСЕГО СМР с НР и СП</t>
        </is>
      </c>
      <c r="C24" s="122">
        <f>C19+C20+C22</f>
        <v/>
      </c>
      <c r="D24" s="57">
        <f>C24/C24</f>
        <v/>
      </c>
      <c r="E24" s="57">
        <f>C24/C40</f>
        <v/>
      </c>
    </row>
    <row r="25" ht="31.15" customFormat="1" customHeight="1" s="157">
      <c r="B25" s="202" t="inlineStr">
        <is>
          <t>ВСЕГО стоимость оборудования, в том числе</t>
        </is>
      </c>
      <c r="C25" s="122" t="n"/>
      <c r="D25" s="57" t="n"/>
      <c r="E25" s="57">
        <f>C25/C40</f>
        <v/>
      </c>
    </row>
    <row r="26" ht="31.15" customFormat="1" customHeight="1" s="157">
      <c r="B26" s="202" t="inlineStr">
        <is>
          <t>стоимость оборудования технологического</t>
        </is>
      </c>
      <c r="C26" s="122" t="n"/>
      <c r="D26" s="57" t="n"/>
      <c r="E26" s="57">
        <f>C26/C40</f>
        <v/>
      </c>
    </row>
    <row r="27" ht="15" customFormat="1" customHeight="1" s="157">
      <c r="B27" s="202" t="inlineStr">
        <is>
          <t>ИТОГО (СМР + ОБОРУДОВАНИЕ)</t>
        </is>
      </c>
      <c r="C27" s="60">
        <f>C24+C25</f>
        <v/>
      </c>
      <c r="D27" s="57" t="n"/>
      <c r="E27" s="57">
        <f>C27/C40</f>
        <v/>
      </c>
    </row>
    <row r="28" ht="33" customFormat="1" customHeight="1" s="157">
      <c r="B28" s="202" t="inlineStr">
        <is>
          <t>ПРОЧ. ЗАТР., УЧТЕННЫЕ ПОКАЗАТЕЛЕМ,  в том числе</t>
        </is>
      </c>
      <c r="C28" s="202" t="n"/>
      <c r="D28" s="58" t="n"/>
      <c r="E28" s="58" t="n"/>
    </row>
    <row r="29" ht="31.15" customFormat="1" customHeight="1" s="157">
      <c r="B29" s="202" t="inlineStr">
        <is>
          <t>Временные здания и сооружения - 3,9%</t>
        </is>
      </c>
      <c r="C29" s="60">
        <f>ROUND(C24*0.039,2)</f>
        <v/>
      </c>
      <c r="D29" s="58" t="n"/>
      <c r="E29" s="57">
        <f>C29/C40</f>
        <v/>
      </c>
    </row>
    <row r="30" ht="62.45" customFormat="1" customHeight="1" s="157">
      <c r="B30" s="202" t="inlineStr">
        <is>
          <t>Дополнительные затраты при производстве строительно-монтажных работ в зимнее время - 2,1%</t>
        </is>
      </c>
      <c r="C30" s="60">
        <f>ROUND((C24+C29)*0.021,2)</f>
        <v/>
      </c>
      <c r="D30" s="58" t="n"/>
      <c r="E30" s="57">
        <f>C30/C40</f>
        <v/>
      </c>
    </row>
    <row r="31" ht="15.6" customFormat="1" customHeight="1" s="157">
      <c r="B31" s="202" t="inlineStr">
        <is>
          <t>Пусконаладочные работы</t>
        </is>
      </c>
      <c r="C31" s="60">
        <f>ROUND(C25*80%*7%,2)</f>
        <v/>
      </c>
      <c r="D31" s="58" t="n"/>
      <c r="E31" s="57">
        <f>C31/C40</f>
        <v/>
      </c>
    </row>
    <row r="32" ht="31.15" customFormat="1" customHeight="1" s="157">
      <c r="B32" s="202" t="inlineStr">
        <is>
          <t>Затраты по перевозке работников к месту работы и обратно</t>
        </is>
      </c>
      <c r="C32" s="60" t="n">
        <v>0</v>
      </c>
      <c r="D32" s="58" t="n"/>
      <c r="E32" s="57">
        <f>C32/C40</f>
        <v/>
      </c>
    </row>
    <row r="33" ht="46.9" customFormat="1" customHeight="1" s="157">
      <c r="B33" s="202" t="inlineStr">
        <is>
          <t>Затраты, связанные с осуществлением работ вахтовым методом</t>
        </is>
      </c>
      <c r="C33" s="60" t="n">
        <v>0</v>
      </c>
      <c r="D33" s="58" t="n"/>
      <c r="E33" s="57">
        <f>C33/C40</f>
        <v/>
      </c>
    </row>
    <row r="34" ht="62.45" customFormat="1" customHeight="1" s="157">
      <c r="B34" s="202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60" t="n">
        <v>0</v>
      </c>
      <c r="D34" s="58" t="n"/>
      <c r="E34" s="57">
        <f>C34/C40</f>
        <v/>
      </c>
    </row>
    <row r="35" ht="93.59999999999999" customFormat="1" customHeight="1" s="157">
      <c r="B35" s="202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60" t="n">
        <v>0</v>
      </c>
      <c r="D35" s="58" t="n"/>
      <c r="E35" s="57">
        <f>C35/C40</f>
        <v/>
      </c>
    </row>
    <row r="36" ht="46.9" customFormat="1" customHeight="1" s="157">
      <c r="B36" s="61" t="inlineStr">
        <is>
          <t>Строительный контроль и содержание службы заказчика - 2,14%</t>
        </is>
      </c>
      <c r="C36" s="62">
        <f>ROUND((C27+C29+C31+C30)*0.0214,2)</f>
        <v/>
      </c>
      <c r="D36" s="63" t="n"/>
      <c r="E36" s="64">
        <f>C36/C40</f>
        <v/>
      </c>
      <c r="K36" s="82" t="n"/>
    </row>
    <row r="37" ht="15.6" customFormat="1" customHeight="1" s="157">
      <c r="B37" s="205" t="inlineStr">
        <is>
          <t>Авторский надзор - 0,2%</t>
        </is>
      </c>
      <c r="C37" s="205">
        <f>ROUND((C27+C29+C30+C31)*0.002,2)</f>
        <v/>
      </c>
      <c r="D37" s="67" t="n"/>
      <c r="E37" s="67">
        <f>C37/C40</f>
        <v/>
      </c>
    </row>
    <row r="38" ht="62.45" customFormat="1" customHeight="1" s="157">
      <c r="B38" s="68" t="inlineStr">
        <is>
          <t>ИТОГО (СМР+ОБОРУДОВАНИЕ+ПРОЧ. ЗАТР., УЧТЕННЫЕ ПОКАЗАТЕЛЕМ)</t>
        </is>
      </c>
      <c r="C38" s="69">
        <f>C27+C29+C30+C31+C36+C37</f>
        <v/>
      </c>
      <c r="D38" s="70" t="n"/>
      <c r="E38" s="71">
        <f>C38/C40</f>
        <v/>
      </c>
    </row>
    <row r="39" ht="15.6" customFormat="1" customHeight="1" s="157">
      <c r="B39" s="202" t="inlineStr">
        <is>
          <t>Непредвиденные расходы</t>
        </is>
      </c>
      <c r="C39" s="122">
        <f>ROUND(C38*0.03,2)</f>
        <v/>
      </c>
      <c r="D39" s="58" t="n"/>
      <c r="E39" s="57">
        <f>C39/C40</f>
        <v/>
      </c>
    </row>
    <row r="40" ht="15.6" customFormat="1" customHeight="1" s="157">
      <c r="B40" s="202" t="inlineStr">
        <is>
          <t>ВСЕГО:</t>
        </is>
      </c>
      <c r="C40" s="122">
        <f>C39+C38</f>
        <v/>
      </c>
      <c r="D40" s="58" t="n"/>
      <c r="E40" s="57">
        <f>C40/C40</f>
        <v/>
      </c>
    </row>
    <row r="41" ht="31.15" customFormat="1" customHeight="1" s="157">
      <c r="B41" s="202" t="inlineStr">
        <is>
          <t>ИТОГО ПОКАЗАТЕЛЬ НА ЕД. ИЗМ.</t>
        </is>
      </c>
      <c r="C41" s="122">
        <f>C40/'Прил.5 Расчет СМР и ОБ'!E61</f>
        <v/>
      </c>
      <c r="D41" s="58" t="n"/>
      <c r="E41" s="58" t="n"/>
    </row>
    <row r="42" ht="15.6" customFormat="1" customHeight="1" s="157">
      <c r="B42" s="157" t="n"/>
      <c r="C42" s="157" t="n"/>
    </row>
    <row r="43" ht="15.6" customFormat="1" customHeight="1" s="157">
      <c r="B43" s="157" t="inlineStr">
        <is>
          <t>Составил ______________________        М.С. Колотиевская</t>
        </is>
      </c>
      <c r="C43" s="157" t="n"/>
    </row>
    <row r="44" ht="15.6" customFormat="1" customHeight="1" s="157">
      <c r="B44" s="151" t="inlineStr">
        <is>
          <t xml:space="preserve">                         (подпись, инициалы, фамилия)</t>
        </is>
      </c>
      <c r="C44" s="157" t="n"/>
    </row>
    <row r="45" ht="15.6" customFormat="1" customHeight="1" s="157">
      <c r="B45" s="157" t="n"/>
      <c r="C45" s="157" t="n"/>
    </row>
    <row r="46" ht="15.6" customFormat="1" customHeight="1" s="157">
      <c r="B46" s="157" t="inlineStr">
        <is>
          <t>Проверил ______________________      А.В. Костянецкая</t>
        </is>
      </c>
      <c r="C46" s="157" t="n"/>
    </row>
    <row r="47" ht="15.6" customFormat="1" customHeight="1" s="157">
      <c r="B47" s="151" t="inlineStr">
        <is>
          <t xml:space="preserve">                        (подпись, инициалы, фамилия)</t>
        </is>
      </c>
      <c r="C47" s="157" t="n"/>
    </row>
    <row r="48" ht="15.6" customFormat="1" customHeight="1" s="157"/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6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68"/>
  <sheetViews>
    <sheetView tabSelected="1" view="pageBreakPreview" zoomScale="25" zoomScaleSheetLayoutView="25" workbookViewId="0">
      <selection activeCell="AQ75" sqref="AQ75"/>
    </sheetView>
  </sheetViews>
  <sheetFormatPr baseColWidth="8" defaultColWidth="9.140625" defaultRowHeight="15" outlineLevelRow="1"/>
  <cols>
    <col width="5.7109375" customWidth="1" style="124" min="1" max="1"/>
    <col width="22.5703125" customWidth="1" style="124" min="2" max="2"/>
    <col width="39.140625" customWidth="1" style="124" min="3" max="3"/>
    <col width="10.7109375" customWidth="1" style="124" min="4" max="4"/>
    <col width="12.7109375" customWidth="1" style="124" min="5" max="5"/>
    <col width="14.5703125" customWidth="1" style="124" min="6" max="6"/>
    <col width="13.42578125" customWidth="1" style="124" min="7" max="7"/>
    <col width="12.7109375" customWidth="1" style="124" min="8" max="8"/>
    <col width="14.5703125" customWidth="1" style="124" min="9" max="9"/>
    <col width="15.140625" customWidth="1" style="124" min="10" max="10"/>
    <col width="22.42578125" customWidth="1" style="124" min="11" max="11"/>
    <col width="16.28515625" customWidth="1" style="124" min="12" max="12"/>
    <col width="10.85546875" customWidth="1" style="124" min="13" max="13"/>
    <col width="9.140625" customWidth="1" style="124" min="14" max="14"/>
    <col width="9.140625" customWidth="1" style="155" min="15" max="15"/>
  </cols>
  <sheetData>
    <row r="1">
      <c r="A1" s="53" t="n"/>
    </row>
    <row r="2" ht="15.6" customHeight="1" s="155">
      <c r="A2" s="157" t="n"/>
      <c r="B2" s="157" t="n"/>
      <c r="C2" s="157" t="n"/>
      <c r="D2" s="157" t="n"/>
      <c r="E2" s="157" t="n"/>
      <c r="F2" s="157" t="n"/>
      <c r="G2" s="157" t="n"/>
      <c r="H2" s="200" t="inlineStr">
        <is>
          <t>Приложение №5</t>
        </is>
      </c>
    </row>
    <row r="3" ht="15.6" customHeight="1" s="155">
      <c r="A3" s="157" t="n"/>
      <c r="B3" s="157" t="n"/>
      <c r="C3" s="157" t="n"/>
      <c r="D3" s="157" t="n"/>
      <c r="E3" s="157" t="n"/>
      <c r="F3" s="157" t="n"/>
      <c r="G3" s="157" t="n"/>
      <c r="H3" s="157" t="n"/>
      <c r="I3" s="157" t="n"/>
      <c r="J3" s="157" t="n"/>
    </row>
    <row r="4" ht="15.6" customFormat="1" customHeight="1" s="53">
      <c r="A4" s="182" t="inlineStr">
        <is>
          <t>Расчет стоимости СМР и оборудования</t>
        </is>
      </c>
      <c r="I4" s="182" t="n"/>
      <c r="J4" s="182" t="n"/>
    </row>
    <row r="5" ht="15.6" customFormat="1" customHeight="1" s="53">
      <c r="A5" s="182" t="n"/>
      <c r="B5" s="182" t="n"/>
      <c r="C5" s="182" t="n"/>
      <c r="D5" s="182" t="n"/>
      <c r="E5" s="182" t="n"/>
      <c r="F5" s="182" t="n"/>
      <c r="G5" s="182" t="n"/>
      <c r="H5" s="182" t="n"/>
      <c r="I5" s="182" t="n"/>
      <c r="J5" s="182" t="n"/>
    </row>
    <row r="6" ht="15.75" customFormat="1" customHeight="1" s="53">
      <c r="A6" s="199" t="inlineStr">
        <is>
          <t xml:space="preserve">Наименование разрабатываемого показателя УНЦ — </t>
        </is>
      </c>
      <c r="D6" s="110" t="inlineStr">
        <is>
          <t>Н1-01-1___1 труба 110 до 400 м_ФСЭМ</t>
        </is>
      </c>
      <c r="E6" s="110" t="n"/>
      <c r="F6" s="110" t="n"/>
      <c r="G6" s="110" t="n"/>
      <c r="H6" s="109" t="n"/>
      <c r="I6" s="76" t="n"/>
      <c r="J6" s="76" t="n"/>
    </row>
    <row r="7" ht="15.6" customFormat="1" customHeight="1" s="53">
      <c r="A7" s="199" t="inlineStr">
        <is>
          <t>Единица измерения  — км</t>
        </is>
      </c>
      <c r="I7" s="201" t="n"/>
      <c r="J7" s="201" t="n"/>
    </row>
    <row r="8" ht="15.6" customFormat="1" customHeight="1" s="53">
      <c r="A8" s="157" t="n"/>
      <c r="B8" s="157" t="n"/>
      <c r="C8" s="157" t="n"/>
      <c r="D8" s="157" t="n"/>
      <c r="E8" s="157" t="n"/>
      <c r="F8" s="157" t="n"/>
      <c r="G8" s="157" t="n"/>
      <c r="H8" s="157" t="n"/>
      <c r="I8" s="157" t="n"/>
      <c r="J8" s="157" t="n"/>
    </row>
    <row r="9" ht="31.5" customFormat="1" customHeight="1" s="157">
      <c r="A9" s="202" t="inlineStr">
        <is>
          <t>№ пп.</t>
        </is>
      </c>
      <c r="B9" s="183" t="inlineStr">
        <is>
          <t>Код ресурса</t>
        </is>
      </c>
      <c r="C9" s="183" t="inlineStr">
        <is>
          <t>Наименование</t>
        </is>
      </c>
      <c r="D9" s="183" t="inlineStr">
        <is>
          <t>Ед. изм.</t>
        </is>
      </c>
      <c r="E9" s="183" t="inlineStr">
        <is>
          <t>Кол-во единиц по проектным данным</t>
        </is>
      </c>
      <c r="F9" s="183" t="inlineStr">
        <is>
          <t>Сметная стоимость в ценах на 01.01.2000 (руб.)</t>
        </is>
      </c>
      <c r="G9" s="213" t="n"/>
      <c r="H9" s="183" t="inlineStr">
        <is>
          <t>Удельный вес, %</t>
        </is>
      </c>
      <c r="I9" s="183" t="inlineStr">
        <is>
          <t>Сметная стоимость в ценах на 01.01.2023 (руб.)</t>
        </is>
      </c>
      <c r="J9" s="213" t="n"/>
      <c r="K9" s="39" t="n"/>
    </row>
    <row r="10" ht="35.25" customFormat="1" customHeight="1" s="157">
      <c r="A10" s="215" t="n"/>
      <c r="B10" s="215" t="n"/>
      <c r="C10" s="215" t="n"/>
      <c r="D10" s="215" t="n"/>
      <c r="E10" s="215" t="n"/>
      <c r="F10" s="183" t="inlineStr">
        <is>
          <t>на ед. изм.</t>
        </is>
      </c>
      <c r="G10" s="183" t="inlineStr">
        <is>
          <t>общая</t>
        </is>
      </c>
      <c r="H10" s="215" t="n"/>
      <c r="I10" s="183" t="inlineStr">
        <is>
          <t>на ед. изм.</t>
        </is>
      </c>
      <c r="J10" s="183" t="inlineStr">
        <is>
          <t>общая</t>
        </is>
      </c>
    </row>
    <row r="11" ht="15.6" customFormat="1" customHeight="1" s="157">
      <c r="A11" s="202" t="n">
        <v>1</v>
      </c>
      <c r="B11" s="183" t="n">
        <v>2</v>
      </c>
      <c r="C11" s="183" t="n">
        <v>3</v>
      </c>
      <c r="D11" s="183" t="n">
        <v>4</v>
      </c>
      <c r="E11" s="183" t="n">
        <v>5</v>
      </c>
      <c r="F11" s="183" t="n">
        <v>6</v>
      </c>
      <c r="G11" s="183" t="n">
        <v>7</v>
      </c>
      <c r="H11" s="183" t="n">
        <v>8</v>
      </c>
      <c r="I11" s="183" t="n">
        <v>9</v>
      </c>
      <c r="J11" s="183" t="n">
        <v>10</v>
      </c>
    </row>
    <row r="12" ht="15.6" customFormat="1" customHeight="1" s="157">
      <c r="A12" s="205" t="n"/>
      <c r="B12" s="203" t="inlineStr">
        <is>
          <t>Затраты труда рабочих-строителей</t>
        </is>
      </c>
      <c r="C12" s="212" t="n"/>
      <c r="D12" s="212" t="n"/>
      <c r="E12" s="212" t="n"/>
      <c r="F12" s="212" t="n"/>
      <c r="G12" s="212" t="n"/>
      <c r="H12" s="213" t="n"/>
      <c r="I12" s="205" t="n"/>
      <c r="J12" s="205" t="n"/>
    </row>
    <row r="13" ht="31.15" customFormat="1" customHeight="1" s="157">
      <c r="A13" s="185" t="n">
        <v>1</v>
      </c>
      <c r="B13" s="189" t="inlineStr">
        <is>
          <t>1-4-2</t>
        </is>
      </c>
      <c r="C13" s="186" t="inlineStr">
        <is>
          <t>Затраты труда рабочих (Средний разряд работы 4,2)</t>
        </is>
      </c>
      <c r="D13" s="185" t="inlineStr">
        <is>
          <t>чел.-ч</t>
        </is>
      </c>
      <c r="E13" s="185">
        <f>G13/F13</f>
        <v/>
      </c>
      <c r="F13" s="188" t="n">
        <v>9.92</v>
      </c>
      <c r="G13" s="188">
        <f>Прил.3!H12</f>
        <v/>
      </c>
      <c r="H13" s="24">
        <f>G13/G14</f>
        <v/>
      </c>
      <c r="I13" s="188">
        <f>ФОТр.тек.!E13</f>
        <v/>
      </c>
      <c r="J13" s="188">
        <f>ROUND(I13*E13,2)</f>
        <v/>
      </c>
    </row>
    <row r="14" ht="31.15" customFormat="1" customHeight="1" s="157">
      <c r="A14" s="185" t="n"/>
      <c r="B14" s="185" t="n"/>
      <c r="C14" s="186" t="inlineStr">
        <is>
          <t>Итого по разделу "Затраты труда рабочих-строителей"</t>
        </is>
      </c>
      <c r="D14" s="185" t="inlineStr">
        <is>
          <t>чел.-ч</t>
        </is>
      </c>
      <c r="E14" s="185">
        <f>SUM(E13:E13)</f>
        <v/>
      </c>
      <c r="F14" s="188" t="n"/>
      <c r="G14" s="188">
        <f>SUM(G13:G13)</f>
        <v/>
      </c>
      <c r="H14" s="24" t="n">
        <v>1</v>
      </c>
      <c r="I14" s="188" t="n"/>
      <c r="J14" s="188">
        <f>SUM(J13:J13)</f>
        <v/>
      </c>
    </row>
    <row r="15" ht="15.6" customFormat="1" customHeight="1" s="157">
      <c r="A15" s="185" t="n"/>
      <c r="B15" s="185" t="inlineStr">
        <is>
          <t>Затраты труда машинистов</t>
        </is>
      </c>
      <c r="C15" s="212" t="n"/>
      <c r="D15" s="212" t="n"/>
      <c r="E15" s="212" t="n"/>
      <c r="F15" s="212" t="n"/>
      <c r="G15" s="212" t="n"/>
      <c r="H15" s="213" t="n"/>
      <c r="I15" s="188" t="n"/>
      <c r="J15" s="188" t="n"/>
    </row>
    <row r="16" ht="15.6" customFormat="1" customHeight="1" s="157">
      <c r="A16" s="185" t="n">
        <v>2</v>
      </c>
      <c r="B16" s="185" t="n">
        <v>2</v>
      </c>
      <c r="C16" s="186" t="inlineStr">
        <is>
          <t>Затраты труда машинистов</t>
        </is>
      </c>
      <c r="D16" s="185" t="inlineStr">
        <is>
          <t>чел.-ч</t>
        </is>
      </c>
      <c r="E16" s="185">
        <f>Прил.3!F18</f>
        <v/>
      </c>
      <c r="F16" s="188">
        <f>G16/E16</f>
        <v/>
      </c>
      <c r="G16" s="188">
        <f>Прил.3!H18</f>
        <v/>
      </c>
      <c r="H16" s="24" t="n">
        <v>1</v>
      </c>
      <c r="I16" s="188">
        <f>ROUND(F16*Прил.10!D10,2)</f>
        <v/>
      </c>
      <c r="J16" s="188">
        <f>ROUND(I16*E16,2)</f>
        <v/>
      </c>
    </row>
    <row r="17" ht="15.6" customFormat="1" customHeight="1" s="157">
      <c r="A17" s="185" t="n"/>
      <c r="B17" s="184" t="inlineStr">
        <is>
          <t>Машины и механизмы</t>
        </is>
      </c>
      <c r="C17" s="212" t="n"/>
      <c r="D17" s="212" t="n"/>
      <c r="E17" s="212" t="n"/>
      <c r="F17" s="212" t="n"/>
      <c r="G17" s="212" t="n"/>
      <c r="H17" s="213" t="n"/>
      <c r="I17" s="188" t="n"/>
      <c r="J17" s="188" t="n"/>
    </row>
    <row r="18" ht="15.6" customFormat="1" customHeight="1" s="157">
      <c r="A18" s="185" t="n"/>
      <c r="B18" s="185" t="inlineStr">
        <is>
          <t>Основные Машины и механизмы</t>
        </is>
      </c>
      <c r="C18" s="212" t="n"/>
      <c r="D18" s="212" t="n"/>
      <c r="E18" s="212" t="n"/>
      <c r="F18" s="212" t="n"/>
      <c r="G18" s="212" t="n"/>
      <c r="H18" s="213" t="n"/>
      <c r="I18" s="188" t="n"/>
      <c r="J18" s="188" t="n"/>
    </row>
    <row r="19" ht="46.9" customFormat="1" customHeight="1" s="157">
      <c r="A19" s="185" t="n">
        <v>3</v>
      </c>
      <c r="B19" s="189" t="inlineStr">
        <is>
          <t>91.04.02-032</t>
        </is>
      </c>
      <c r="C19" s="206" t="inlineStr">
        <is>
          <t>Установки направленного бурения для бестраншейной прокладки, тяговое усилие 500 кН</t>
        </is>
      </c>
      <c r="D19" s="209" t="inlineStr">
        <is>
          <t>маш.час</t>
        </is>
      </c>
      <c r="E19" s="207" t="n">
        <v>12.08</v>
      </c>
      <c r="F19" s="28" t="n">
        <v>2230.51</v>
      </c>
      <c r="G19" s="188">
        <f>ROUND(F19*E19,2)</f>
        <v/>
      </c>
      <c r="H19" s="24">
        <f>G19/G35</f>
        <v/>
      </c>
      <c r="I19" s="188" t="n">
        <v>24178.73</v>
      </c>
      <c r="J19" s="188">
        <f>ROUND(I19*E19,2)</f>
        <v/>
      </c>
    </row>
    <row r="20" ht="31.15" customFormat="1" customHeight="1" s="157">
      <c r="A20" s="185" t="n">
        <v>4</v>
      </c>
      <c r="B20" s="189" t="inlineStr">
        <is>
          <t>91.14.03-002</t>
        </is>
      </c>
      <c r="C20" s="206" t="inlineStr">
        <is>
          <t>Автомобили-самосвалы, грузоподъемность до 10 т</t>
        </is>
      </c>
      <c r="D20" s="209" t="inlineStr">
        <is>
          <t>маш.-ч</t>
        </is>
      </c>
      <c r="E20" s="207" t="n">
        <v>48.8143446</v>
      </c>
      <c r="F20" s="28" t="n">
        <v>87.48999999999999</v>
      </c>
      <c r="G20" s="188">
        <f>ROUND(F20*E20,2)</f>
        <v/>
      </c>
      <c r="H20" s="24">
        <f>G20/G35</f>
        <v/>
      </c>
      <c r="I20" s="188">
        <f>ROUND(F20*Прил.10!$D$11,2)</f>
        <v/>
      </c>
      <c r="J20" s="188">
        <f>ROUND(I20*E20,2)</f>
        <v/>
      </c>
    </row>
    <row r="21" ht="15.6" customFormat="1" customHeight="1" s="157">
      <c r="A21" s="185" t="n"/>
      <c r="B21" s="189" t="inlineStr">
        <is>
          <t>Итого основные Машины и механизмы</t>
        </is>
      </c>
      <c r="C21" s="212" t="n"/>
      <c r="D21" s="212" t="n"/>
      <c r="E21" s="212" t="n"/>
      <c r="F21" s="213" t="n"/>
      <c r="G21" s="28">
        <f>SUM(G19:G20)</f>
        <v/>
      </c>
      <c r="H21" s="24">
        <f>SUM(H19:H20)</f>
        <v/>
      </c>
      <c r="I21" s="188" t="n"/>
      <c r="J21" s="28">
        <f>SUM(J19:J20)</f>
        <v/>
      </c>
    </row>
    <row r="22" hidden="1" outlineLevel="1" ht="31.15" customFormat="1" customHeight="1" s="157">
      <c r="A22" s="185" t="n">
        <v>5</v>
      </c>
      <c r="B22" s="189" t="inlineStr">
        <is>
          <t>91.07.06-001</t>
        </is>
      </c>
      <c r="C22" s="206" t="inlineStr">
        <is>
          <t>Комплексы бентонито-смесительные на базе автомобиля</t>
        </is>
      </c>
      <c r="D22" s="209" t="inlineStr">
        <is>
          <t>маш.час</t>
        </is>
      </c>
      <c r="E22" s="207" t="n">
        <v>11.5</v>
      </c>
      <c r="F22" s="28" t="n">
        <v>215.09</v>
      </c>
      <c r="G22" s="188">
        <f>ROUND(F22*E22,2)</f>
        <v/>
      </c>
      <c r="H22" s="24">
        <f>G22/G35</f>
        <v/>
      </c>
      <c r="I22" s="188">
        <f>ROUND(F22*Прил.10!$D$11,2)</f>
        <v/>
      </c>
      <c r="J22" s="188">
        <f>ROUND(I22*E22,2)</f>
        <v/>
      </c>
    </row>
    <row r="23" hidden="1" outlineLevel="1" ht="46.9" customFormat="1" customHeight="1" s="157">
      <c r="A23" s="185" t="n">
        <v>6</v>
      </c>
      <c r="B23" s="189" t="inlineStr">
        <is>
          <t>91.01.05-086</t>
        </is>
      </c>
      <c r="C23" s="206" t="inlineStr">
        <is>
          <t>Экскаваторы одноковшовые дизельные на гусеничном ходу, емкость ковша 0,65 м3</t>
        </is>
      </c>
      <c r="D23" s="209" t="inlineStr">
        <is>
          <t>маш.час</t>
        </is>
      </c>
      <c r="E23" s="207" t="n">
        <v>10.85</v>
      </c>
      <c r="F23" s="28" t="n">
        <v>115.27</v>
      </c>
      <c r="G23" s="188">
        <f>ROUND(F23*E23,2)</f>
        <v/>
      </c>
      <c r="H23" s="24">
        <f>G23/G35</f>
        <v/>
      </c>
      <c r="I23" s="188">
        <f>ROUND(F23*Прил.10!$D$11,2)</f>
        <v/>
      </c>
      <c r="J23" s="188">
        <f>ROUND(I23*E23,2)</f>
        <v/>
      </c>
    </row>
    <row r="24" hidden="1" outlineLevel="1" ht="31.15" customFormat="1" customHeight="1" s="157">
      <c r="A24" s="185" t="n">
        <v>7</v>
      </c>
      <c r="B24" s="189" t="inlineStr">
        <is>
          <t>91.10.05-004</t>
        </is>
      </c>
      <c r="C24" s="206" t="inlineStr">
        <is>
          <t>Трубоукладчики для труб диаметром до 400 мм, грузоподъемность 6,3 т</t>
        </is>
      </c>
      <c r="D24" s="209" t="inlineStr">
        <is>
          <t>маш.час</t>
        </is>
      </c>
      <c r="E24" s="207" t="n">
        <v>5</v>
      </c>
      <c r="F24" s="28" t="n">
        <v>160.03</v>
      </c>
      <c r="G24" s="188">
        <f>ROUND(F24*E24,2)</f>
        <v/>
      </c>
      <c r="H24" s="24">
        <f>G24/G35</f>
        <v/>
      </c>
      <c r="I24" s="188">
        <f>ROUND(F24*Прил.10!$D$11,2)</f>
        <v/>
      </c>
      <c r="J24" s="188">
        <f>ROUND(I24*E24,2)</f>
        <v/>
      </c>
    </row>
    <row r="25" hidden="1" outlineLevel="1" ht="31.15" customFormat="1" customHeight="1" s="157">
      <c r="A25" s="185" t="n">
        <v>8</v>
      </c>
      <c r="B25" s="189" t="inlineStr">
        <is>
          <t>91.01.01-035</t>
        </is>
      </c>
      <c r="C25" s="206" t="inlineStr">
        <is>
          <t>Бульдозеры, мощность 79 кВт (108 л.с.)</t>
        </is>
      </c>
      <c r="D25" s="209" t="inlineStr">
        <is>
          <t>маш.час</t>
        </is>
      </c>
      <c r="E25" s="207" t="n">
        <v>2.91813</v>
      </c>
      <c r="F25" s="28" t="n">
        <v>79.06999999999999</v>
      </c>
      <c r="G25" s="188">
        <f>ROUND(F25*E25,2)</f>
        <v/>
      </c>
      <c r="H25" s="24">
        <f>G25/G35</f>
        <v/>
      </c>
      <c r="I25" s="188">
        <f>ROUND(F25*Прил.10!$D$11,2)</f>
        <v/>
      </c>
      <c r="J25" s="188">
        <f>ROUND(I25*E25,2)</f>
        <v/>
      </c>
    </row>
    <row r="26" hidden="1" outlineLevel="1" ht="15.6" customFormat="1" customHeight="1" s="157">
      <c r="A26" s="185" t="n">
        <v>9</v>
      </c>
      <c r="B26" s="189" t="inlineStr">
        <is>
          <t>91.01.01-034</t>
        </is>
      </c>
      <c r="C26" s="206" t="inlineStr">
        <is>
          <t>Бульдозеры, мощность 59 кВт (80 л.с.)</t>
        </is>
      </c>
      <c r="D26" s="209" t="inlineStr">
        <is>
          <t>маш.час</t>
        </is>
      </c>
      <c r="E26" s="207" t="n">
        <v>3.768</v>
      </c>
      <c r="F26" s="28" t="n">
        <v>59.47</v>
      </c>
      <c r="G26" s="188">
        <f>ROUND(F26*E26,2)</f>
        <v/>
      </c>
      <c r="H26" s="24">
        <f>G26/G35</f>
        <v/>
      </c>
      <c r="I26" s="188">
        <f>ROUND(F26*Прил.10!$D$11,2)</f>
        <v/>
      </c>
      <c r="J26" s="188">
        <f>ROUND(I26*E26,2)</f>
        <v/>
      </c>
    </row>
    <row r="27" hidden="1" outlineLevel="1" ht="31.15" customFormat="1" customHeight="1" s="157">
      <c r="A27" s="185" t="n">
        <v>10</v>
      </c>
      <c r="B27" s="189" t="inlineStr">
        <is>
          <t>91.06.05-013</t>
        </is>
      </c>
      <c r="C27" s="206" t="inlineStr">
        <is>
          <t>Погрузчики на автомобильном ходу, грузоподъемность до 2 т</t>
        </is>
      </c>
      <c r="D27" s="209" t="inlineStr">
        <is>
          <t>маш.-ч</t>
        </is>
      </c>
      <c r="E27" s="207" t="n">
        <v>1.4355538</v>
      </c>
      <c r="F27" s="28" t="n">
        <v>82.31</v>
      </c>
      <c r="G27" s="188">
        <f>ROUND(F27*E27,2)</f>
        <v/>
      </c>
      <c r="H27" s="24">
        <f>G27/G35</f>
        <v/>
      </c>
      <c r="I27" s="188">
        <f>ROUND(F27*Прил.10!$D$11,2)</f>
        <v/>
      </c>
      <c r="J27" s="188">
        <f>ROUND(I27*E27,2)</f>
        <v/>
      </c>
    </row>
    <row r="28" hidden="1" outlineLevel="1" ht="15.6" customFormat="1" customHeight="1" s="157">
      <c r="A28" s="185" t="n">
        <v>11</v>
      </c>
      <c r="B28" s="189" t="inlineStr">
        <is>
          <t>91.19.01-001</t>
        </is>
      </c>
      <c r="C28" s="206" t="inlineStr">
        <is>
          <t>Машины илососные, емкость до 6 м3</t>
        </is>
      </c>
      <c r="D28" s="209" t="inlineStr">
        <is>
          <t>маш.час</t>
        </is>
      </c>
      <c r="E28" s="207" t="n">
        <v>0.25</v>
      </c>
      <c r="F28" s="28" t="n">
        <v>140.97</v>
      </c>
      <c r="G28" s="188">
        <f>ROUND(F28*E28,2)</f>
        <v/>
      </c>
      <c r="H28" s="24">
        <f>G28/G35</f>
        <v/>
      </c>
      <c r="I28" s="188">
        <f>ROUND(F28*Прил.10!$D$11,2)</f>
        <v/>
      </c>
      <c r="J28" s="188">
        <f>ROUND(I28*E28,2)</f>
        <v/>
      </c>
    </row>
    <row r="29" hidden="1" outlineLevel="1" ht="15.6" customFormat="1" customHeight="1" s="157">
      <c r="A29" s="185" t="n">
        <v>12</v>
      </c>
      <c r="B29" s="189" t="inlineStr">
        <is>
          <t>91.13.03-041</t>
        </is>
      </c>
      <c r="C29" s="206" t="inlineStr">
        <is>
          <t>Автоцистерна</t>
        </is>
      </c>
      <c r="D29" s="209" t="inlineStr">
        <is>
          <t>маш.час</t>
        </is>
      </c>
      <c r="E29" s="207" t="n">
        <v>0.25</v>
      </c>
      <c r="F29" s="28" t="n">
        <v>100.72</v>
      </c>
      <c r="G29" s="188">
        <f>ROUND(F29*E29,2)</f>
        <v/>
      </c>
      <c r="H29" s="24">
        <f>G29/G35</f>
        <v/>
      </c>
      <c r="I29" s="188">
        <f>ROUND(F29*Прил.10!$D$11,2)</f>
        <v/>
      </c>
      <c r="J29" s="188">
        <f>ROUND(I29*E29,2)</f>
        <v/>
      </c>
    </row>
    <row r="30" hidden="1" outlineLevel="1" ht="62.45" customFormat="1" customHeight="1" s="157">
      <c r="A30" s="185" t="n">
        <v>13</v>
      </c>
      <c r="B30" s="189" t="inlineStr">
        <is>
          <t>91.17.04-046</t>
        </is>
      </c>
      <c r="C30" s="206" t="inlineStr">
        <is>
          <t>Аппараты с ручным управлением процессом сварки "встык" пластмассовых труб диаметром до 160 мм</t>
        </is>
      </c>
      <c r="D30" s="209" t="inlineStr">
        <is>
          <t>маш.час</t>
        </is>
      </c>
      <c r="E30" s="207" t="n">
        <v>1.86</v>
      </c>
      <c r="F30" s="28" t="n">
        <v>6.28</v>
      </c>
      <c r="G30" s="188">
        <f>ROUND(F30*E30,2)</f>
        <v/>
      </c>
      <c r="H30" s="24">
        <f>G30/G35</f>
        <v/>
      </c>
      <c r="I30" s="188">
        <f>ROUND(F30*Прил.10!$D$11,2)</f>
        <v/>
      </c>
      <c r="J30" s="188">
        <f>ROUND(I30*E30,2)</f>
        <v/>
      </c>
    </row>
    <row r="31" hidden="1" outlineLevel="1" ht="31.15" customFormat="1" customHeight="1" s="157">
      <c r="A31" s="185" t="n">
        <v>14</v>
      </c>
      <c r="B31" s="189" t="inlineStr">
        <is>
          <t>91.05.05-015</t>
        </is>
      </c>
      <c r="C31" s="206" t="inlineStr">
        <is>
          <t>Краны на автомобильном ходу, грузоподъемность 16 т</t>
        </is>
      </c>
      <c r="D31" s="209" t="inlineStr">
        <is>
          <t>маш.час</t>
        </is>
      </c>
      <c r="E31" s="207" t="n">
        <v>0.025</v>
      </c>
      <c r="F31" s="28" t="n">
        <v>115.4</v>
      </c>
      <c r="G31" s="188">
        <f>ROUND(F31*E31,2)</f>
        <v/>
      </c>
      <c r="H31" s="24">
        <f>G31/G35</f>
        <v/>
      </c>
      <c r="I31" s="188">
        <f>ROUND(F31*Прил.10!$D$11,2)</f>
        <v/>
      </c>
      <c r="J31" s="188">
        <f>ROUND(I31*E31,2)</f>
        <v/>
      </c>
    </row>
    <row r="32" hidden="1" outlineLevel="1" ht="62.45" customFormat="1" customHeight="1" s="157">
      <c r="A32" s="185" t="n">
        <v>15</v>
      </c>
      <c r="B32" s="189" t="inlineStr">
        <is>
          <t>91.21.22-231</t>
        </is>
      </c>
      <c r="C32" s="206" t="inlineStr">
        <is>
          <t>Мотопомпы бензиновые производительностью 54 м3/час, высота подъема 26 м, глубина всасывания 8 м</t>
        </is>
      </c>
      <c r="D32" s="209" t="inlineStr">
        <is>
          <t>маш.час</t>
        </is>
      </c>
      <c r="E32" s="207" t="n">
        <v>0.25</v>
      </c>
      <c r="F32" s="28" t="n">
        <v>9.08</v>
      </c>
      <c r="G32" s="188">
        <f>ROUND(F32*E32,2)</f>
        <v/>
      </c>
      <c r="H32" s="24">
        <f>G32/G35</f>
        <v/>
      </c>
      <c r="I32" s="188">
        <f>ROUND(F32*Прил.10!$D$11,2)</f>
        <v/>
      </c>
      <c r="J32" s="188">
        <f>ROUND(I32*E32,2)</f>
        <v/>
      </c>
    </row>
    <row r="33" hidden="1" outlineLevel="1" ht="31.15" customFormat="1" customHeight="1" s="157">
      <c r="A33" s="185" t="n">
        <v>16</v>
      </c>
      <c r="B33" s="189" t="inlineStr">
        <is>
          <t>91.14.03-001</t>
        </is>
      </c>
      <c r="C33" s="206" t="inlineStr">
        <is>
          <t>Автомобили-самосвалы, грузоподъемность до 7 т</t>
        </is>
      </c>
      <c r="D33" s="209" t="inlineStr">
        <is>
          <t>маш.час</t>
        </is>
      </c>
      <c r="E33" s="207" t="n">
        <v>0.00264</v>
      </c>
      <c r="F33" s="28" t="n">
        <v>89.54000000000001</v>
      </c>
      <c r="G33" s="188">
        <f>ROUND(F33*E33,2)</f>
        <v/>
      </c>
      <c r="H33" s="24">
        <f>G33/G35</f>
        <v/>
      </c>
      <c r="I33" s="188">
        <f>ROUND(F33*Прил.10!$D$11,2)</f>
        <v/>
      </c>
      <c r="J33" s="188">
        <f>ROUND(I33*E33,2)</f>
        <v/>
      </c>
    </row>
    <row r="34" collapsed="1" ht="15.6" customFormat="1" customHeight="1" s="157">
      <c r="A34" s="185" t="n"/>
      <c r="B34" s="185" t="inlineStr">
        <is>
          <t>Итого прочие Машины и механизмы</t>
        </is>
      </c>
      <c r="C34" s="212" t="n"/>
      <c r="D34" s="212" t="n"/>
      <c r="E34" s="212" t="n"/>
      <c r="F34" s="213" t="n"/>
      <c r="G34" s="188">
        <f>SUM(G22:G33)</f>
        <v/>
      </c>
      <c r="H34" s="24">
        <f>SUM(H22:H33)</f>
        <v/>
      </c>
      <c r="I34" s="188" t="n"/>
      <c r="J34" s="188">
        <f>SUM(J22:J33)</f>
        <v/>
      </c>
    </row>
    <row r="35" ht="15.6" customFormat="1" customHeight="1" s="157">
      <c r="A35" s="185" t="n"/>
      <c r="B35" s="185" t="inlineStr">
        <is>
          <t>Итого по разделу "Машины и механизмы"</t>
        </is>
      </c>
      <c r="C35" s="212" t="n"/>
      <c r="D35" s="212" t="n"/>
      <c r="E35" s="212" t="n"/>
      <c r="F35" s="213" t="n"/>
      <c r="G35" s="188">
        <f>G21+G34</f>
        <v/>
      </c>
      <c r="H35" s="24">
        <f>H21+H34</f>
        <v/>
      </c>
      <c r="I35" s="188" t="n"/>
      <c r="J35" s="188">
        <f>J21+J34</f>
        <v/>
      </c>
    </row>
    <row r="36" ht="15.6" customFormat="1" customHeight="1" s="157">
      <c r="A36" s="183" t="n"/>
      <c r="B36" s="190" t="inlineStr">
        <is>
          <t>Оборудование</t>
        </is>
      </c>
      <c r="C36" s="212" t="n"/>
      <c r="D36" s="212" t="n"/>
      <c r="E36" s="212" t="n"/>
      <c r="F36" s="212" t="n"/>
      <c r="G36" s="212" t="n"/>
      <c r="H36" s="213" t="n"/>
      <c r="I36" s="205" t="n"/>
      <c r="J36" s="205" t="n"/>
    </row>
    <row r="37" ht="15.75" customFormat="1" customHeight="1" s="157">
      <c r="A37" s="183" t="n"/>
      <c r="B37" s="195" t="inlineStr">
        <is>
          <t>Основное оборудование</t>
        </is>
      </c>
      <c r="C37" s="212" t="n"/>
      <c r="D37" s="212" t="n"/>
      <c r="E37" s="212" t="n"/>
      <c r="F37" s="212" t="n"/>
      <c r="G37" s="212" t="n"/>
      <c r="H37" s="213" t="n"/>
      <c r="I37" s="205" t="n"/>
      <c r="J37" s="205" t="n"/>
    </row>
    <row r="38" ht="15.6" customFormat="1" customHeight="1" s="157">
      <c r="A38" s="183" t="n"/>
      <c r="B38" s="183" t="n"/>
      <c r="C38" s="195" t="inlineStr">
        <is>
          <t>Итого основное оборудование</t>
        </is>
      </c>
      <c r="D38" s="183" t="n"/>
      <c r="E38" s="101" t="n"/>
      <c r="F38" s="197" t="n"/>
      <c r="G38" s="103" t="n">
        <v>0</v>
      </c>
      <c r="H38" s="198" t="n">
        <v>0</v>
      </c>
      <c r="I38" s="105" t="n"/>
      <c r="J38" s="103" t="n">
        <v>0</v>
      </c>
    </row>
    <row r="39" ht="15.6" customFormat="1" customHeight="1" s="157">
      <c r="A39" s="183" t="n"/>
      <c r="B39" s="183" t="n"/>
      <c r="C39" s="195" t="inlineStr">
        <is>
          <t>Итого прочее оборудование</t>
        </is>
      </c>
      <c r="D39" s="183" t="n"/>
      <c r="E39" s="101" t="n"/>
      <c r="F39" s="197" t="n"/>
      <c r="G39" s="103" t="n">
        <v>0</v>
      </c>
      <c r="H39" s="198" t="n">
        <v>0</v>
      </c>
      <c r="I39" s="105" t="n"/>
      <c r="J39" s="103" t="n">
        <v>0</v>
      </c>
    </row>
    <row r="40" ht="15.6" customFormat="1" customHeight="1" s="157">
      <c r="A40" s="183" t="n"/>
      <c r="B40" s="183" t="n"/>
      <c r="C40" s="190" t="inlineStr">
        <is>
          <t>Итого по разделу «Оборудование»</t>
        </is>
      </c>
      <c r="D40" s="183" t="n"/>
      <c r="E40" s="196" t="n"/>
      <c r="F40" s="197" t="n"/>
      <c r="G40" s="103">
        <f>G38+G39</f>
        <v/>
      </c>
      <c r="H40" s="198" t="n">
        <v>0</v>
      </c>
      <c r="I40" s="105" t="n"/>
      <c r="J40" s="103">
        <f>J39+J38</f>
        <v/>
      </c>
    </row>
    <row r="41" ht="31.15" customFormat="1" customHeight="1" s="157">
      <c r="A41" s="183" t="n"/>
      <c r="B41" s="183" t="n"/>
      <c r="C41" s="195" t="inlineStr">
        <is>
          <t>в том числе технологическое оборудование</t>
        </is>
      </c>
      <c r="D41" s="183" t="n"/>
      <c r="E41" s="108" t="n"/>
      <c r="F41" s="197" t="n"/>
      <c r="G41" s="103">
        <f>G40</f>
        <v/>
      </c>
      <c r="H41" s="198" t="n"/>
      <c r="I41" s="105" t="n"/>
      <c r="J41" s="103">
        <f>J40</f>
        <v/>
      </c>
    </row>
    <row r="42" ht="15.6" customFormat="1" customHeight="1" s="157">
      <c r="A42" s="185" t="n"/>
      <c r="B42" s="184" t="inlineStr">
        <is>
          <t>Материалы</t>
        </is>
      </c>
      <c r="C42" s="212" t="n"/>
      <c r="D42" s="212" t="n"/>
      <c r="E42" s="212" t="n"/>
      <c r="F42" s="212" t="n"/>
      <c r="G42" s="212" t="n"/>
      <c r="H42" s="213" t="n"/>
      <c r="I42" s="188" t="n"/>
      <c r="J42" s="188" t="n"/>
    </row>
    <row r="43" ht="15.6" customFormat="1" customHeight="1" s="157">
      <c r="A43" s="185" t="n"/>
      <c r="B43" s="185" t="inlineStr">
        <is>
          <t>Основные Материалы</t>
        </is>
      </c>
      <c r="C43" s="212" t="n"/>
      <c r="D43" s="212" t="n"/>
      <c r="E43" s="212" t="n"/>
      <c r="F43" s="212" t="n"/>
      <c r="G43" s="212" t="n"/>
      <c r="H43" s="213" t="n"/>
      <c r="I43" s="188" t="n"/>
      <c r="J43" s="188" t="n"/>
    </row>
    <row r="44" ht="15.6" customFormat="1" customHeight="1" s="157">
      <c r="A44" s="185" t="n">
        <v>17</v>
      </c>
      <c r="B44" s="189" t="inlineStr">
        <is>
          <t>16.2.01.01-0031</t>
        </is>
      </c>
      <c r="C44" s="206" t="inlineStr">
        <is>
          <t>Почво-грунт садовый</t>
        </is>
      </c>
      <c r="D44" s="209" t="inlineStr">
        <is>
          <t>м3</t>
        </is>
      </c>
      <c r="E44" s="207" t="n">
        <v>33</v>
      </c>
      <c r="F44" s="28" t="n">
        <v>241.11</v>
      </c>
      <c r="G44" s="188">
        <f>ROUND(F44*E44,2)</f>
        <v/>
      </c>
      <c r="H44" s="24">
        <f>G44/G55</f>
        <v/>
      </c>
      <c r="I44" s="188">
        <f>ROUND(F44*Прил.10!$D$12,2)</f>
        <v/>
      </c>
      <c r="J44" s="188">
        <f>ROUND(I44*E44,2)</f>
        <v/>
      </c>
    </row>
    <row r="45" ht="15.6" customFormat="1" customHeight="1" s="157">
      <c r="A45" s="185" t="n">
        <v>18</v>
      </c>
      <c r="B45" s="189" t="inlineStr">
        <is>
          <t>01.4.03.01-0001</t>
        </is>
      </c>
      <c r="C45" s="206" t="inlineStr">
        <is>
          <t>Бентонит Premium Gel</t>
        </is>
      </c>
      <c r="D45" s="209" t="inlineStr">
        <is>
          <t>кг</t>
        </is>
      </c>
      <c r="E45" s="207" t="n">
        <v>202.5</v>
      </c>
      <c r="F45" s="28" t="n">
        <v>9.869999999999999</v>
      </c>
      <c r="G45" s="188">
        <f>ROUND(F45*E45,2)</f>
        <v/>
      </c>
      <c r="H45" s="24">
        <f>G45/G55</f>
        <v/>
      </c>
      <c r="I45" s="188">
        <f>ROUND(F45*Прил.10!$D$12,2)</f>
        <v/>
      </c>
      <c r="J45" s="188">
        <f>ROUND(I45*E45,2)</f>
        <v/>
      </c>
    </row>
    <row r="46" ht="31.15" customFormat="1" customHeight="1" s="157">
      <c r="A46" s="185" t="n">
        <v>19</v>
      </c>
      <c r="B46" s="189" t="inlineStr">
        <is>
          <t>24.3.03.13-0195</t>
        </is>
      </c>
      <c r="C46" s="206" t="inlineStr">
        <is>
          <t>Трубы полиэтиленовые ПЭ80, SDR17,6, диаметр 110 мм</t>
        </is>
      </c>
      <c r="D46" s="209" t="inlineStr">
        <is>
          <t>м</t>
        </is>
      </c>
      <c r="E46" s="207" t="n">
        <v>27.5</v>
      </c>
      <c r="F46" s="28" t="n">
        <v>43.86</v>
      </c>
      <c r="G46" s="188">
        <f>ROUND(F46*E46,2)</f>
        <v/>
      </c>
      <c r="H46" s="24">
        <f>G46/G55</f>
        <v/>
      </c>
      <c r="I46" s="188">
        <f>ROUND(F46*Прил.10!$D$12,2)</f>
        <v/>
      </c>
      <c r="J46" s="188">
        <f>ROUND(I46*E46,2)</f>
        <v/>
      </c>
    </row>
    <row r="47" ht="15.6" customFormat="1" customHeight="1" s="157">
      <c r="A47" s="185" t="n"/>
      <c r="B47" s="189" t="inlineStr">
        <is>
          <t>Итого основные Материалы</t>
        </is>
      </c>
      <c r="C47" s="212" t="n"/>
      <c r="D47" s="212" t="n"/>
      <c r="E47" s="212" t="n"/>
      <c r="F47" s="213" t="n"/>
      <c r="G47" s="28">
        <f>SUM(G44:G46)</f>
        <v/>
      </c>
      <c r="H47" s="24">
        <f>SUM(H44:H46)</f>
        <v/>
      </c>
      <c r="I47" s="188" t="n"/>
      <c r="J47" s="188">
        <f>SUM(J44:J46)</f>
        <v/>
      </c>
    </row>
    <row r="48" hidden="1" outlineLevel="1" ht="31.15" customFormat="1" customHeight="1" s="157">
      <c r="A48" s="185" t="n">
        <v>20</v>
      </c>
      <c r="B48" s="189" t="inlineStr">
        <is>
          <t>01.4.03.03-0031</t>
        </is>
      </c>
      <c r="C48" s="206" t="inlineStr">
        <is>
          <t>Полимер универсальный для стабилизации буровых скважин</t>
        </is>
      </c>
      <c r="D48" s="209" t="inlineStr">
        <is>
          <t>кг</t>
        </is>
      </c>
      <c r="E48" s="207" t="n">
        <v>11.25</v>
      </c>
      <c r="F48" s="28" t="n">
        <v>69.28</v>
      </c>
      <c r="G48" s="188">
        <f>ROUND(F48*E48,2)</f>
        <v/>
      </c>
      <c r="H48" s="24">
        <f>G48/G55</f>
        <v/>
      </c>
      <c r="I48" s="188">
        <f>ROUND(F48*Прил.10!$D$12,2)</f>
        <v/>
      </c>
      <c r="J48" s="188">
        <f>ROUND(I48*E48,2)</f>
        <v/>
      </c>
    </row>
    <row r="49" hidden="1" outlineLevel="1" ht="15.6" customFormat="1" customHeight="1" s="157">
      <c r="A49" s="185" t="n">
        <v>21</v>
      </c>
      <c r="B49" s="189" t="inlineStr">
        <is>
          <t>01.3.01.06-0034</t>
        </is>
      </c>
      <c r="C49" s="206" t="inlineStr">
        <is>
          <t>Смазка графитомедистая</t>
        </is>
      </c>
      <c r="D49" s="209" t="inlineStr">
        <is>
          <t>кг</t>
        </is>
      </c>
      <c r="E49" s="207" t="n">
        <v>0.89</v>
      </c>
      <c r="F49" s="28" t="n">
        <v>12.8</v>
      </c>
      <c r="G49" s="188">
        <f>ROUND(F49*E49,2)</f>
        <v/>
      </c>
      <c r="H49" s="24">
        <f>G49/G55</f>
        <v/>
      </c>
      <c r="I49" s="188">
        <f>ROUND(F49*Прил.10!$D$12,2)</f>
        <v/>
      </c>
      <c r="J49" s="188">
        <f>ROUND(I49*E49,2)</f>
        <v/>
      </c>
    </row>
    <row r="50" hidden="1" outlineLevel="1" ht="15.6" customFormat="1" customHeight="1" s="157">
      <c r="A50" s="185" t="n">
        <v>22</v>
      </c>
      <c r="B50" s="189" t="inlineStr">
        <is>
          <t>01.7.03.01-0001</t>
        </is>
      </c>
      <c r="C50" s="206" t="inlineStr">
        <is>
          <t>Вода</t>
        </is>
      </c>
      <c r="D50" s="209" t="inlineStr">
        <is>
          <t>м3</t>
        </is>
      </c>
      <c r="E50" s="207" t="n">
        <v>3.75</v>
      </c>
      <c r="F50" s="28" t="n">
        <v>2.44</v>
      </c>
      <c r="G50" s="188">
        <f>ROUND(F50*E50,2)</f>
        <v/>
      </c>
      <c r="H50" s="24">
        <f>G50/G55</f>
        <v/>
      </c>
      <c r="I50" s="188">
        <f>ROUND(F50*Прил.10!$D$12,2)</f>
        <v/>
      </c>
      <c r="J50" s="188">
        <f>ROUND(I50*E50,2)</f>
        <v/>
      </c>
    </row>
    <row r="51" hidden="1" outlineLevel="1" ht="31.15" customFormat="1" customHeight="1" s="157">
      <c r="A51" s="185" t="n">
        <v>23</v>
      </c>
      <c r="B51" s="189" t="inlineStr">
        <is>
          <t>01.3.05.23-0171</t>
        </is>
      </c>
      <c r="C51" s="206" t="inlineStr">
        <is>
          <t>Сода кальцинированная (натрий углекислый) техническая</t>
        </is>
      </c>
      <c r="D51" s="209" t="inlineStr">
        <is>
          <t>т</t>
        </is>
      </c>
      <c r="E51" s="207" t="n">
        <v>0.00275</v>
      </c>
      <c r="F51" s="28" t="n">
        <v>1865</v>
      </c>
      <c r="G51" s="188">
        <f>ROUND(F51*E51,2)</f>
        <v/>
      </c>
      <c r="H51" s="24">
        <f>G51/G55</f>
        <v/>
      </c>
      <c r="I51" s="188">
        <f>ROUND(F51*Прил.10!$D$12,2)</f>
        <v/>
      </c>
      <c r="J51" s="188">
        <f>ROUND(I51*E51,2)</f>
        <v/>
      </c>
    </row>
    <row r="52" hidden="1" outlineLevel="1" ht="31.15" customFormat="1" customHeight="1" s="157">
      <c r="A52" s="185" t="n">
        <v>24</v>
      </c>
      <c r="B52" s="189" t="inlineStr">
        <is>
          <t>02.2.05.04-1777</t>
        </is>
      </c>
      <c r="C52" s="206" t="inlineStr">
        <is>
          <t>Щебень М 800, фракция 20-40 мм, группа 2</t>
        </is>
      </c>
      <c r="D52" s="209" t="inlineStr">
        <is>
          <t>м3</t>
        </is>
      </c>
      <c r="E52" s="207" t="n">
        <v>0.01632</v>
      </c>
      <c r="F52" s="28" t="n">
        <v>108.4</v>
      </c>
      <c r="G52" s="188">
        <f>ROUND(F52*E52,2)</f>
        <v/>
      </c>
      <c r="H52" s="24">
        <f>G52/G55</f>
        <v/>
      </c>
      <c r="I52" s="188">
        <f>ROUND(F52*Прил.10!$D$12,2)</f>
        <v/>
      </c>
      <c r="J52" s="188">
        <f>ROUND(I52*E52,2)</f>
        <v/>
      </c>
    </row>
    <row r="53" hidden="1" outlineLevel="1" ht="31.15" customFormat="1" customHeight="1" s="157">
      <c r="A53" s="185" t="n">
        <v>25</v>
      </c>
      <c r="B53" s="189" t="inlineStr">
        <is>
          <t>01.3.01.07-0009</t>
        </is>
      </c>
      <c r="C53" s="206" t="inlineStr">
        <is>
          <t>Спирт этиловый ректификованный технический, сорт I</t>
        </is>
      </c>
      <c r="D53" s="209" t="inlineStr">
        <is>
          <t>кг</t>
        </is>
      </c>
      <c r="E53" s="207" t="n">
        <v>0.006</v>
      </c>
      <c r="F53" s="28" t="n">
        <v>38.89</v>
      </c>
      <c r="G53" s="188">
        <f>ROUND(F53*E53,2)</f>
        <v/>
      </c>
      <c r="H53" s="24">
        <f>G53/G55</f>
        <v/>
      </c>
      <c r="I53" s="188">
        <f>ROUND(F53*Прил.10!$D$12,2)</f>
        <v/>
      </c>
      <c r="J53" s="188">
        <f>ROUND(I53*E53,2)</f>
        <v/>
      </c>
    </row>
    <row r="54" collapsed="1" ht="15.6" customFormat="1" customHeight="1" s="157">
      <c r="A54" s="185" t="n"/>
      <c r="B54" s="185" t="inlineStr">
        <is>
          <t>Итого прочие Материалы</t>
        </is>
      </c>
      <c r="C54" s="212" t="n"/>
      <c r="D54" s="212" t="n"/>
      <c r="E54" s="212" t="n"/>
      <c r="F54" s="213" t="n"/>
      <c r="G54" s="188">
        <f>SUM(G48:G53)</f>
        <v/>
      </c>
      <c r="H54" s="24">
        <f>SUM(H48:H53)</f>
        <v/>
      </c>
      <c r="I54" s="188" t="n"/>
      <c r="J54" s="188">
        <f>SUM(J48:J53)</f>
        <v/>
      </c>
    </row>
    <row r="55" ht="15.6" customFormat="1" customHeight="1" s="157">
      <c r="A55" s="185" t="n"/>
      <c r="B55" s="185" t="inlineStr">
        <is>
          <t>Итого по разделу "Материалы"</t>
        </is>
      </c>
      <c r="C55" s="212" t="n"/>
      <c r="D55" s="212" t="n"/>
      <c r="E55" s="212" t="n"/>
      <c r="F55" s="213" t="n"/>
      <c r="G55" s="188">
        <f>G47+G54</f>
        <v/>
      </c>
      <c r="H55" s="24">
        <f>H47+H54</f>
        <v/>
      </c>
      <c r="I55" s="188" t="n"/>
      <c r="J55" s="188">
        <f>J47+J54</f>
        <v/>
      </c>
    </row>
    <row r="56" ht="15.6" customFormat="1" customHeight="1" s="157">
      <c r="A56" s="186" t="n"/>
      <c r="B56" s="209" t="n"/>
      <c r="C56" s="206" t="inlineStr">
        <is>
          <t>ИТОГО ПО РМ</t>
        </is>
      </c>
      <c r="D56" s="209" t="n"/>
      <c r="E56" s="209" t="n"/>
      <c r="F56" s="208" t="n"/>
      <c r="G56" s="208">
        <f>+G14+G35+G55</f>
        <v/>
      </c>
      <c r="H56" s="33" t="n"/>
      <c r="I56" s="188" t="n"/>
      <c r="J56" s="208">
        <f>+J14+J35+J55</f>
        <v/>
      </c>
    </row>
    <row r="57" ht="15.6" customFormat="1" customHeight="1" s="157">
      <c r="A57" s="186" t="n"/>
      <c r="B57" s="209" t="n"/>
      <c r="C57" s="206" t="inlineStr">
        <is>
          <t>Накладные расходы</t>
        </is>
      </c>
      <c r="D57" s="35" t="n">
        <v>1.6716739524909</v>
      </c>
      <c r="E57" s="209" t="n"/>
      <c r="F57" s="208" t="n"/>
      <c r="G57" s="208">
        <f>(G14+G16)*D57</f>
        <v/>
      </c>
      <c r="H57" s="33" t="n"/>
      <c r="I57" s="188" t="n"/>
      <c r="J57" s="188">
        <f>(J14+J16)*D57</f>
        <v/>
      </c>
    </row>
    <row r="58" ht="15.6" customFormat="1" customHeight="1" s="157">
      <c r="A58" s="186" t="n"/>
      <c r="B58" s="209" t="n"/>
      <c r="C58" s="206" t="inlineStr">
        <is>
          <t>Сметная прибыль</t>
        </is>
      </c>
      <c r="D58" s="35" t="n">
        <v>0.7827655889145499</v>
      </c>
      <c r="E58" s="209" t="n"/>
      <c r="F58" s="208" t="n"/>
      <c r="G58" s="208">
        <f>(G14+G16)*D58</f>
        <v/>
      </c>
      <c r="H58" s="33" t="n"/>
      <c r="I58" s="188" t="n"/>
      <c r="J58" s="188">
        <f>(J14+J16)*D58</f>
        <v/>
      </c>
    </row>
    <row r="59" ht="15.6" customFormat="1" customHeight="1" s="157">
      <c r="A59" s="186" t="n"/>
      <c r="B59" s="209" t="n"/>
      <c r="C59" s="206" t="inlineStr">
        <is>
          <t>Итого СМР (с НР и СП)</t>
        </is>
      </c>
      <c r="D59" s="209" t="n"/>
      <c r="E59" s="209" t="n"/>
      <c r="F59" s="208" t="n"/>
      <c r="G59" s="208">
        <f>G56+G57+G58</f>
        <v/>
      </c>
      <c r="H59" s="33" t="n"/>
      <c r="I59" s="188" t="n"/>
      <c r="J59" s="208">
        <f>J56+J57+J58</f>
        <v/>
      </c>
    </row>
    <row r="60" ht="15.6" customFormat="1" customHeight="1" s="157">
      <c r="A60" s="186" t="n"/>
      <c r="B60" s="209" t="n"/>
      <c r="C60" s="206" t="inlineStr">
        <is>
          <t>ВСЕГО СМР + ОБОРУДОВАНИЕ</t>
        </is>
      </c>
      <c r="D60" s="209" t="n"/>
      <c r="E60" s="209" t="n"/>
      <c r="F60" s="208" t="n"/>
      <c r="G60" s="208">
        <f>G59</f>
        <v/>
      </c>
      <c r="H60" s="33" t="n"/>
      <c r="I60" s="188" t="n"/>
      <c r="J60" s="188">
        <f>J59</f>
        <v/>
      </c>
    </row>
    <row r="61" ht="15.6" customFormat="1" customHeight="1" s="157">
      <c r="A61" s="186" t="n"/>
      <c r="B61" s="209" t="n"/>
      <c r="C61" s="206" t="inlineStr">
        <is>
          <t>ИТОГО ПОКАЗАТЕЛЬ НА ЕД. ИЗМ.</t>
        </is>
      </c>
      <c r="D61" s="209" t="inlineStr">
        <is>
          <t>км</t>
        </is>
      </c>
      <c r="E61" s="209" t="n">
        <v>0.025</v>
      </c>
      <c r="F61" s="208" t="n"/>
      <c r="G61" s="208">
        <f>G60/E61</f>
        <v/>
      </c>
      <c r="H61" s="33" t="n"/>
      <c r="I61" s="188" t="n"/>
      <c r="J61" s="208">
        <f>J60/E61</f>
        <v/>
      </c>
    </row>
    <row r="62" ht="15.6" customFormat="1" customHeight="1" s="157">
      <c r="A62" s="157" t="n"/>
      <c r="B62" s="157" t="n"/>
      <c r="E62" s="157" t="n"/>
      <c r="F62" s="82" t="n"/>
      <c r="G62" s="82" t="n"/>
      <c r="I62" s="82" t="n"/>
      <c r="J62" s="82" t="n"/>
    </row>
    <row r="63" ht="15.6" customFormat="1" customHeight="1" s="157">
      <c r="A63" s="157" t="inlineStr">
        <is>
          <t>Составил ______________________        М.С. Колотиевская</t>
        </is>
      </c>
      <c r="B63" s="157" t="n"/>
      <c r="E63" s="157" t="n"/>
      <c r="F63" s="82" t="n"/>
      <c r="G63" s="82" t="n"/>
      <c r="I63" s="82" t="n"/>
      <c r="J63" s="82" t="n"/>
    </row>
    <row r="64" ht="15.6" customFormat="1" customHeight="1" s="157">
      <c r="A64" s="151" t="inlineStr">
        <is>
          <t xml:space="preserve">                         (подпись, инициалы, фамилия)</t>
        </is>
      </c>
      <c r="B64" s="157" t="n"/>
      <c r="E64" s="157" t="n"/>
      <c r="F64" s="82" t="n"/>
      <c r="G64" s="82" t="n"/>
      <c r="I64" s="82" t="n"/>
      <c r="J64" s="82" t="n"/>
    </row>
    <row r="65" ht="15.6" customFormat="1" customHeight="1" s="157">
      <c r="A65" s="157" t="n"/>
      <c r="B65" s="157" t="n"/>
      <c r="E65" s="157" t="n"/>
      <c r="F65" s="82" t="n"/>
      <c r="G65" s="82" t="n"/>
      <c r="I65" s="82" t="n"/>
      <c r="J65" s="82" t="n"/>
    </row>
    <row r="66" ht="15.6" customFormat="1" customHeight="1" s="157">
      <c r="A66" s="157" t="inlineStr">
        <is>
          <t>Проверил ______________________      А.В. Костянецкая</t>
        </is>
      </c>
      <c r="B66" s="157" t="n"/>
      <c r="E66" s="157" t="n"/>
      <c r="F66" s="82" t="n"/>
      <c r="G66" s="82" t="n"/>
      <c r="I66" s="82" t="n"/>
      <c r="J66" s="82" t="n"/>
    </row>
    <row r="67" ht="15.6" customFormat="1" customHeight="1" s="157">
      <c r="A67" s="151" t="inlineStr">
        <is>
          <t xml:space="preserve">                        (подпись, инициалы, фамилия)</t>
        </is>
      </c>
      <c r="B67" s="157" t="n"/>
      <c r="E67" s="157" t="n"/>
      <c r="F67" s="82" t="n"/>
      <c r="G67" s="82" t="n"/>
      <c r="I67" s="82" t="n"/>
      <c r="J67" s="82" t="n"/>
    </row>
    <row r="68" ht="15.6" customFormat="1" customHeight="1" s="157">
      <c r="E68" s="157" t="n"/>
      <c r="F68" s="82" t="n"/>
      <c r="G68" s="82" t="n"/>
      <c r="I68" s="82" t="n"/>
      <c r="J68" s="82" t="n"/>
    </row>
  </sheetData>
  <mergeCells count="26">
    <mergeCell ref="H9:H10"/>
    <mergeCell ref="B47:F47"/>
    <mergeCell ref="B54:F54"/>
    <mergeCell ref="B15:H15"/>
    <mergeCell ref="H2:J2"/>
    <mergeCell ref="B21:F21"/>
    <mergeCell ref="C9:C10"/>
    <mergeCell ref="B36:H36"/>
    <mergeCell ref="E9:E10"/>
    <mergeCell ref="A7:H7"/>
    <mergeCell ref="B9:B10"/>
    <mergeCell ref="D9:D10"/>
    <mergeCell ref="B18:H18"/>
    <mergeCell ref="B34:F34"/>
    <mergeCell ref="B43:H43"/>
    <mergeCell ref="B12:H12"/>
    <mergeCell ref="B42:H42"/>
    <mergeCell ref="F9:G9"/>
    <mergeCell ref="A4:H4"/>
    <mergeCell ref="B55:F55"/>
    <mergeCell ref="B17:H17"/>
    <mergeCell ref="A9:A10"/>
    <mergeCell ref="A6:C6"/>
    <mergeCell ref="B37:H37"/>
    <mergeCell ref="I9:J9"/>
    <mergeCell ref="B35:F35"/>
  </mergeCells>
  <conditionalFormatting sqref="E13:E18">
    <cfRule type="expression" priority="1" dxfId="0" stopIfTrue="1">
      <formula>E13&gt;=1/10000</formula>
    </cfRule>
  </conditionalFormatting>
  <conditionalFormatting sqref="E52:E68">
    <cfRule type="expression" priority="2" dxfId="0" stopIfTrue="1">
      <formula>E13&gt;=1/10000</formula>
    </cfRule>
  </conditionalFormatting>
  <conditionalFormatting sqref="E42:E49">
    <cfRule type="expression" priority="3" dxfId="0" stopIfTrue="1">
      <formula>E13&gt;=1/10000</formula>
    </cfRule>
  </conditionalFormatting>
  <conditionalFormatting sqref="E30:E35">
    <cfRule type="expression" priority="4" dxfId="0" stopIfTrue="1">
      <formula>E13&gt;=1/10000</formula>
    </cfRule>
  </conditionalFormatting>
  <conditionalFormatting sqref="E20">
    <cfRule type="expression" priority="5" dxfId="0" stopIfTrue="1">
      <formula>E13&gt;=1/10000</formula>
    </cfRule>
  </conditionalFormatting>
  <conditionalFormatting sqref="E23:E27">
    <cfRule type="expression" priority="6" dxfId="0" stopIfTrue="1">
      <formula>E13&gt;=1/10000</formula>
    </cfRule>
  </conditionalFormatting>
  <conditionalFormatting sqref="E36:E41">
    <cfRule type="expression" priority="7" dxfId="0" stopIfTrue="1">
      <formula>E36&gt;=1/10000</formula>
    </cfRule>
  </conditionalFormatting>
  <conditionalFormatting sqref="E19">
    <cfRule type="expression" priority="8" dxfId="0" stopIfTrue="1">
      <formula>E19&gt;=1/10000</formula>
    </cfRule>
  </conditionalFormatting>
  <conditionalFormatting sqref="E51">
    <cfRule type="expression" priority="9" dxfId="0" stopIfTrue="1">
      <formula>E21&gt;=1/10000</formula>
    </cfRule>
  </conditionalFormatting>
  <conditionalFormatting sqref="E29">
    <cfRule type="expression" priority="10" dxfId="0" stopIfTrue="1">
      <formula>E21&gt;=1/10000</formula>
    </cfRule>
  </conditionalFormatting>
  <conditionalFormatting sqref="E22">
    <cfRule type="expression" priority="11" dxfId="0" stopIfTrue="1">
      <formula>E14&gt;=1/10000</formula>
    </cfRule>
  </conditionalFormatting>
  <conditionalFormatting sqref="E50">
    <cfRule type="expression" priority="12" dxfId="0" stopIfTrue="1">
      <formula>E22&gt;=1/10000</formula>
    </cfRule>
  </conditionalFormatting>
  <conditionalFormatting sqref="E28">
    <cfRule type="expression" priority="13" dxfId="0" stopIfTrue="1">
      <formula>E15&gt;=1/10000</formula>
    </cfRule>
  </conditionalFormatting>
  <conditionalFormatting sqref="E21">
    <cfRule type="expression" priority="14" dxfId="0" stopIfTrue="1">
      <formula>E15&gt;=1/10000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="115" workbookViewId="0">
      <selection activeCell="D29" sqref="D29"/>
    </sheetView>
  </sheetViews>
  <sheetFormatPr baseColWidth="8" defaultColWidth="9.140625" defaultRowHeight="15"/>
  <cols>
    <col width="5.7109375" customWidth="1" style="155" min="1" max="1"/>
    <col width="14.85546875" customWidth="1" style="155" min="2" max="2"/>
    <col width="39.140625" customWidth="1" style="155" min="3" max="3"/>
    <col width="8.28515625" customWidth="1" style="155" min="4" max="4"/>
    <col width="13.5703125" customWidth="1" style="155" min="5" max="5"/>
    <col width="12.42578125" customWidth="1" style="155" min="6" max="6"/>
    <col width="14.140625" customWidth="1" style="155" min="7" max="7"/>
    <col width="9.140625" customWidth="1" style="155" min="8" max="8"/>
  </cols>
  <sheetData>
    <row r="1" ht="15.6" customHeight="1" s="155">
      <c r="A1" s="200" t="inlineStr">
        <is>
          <t>Приложение №6</t>
        </is>
      </c>
    </row>
    <row r="2" ht="21.75" customHeight="1" s="155">
      <c r="A2" s="200" t="n"/>
      <c r="B2" s="200" t="n"/>
      <c r="C2" s="200" t="n"/>
      <c r="D2" s="200" t="n"/>
      <c r="E2" s="200" t="n"/>
      <c r="F2" s="200" t="n"/>
      <c r="G2" s="200" t="n"/>
    </row>
    <row r="3" ht="15.6" customHeight="1" s="155">
      <c r="A3" s="182" t="inlineStr">
        <is>
          <t>Расчет стоимости оборудования</t>
        </is>
      </c>
    </row>
    <row r="4" ht="25.5" customHeight="1" s="155">
      <c r="A4" s="199" t="inlineStr">
        <is>
          <t>Наименование разрабатываемого показателя УНЦ —   Н1-01-1___1 труба 110 до 400 м_ФСЭМ</t>
        </is>
      </c>
    </row>
    <row r="5" ht="15.6" customHeight="1" s="155">
      <c r="A5" s="157" t="n"/>
      <c r="B5" s="157" t="n"/>
      <c r="C5" s="157" t="n"/>
      <c r="D5" s="157" t="n"/>
      <c r="E5" s="157" t="n"/>
      <c r="F5" s="157" t="n"/>
      <c r="G5" s="157" t="n"/>
    </row>
    <row r="6" ht="30" customFormat="1" customHeight="1" s="157">
      <c r="A6" s="209" t="inlineStr">
        <is>
          <t>№ пп.</t>
        </is>
      </c>
      <c r="B6" s="209" t="inlineStr">
        <is>
          <t>Код ресурса</t>
        </is>
      </c>
      <c r="C6" s="209" t="inlineStr">
        <is>
          <t>Наименование</t>
        </is>
      </c>
      <c r="D6" s="209" t="inlineStr">
        <is>
          <t>Ед. изм.</t>
        </is>
      </c>
      <c r="E6" s="183" t="inlineStr">
        <is>
          <t>Кол-во единиц по проектным данным</t>
        </is>
      </c>
      <c r="F6" s="209" t="inlineStr">
        <is>
          <t>Сметная стоимость в ценах на 01.01.2000 (руб.)</t>
        </is>
      </c>
      <c r="G6" s="213" t="n"/>
    </row>
    <row r="7" ht="15.6" customFormat="1" customHeight="1" s="157">
      <c r="A7" s="215" t="n"/>
      <c r="B7" s="215" t="n"/>
      <c r="C7" s="215" t="n"/>
      <c r="D7" s="215" t="n"/>
      <c r="E7" s="215" t="n"/>
      <c r="F7" s="183" t="inlineStr">
        <is>
          <t>на ед. изм.</t>
        </is>
      </c>
      <c r="G7" s="183" t="inlineStr">
        <is>
          <t>общая</t>
        </is>
      </c>
    </row>
    <row r="8" ht="15.6" customFormat="1" customHeight="1" s="157">
      <c r="A8" s="183" t="n">
        <v>1</v>
      </c>
      <c r="B8" s="183" t="n">
        <v>2</v>
      </c>
      <c r="C8" s="183" t="n">
        <v>3</v>
      </c>
      <c r="D8" s="183" t="n">
        <v>4</v>
      </c>
      <c r="E8" s="183" t="n">
        <v>5</v>
      </c>
      <c r="F8" s="183" t="n">
        <v>6</v>
      </c>
      <c r="G8" s="183" t="n">
        <v>7</v>
      </c>
    </row>
    <row r="9" ht="15.6" customFormat="1" customHeight="1" s="157">
      <c r="A9" s="186" t="n"/>
      <c r="B9" s="206" t="inlineStr">
        <is>
          <t>ИНЖЕНЕРНОЕ ОБОРУДОВАНИЕ</t>
        </is>
      </c>
      <c r="C9" s="212" t="n"/>
      <c r="D9" s="212" t="n"/>
      <c r="E9" s="212" t="n"/>
      <c r="F9" s="212" t="n"/>
      <c r="G9" s="213" t="n"/>
    </row>
    <row r="10" ht="31.15" customFormat="1" customHeight="1" s="157">
      <c r="A10" s="209" t="n"/>
      <c r="B10" s="90" t="n"/>
      <c r="C10" s="206" t="inlineStr">
        <is>
          <t>ИТОГО ИНЖЕНЕРНОЕ ОБОРУДОВАНИЕ</t>
        </is>
      </c>
      <c r="D10" s="90" t="n"/>
      <c r="E10" s="91" t="n"/>
      <c r="F10" s="208" t="n"/>
      <c r="G10" s="208" t="n">
        <v>0</v>
      </c>
    </row>
    <row r="11" ht="15.6" customFormat="1" customHeight="1" s="157">
      <c r="A11" s="209" t="n"/>
      <c r="B11" s="206" t="inlineStr">
        <is>
          <t>ТЕХНОЛОГИЧЕСКОЕ ОБОРУДОВАНИЕ</t>
        </is>
      </c>
      <c r="C11" s="212" t="n"/>
      <c r="D11" s="212" t="n"/>
      <c r="E11" s="212" t="n"/>
      <c r="F11" s="212" t="n"/>
      <c r="G11" s="213" t="n"/>
    </row>
    <row r="12" ht="31.15" customFormat="1" customHeight="1" s="157">
      <c r="A12" s="209" t="n"/>
      <c r="B12" s="206" t="n"/>
      <c r="C12" s="206" t="inlineStr">
        <is>
          <t>ИТОГО ТЕХНОЛОГИЧЕСКОЕ ОБОРУДОВАНИЕ</t>
        </is>
      </c>
      <c r="D12" s="206" t="n"/>
      <c r="E12" s="207" t="n"/>
      <c r="F12" s="208" t="n"/>
      <c r="G12" s="208" t="n">
        <v>0</v>
      </c>
    </row>
    <row r="13" ht="15.6" customFormat="1" customHeight="1" s="157">
      <c r="A13" s="209" t="n"/>
      <c r="B13" s="206" t="n"/>
      <c r="C13" s="206" t="inlineStr">
        <is>
          <t>Итого по разделу "Оборудование"</t>
        </is>
      </c>
      <c r="D13" s="206" t="n"/>
      <c r="E13" s="207" t="n"/>
      <c r="F13" s="208" t="n"/>
      <c r="G13" s="208">
        <f>G12</f>
        <v/>
      </c>
    </row>
    <row r="14" ht="15.6" customFormat="1" customHeight="1" s="157">
      <c r="A14" s="157" t="n"/>
      <c r="B14" s="157" t="n"/>
    </row>
    <row r="15" ht="15.6" customFormat="1" customHeight="1" s="157">
      <c r="A15" s="157" t="inlineStr">
        <is>
          <t>Составил ______________________        М.С. Колотиевская</t>
        </is>
      </c>
      <c r="B15" s="157" t="n"/>
      <c r="C15" s="157" t="n"/>
    </row>
    <row r="16" ht="15.6" customFormat="1" customHeight="1" s="157">
      <c r="A16" s="151" t="inlineStr">
        <is>
          <t xml:space="preserve">                         (подпись, инициалы, фамилия)</t>
        </is>
      </c>
      <c r="B16" s="157" t="n"/>
      <c r="C16" s="157" t="n"/>
    </row>
    <row r="17" ht="15.6" customFormat="1" customHeight="1" s="157">
      <c r="A17" s="157" t="n"/>
      <c r="B17" s="157" t="n"/>
      <c r="C17" s="157" t="n"/>
    </row>
    <row r="18" ht="15.6" customFormat="1" customHeight="1" s="157">
      <c r="A18" s="157" t="inlineStr">
        <is>
          <t>Проверил ______________________      А.В. Костянецкая</t>
        </is>
      </c>
      <c r="B18" s="157" t="n"/>
      <c r="C18" s="157" t="n"/>
    </row>
    <row r="19" ht="15.6" customFormat="1" customHeight="1" s="157">
      <c r="A19" s="151" t="inlineStr">
        <is>
          <t xml:space="preserve">                        (подпись, инициалы, фамилия)</t>
        </is>
      </c>
      <c r="B19" s="157" t="n"/>
      <c r="C19" s="157" t="n"/>
    </row>
    <row r="20" ht="15.6" customFormat="1" customHeight="1" s="157"/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conditionalFormatting sqref="E10:E13">
    <cfRule type="expression" priority="1" dxfId="0" stopIfTrue="1">
      <formula>E10&gt;=1/10000</formula>
    </cfRule>
  </conditionalFormatting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29" sqref="D29"/>
    </sheetView>
  </sheetViews>
  <sheetFormatPr baseColWidth="8" defaultRowHeight="15"/>
  <cols>
    <col width="12.7109375" customWidth="1" style="155" min="1" max="1"/>
    <col width="22.42578125" customWidth="1" style="155" min="2" max="2"/>
    <col width="37.140625" customWidth="1" style="155" min="3" max="3"/>
    <col width="49" customWidth="1" style="155" min="4" max="4"/>
    <col width="9.140625" customWidth="1" style="155" min="5" max="5"/>
  </cols>
  <sheetData>
    <row r="1" ht="15.75" customHeight="1" s="155">
      <c r="A1" s="157" t="n"/>
      <c r="B1" s="157" t="n"/>
      <c r="C1" s="157" t="n"/>
      <c r="D1" s="157" t="inlineStr">
        <is>
          <t>Приложение №7</t>
        </is>
      </c>
    </row>
    <row r="2" ht="15.75" customHeight="1" s="155">
      <c r="A2" s="157" t="n"/>
      <c r="B2" s="157" t="n"/>
      <c r="C2" s="157" t="n"/>
      <c r="D2" s="157" t="n"/>
    </row>
    <row r="3" ht="15.75" customHeight="1" s="155">
      <c r="A3" s="157" t="n"/>
      <c r="B3" s="118" t="inlineStr">
        <is>
          <t>Расчет показателя УНЦ</t>
        </is>
      </c>
      <c r="C3" s="157" t="n"/>
      <c r="D3" s="157" t="n"/>
    </row>
    <row r="4" ht="15.75" customHeight="1" s="155">
      <c r="A4" s="157" t="n"/>
      <c r="B4" s="157" t="n"/>
      <c r="C4" s="157" t="n"/>
      <c r="D4" s="157" t="n"/>
    </row>
    <row r="5" ht="15.75" customHeight="1" s="155">
      <c r="A5" s="199" t="inlineStr">
        <is>
          <t xml:space="preserve">Наименование разрабатываемого показателя УНЦ - </t>
        </is>
      </c>
      <c r="D5" s="199">
        <f>'Прил.5 Расчет СМР и ОБ'!D6:J6</f>
        <v/>
      </c>
    </row>
    <row r="6" ht="15.75" customHeight="1" s="155">
      <c r="A6" s="157" t="inlineStr">
        <is>
          <t>Единица измерения  — 1 км</t>
        </is>
      </c>
      <c r="B6" s="157" t="n"/>
      <c r="C6" s="157" t="n"/>
      <c r="D6" s="157" t="n"/>
    </row>
    <row r="7" ht="15.75" customHeight="1" s="155">
      <c r="A7" s="157" t="n"/>
      <c r="B7" s="157" t="n"/>
      <c r="C7" s="157" t="n"/>
      <c r="D7" s="157" t="n"/>
    </row>
    <row r="8">
      <c r="A8" s="183" t="inlineStr">
        <is>
          <t>Код показателя</t>
        </is>
      </c>
      <c r="B8" s="183" t="inlineStr">
        <is>
          <t>Наименование показателя</t>
        </is>
      </c>
      <c r="C8" s="183" t="inlineStr">
        <is>
          <t>Наименование РМ, входящих в состав показателя</t>
        </is>
      </c>
      <c r="D8" s="183" t="inlineStr">
        <is>
          <t>Норматив цены на 01.01.2023, тыс.руб.</t>
        </is>
      </c>
    </row>
    <row r="9">
      <c r="A9" s="215" t="n"/>
      <c r="B9" s="215" t="n"/>
      <c r="C9" s="215" t="n"/>
      <c r="D9" s="215" t="n"/>
    </row>
    <row r="10" ht="15.75" customHeight="1" s="155">
      <c r="A10" s="183" t="n">
        <v>1</v>
      </c>
      <c r="B10" s="183" t="n">
        <v>2</v>
      </c>
      <c r="C10" s="183" t="n">
        <v>3</v>
      </c>
      <c r="D10" s="183" t="n">
        <v>4</v>
      </c>
    </row>
    <row r="11" ht="63" customHeight="1" s="155">
      <c r="A11" s="183" t="inlineStr">
        <is>
          <t>Н1-01-1</t>
        </is>
      </c>
      <c r="B11" s="183" t="inlineStr">
        <is>
          <t>УНЦ выполнения специального перехода кабельной линии методом ГНБ</t>
        </is>
      </c>
      <c r="C11" s="122">
        <f>D5</f>
        <v/>
      </c>
      <c r="D11" s="163">
        <f>'Прил.4 РМ'!C41/1000</f>
        <v/>
      </c>
    </row>
    <row r="12" ht="15.75" customHeight="1" s="155">
      <c r="A12" s="157" t="n"/>
      <c r="B12" s="157" t="n"/>
    </row>
    <row r="13" ht="15.75" customHeight="1" s="155">
      <c r="A13" s="157" t="inlineStr">
        <is>
          <t>Составил ______________________        М.С. Колотиевская</t>
        </is>
      </c>
      <c r="B13" s="157" t="n"/>
      <c r="C13" s="124" t="n"/>
      <c r="D13" s="125" t="n"/>
    </row>
    <row r="14" ht="15.75" customHeight="1" s="155">
      <c r="A14" s="151" t="inlineStr">
        <is>
          <t xml:space="preserve">                         (подпись, инициалы, фамилия)</t>
        </is>
      </c>
      <c r="B14" s="157" t="n"/>
      <c r="C14" s="124" t="n"/>
      <c r="D14" s="125" t="n"/>
    </row>
    <row r="15" ht="15.75" customHeight="1" s="155">
      <c r="A15" s="157" t="n"/>
      <c r="B15" s="157" t="n"/>
      <c r="C15" s="124" t="n"/>
      <c r="D15" s="125" t="n"/>
    </row>
    <row r="16" ht="15.75" customHeight="1" s="155">
      <c r="A16" s="157" t="inlineStr">
        <is>
          <t>Проверил ______________________      А.В. Костянецкая</t>
        </is>
      </c>
      <c r="B16" s="157" t="n"/>
      <c r="C16" s="124" t="n"/>
      <c r="D16" s="125" t="n"/>
    </row>
    <row r="17" ht="20.25" customHeight="1" s="155">
      <c r="A17" s="151" t="inlineStr">
        <is>
          <t xml:space="preserve">                        (подпись, инициалы, фамилия)</t>
        </is>
      </c>
      <c r="B17" s="157" t="n"/>
      <c r="C17" s="124" t="n"/>
      <c r="D17" s="125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zoomScale="60" zoomScaleNormal="100" workbookViewId="0">
      <selection activeCell="M32" sqref="M32"/>
    </sheetView>
  </sheetViews>
  <sheetFormatPr baseColWidth="8" defaultColWidth="9.140625" defaultRowHeight="15"/>
  <cols>
    <col width="9.140625" customWidth="1" style="155" min="1" max="1"/>
    <col width="40.7109375" customWidth="1" style="155" min="2" max="2"/>
    <col width="37" customWidth="1" style="155" min="3" max="3"/>
    <col width="32" customWidth="1" style="155" min="4" max="4"/>
    <col width="9.140625" customWidth="1" style="155" min="5" max="5"/>
  </cols>
  <sheetData>
    <row r="4" ht="15.6" customHeight="1" s="155">
      <c r="B4" s="178" t="inlineStr">
        <is>
          <t>Приложение № 10</t>
        </is>
      </c>
    </row>
    <row r="5" ht="18" customHeight="1" s="155">
      <c r="B5" s="45" t="n"/>
    </row>
    <row r="6" ht="15.6" customHeight="1" s="155">
      <c r="B6" s="182" t="inlineStr">
        <is>
          <t>Используемые индексы изменений сметной стоимости и нормы сопутствующих затрат</t>
        </is>
      </c>
    </row>
    <row r="7" ht="18" customHeight="1" s="155">
      <c r="B7" s="144" t="n"/>
    </row>
    <row r="8" ht="46.9" customFormat="1" customHeight="1" s="157">
      <c r="B8" s="183" t="inlineStr">
        <is>
          <t>Наименование индекса / норм сопутствующих затрат</t>
        </is>
      </c>
      <c r="C8" s="183" t="inlineStr">
        <is>
          <t>Дата применения и обоснование индекса / норм сопутствующих затрат</t>
        </is>
      </c>
      <c r="D8" s="183" t="inlineStr">
        <is>
          <t>Размер индекса / норма сопутствующих затрат</t>
        </is>
      </c>
    </row>
    <row r="9" ht="15.6" customFormat="1" customHeight="1" s="157">
      <c r="B9" s="183" t="n">
        <v>1</v>
      </c>
      <c r="C9" s="183" t="n">
        <v>2</v>
      </c>
      <c r="D9" s="183" t="n">
        <v>3</v>
      </c>
    </row>
    <row r="10" ht="45" customFormat="1" customHeight="1" s="157">
      <c r="B10" s="183" t="inlineStr">
        <is>
          <t xml:space="preserve">Индекс изменения сметной стоимости на 1 квартал 2023 года. ОЗП </t>
        </is>
      </c>
      <c r="C10" s="183" t="inlineStr">
        <is>
          <t>Письмо Минстроя России от 30.03.2023г. №17106-ИФ/09  прил.1</t>
        </is>
      </c>
      <c r="D10" s="183" t="n">
        <v>44.29</v>
      </c>
    </row>
    <row r="11" ht="29.25" customFormat="1" customHeight="1" s="157">
      <c r="B11" s="183" t="inlineStr">
        <is>
          <t>Индекс изменения сметной стоимости на 1 квартал 2023 года. ЭМ</t>
        </is>
      </c>
      <c r="C11" s="183" t="inlineStr">
        <is>
          <t>Письмо Минстроя России от 30.03.2023г. №17106-ИФ/09  прил.1</t>
        </is>
      </c>
      <c r="D11" s="183" t="n">
        <v>10.84</v>
      </c>
    </row>
    <row r="12" ht="29.25" customFormat="1" customHeight="1" s="157">
      <c r="B12" s="183" t="inlineStr">
        <is>
          <t>Индекс изменения сметной стоимости на 1 квартал 2023 года. МАТ</t>
        </is>
      </c>
      <c r="C12" s="183" t="inlineStr">
        <is>
          <t>Письмо Минстроя России от 30.03.2023г. №17106-ИФ/09  прил.1</t>
        </is>
      </c>
      <c r="D12" s="183" t="n">
        <v>5.34</v>
      </c>
    </row>
    <row r="13" ht="30.75" customFormat="1" customHeight="1" s="157">
      <c r="B13" s="183" t="inlineStr">
        <is>
          <t>Индекс изменения сметной стоимости на 1 квартал 2023 года. ОБ</t>
        </is>
      </c>
      <c r="C13" s="149" t="inlineStr">
        <is>
          <t>Письмо Минстроя России от 23.02.2023г. №9791-ИФ/09 прил.6</t>
        </is>
      </c>
      <c r="D13" s="183" t="n">
        <v>6.26</v>
      </c>
    </row>
    <row r="14" ht="89.25" customFormat="1" customHeight="1" s="157">
      <c r="B14" s="183" t="inlineStr">
        <is>
          <t>Временные здания и сооружения</t>
        </is>
      </c>
      <c r="C14" s="183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131" t="n">
        <v>0.039</v>
      </c>
    </row>
    <row r="15" ht="78" customFormat="1" customHeight="1" s="157">
      <c r="B15" s="183" t="inlineStr">
        <is>
          <t>Дополнительные затраты при производстве строительно-монтажных работ в зимнее время</t>
        </is>
      </c>
      <c r="C15" s="183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131" t="n">
        <v>0.021</v>
      </c>
      <c r="E15" s="39" t="n"/>
    </row>
    <row r="16" ht="34.5" customFormat="1" customHeight="1" s="157">
      <c r="B16" s="183" t="inlineStr">
        <is>
          <t>Пусконаладочные работы</t>
        </is>
      </c>
      <c r="C16" s="183" t="n"/>
      <c r="D16" s="183" t="inlineStr">
        <is>
          <t>Расчет</t>
        </is>
      </c>
    </row>
    <row r="17" ht="31.5" customFormat="1" customHeight="1" s="157">
      <c r="B17" s="183" t="inlineStr">
        <is>
          <t>Строительный контроль</t>
        </is>
      </c>
      <c r="C17" s="183" t="inlineStr">
        <is>
          <t>Постановление Правительства РФ от 21.06.10 г. № 468</t>
        </is>
      </c>
      <c r="D17" s="131" t="n">
        <v>0.0214</v>
      </c>
    </row>
    <row r="18" ht="31.5" customFormat="1" customHeight="1" s="157">
      <c r="B18" s="183" t="inlineStr">
        <is>
          <t>Авторский надзор</t>
        </is>
      </c>
      <c r="C18" s="183" t="inlineStr">
        <is>
          <t>Приказ от 4.08.2020 № 421/пр п.173</t>
        </is>
      </c>
      <c r="D18" s="131" t="n">
        <v>0.002</v>
      </c>
    </row>
    <row r="19" ht="24" customFormat="1" customHeight="1" s="157">
      <c r="B19" s="183" t="inlineStr">
        <is>
          <t>Непредвиденные расходы</t>
        </is>
      </c>
      <c r="C19" s="183" t="inlineStr">
        <is>
          <t>Приказ от 4.08.2020 № 421/пр п.179</t>
        </is>
      </c>
      <c r="D19" s="131" t="n">
        <v>0.03</v>
      </c>
    </row>
    <row r="20" ht="15.6" customFormat="1" customHeight="1" s="157">
      <c r="B20" s="177" t="n"/>
    </row>
    <row r="21" ht="15.6" customFormat="1" customHeight="1" s="157">
      <c r="B21" s="177" t="n"/>
    </row>
    <row r="22" ht="15.6" customFormat="1" customHeight="1" s="157">
      <c r="B22" s="177" t="n"/>
    </row>
    <row r="23" ht="15.6" customFormat="1" customHeight="1" s="157">
      <c r="B23" s="177" t="n"/>
    </row>
    <row r="24" ht="15.6" customFormat="1" customHeight="1" s="157"/>
    <row r="25" ht="15.6" customFormat="1" customHeight="1" s="157">
      <c r="B25" s="157" t="n"/>
      <c r="C25" s="157" t="n"/>
    </row>
    <row r="26" ht="15.6" customFormat="1" customHeight="1" s="157">
      <c r="B26" s="157" t="inlineStr">
        <is>
          <t>Составил ______________________        М.С. Колотиевская</t>
        </is>
      </c>
      <c r="C26" s="157" t="n"/>
    </row>
    <row r="27" ht="15.6" customFormat="1" customHeight="1" s="157">
      <c r="B27" s="151" t="inlineStr">
        <is>
          <t xml:space="preserve">                         (подпись, инициалы, фамилия)</t>
        </is>
      </c>
      <c r="C27" s="157" t="n"/>
    </row>
    <row r="28" ht="15.6" customFormat="1" customHeight="1" s="157">
      <c r="B28" s="157" t="n"/>
      <c r="C28" s="157" t="n"/>
    </row>
    <row r="29" ht="15.6" customFormat="1" customHeight="1" s="157">
      <c r="B29" s="157" t="inlineStr">
        <is>
          <t>Проверил ______________________      А.В. Костянецкая</t>
        </is>
      </c>
      <c r="C29" s="157" t="n"/>
    </row>
    <row r="30" ht="15.6" customFormat="1" customHeight="1" s="157">
      <c r="B30" s="151" t="inlineStr">
        <is>
          <t xml:space="preserve">                        (подпись, инициалы, фамилия)</t>
        </is>
      </c>
      <c r="C30" s="157" t="n"/>
    </row>
    <row r="31" ht="15.6" customFormat="1" customHeight="1" s="157"/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29" sqref="D29"/>
    </sheetView>
  </sheetViews>
  <sheetFormatPr baseColWidth="8" defaultColWidth="9.140625" defaultRowHeight="15"/>
  <cols>
    <col width="44.85546875" customWidth="1" style="155" min="2" max="2"/>
    <col width="13" customWidth="1" style="155" min="3" max="3"/>
    <col width="22.85546875" customWidth="1" style="155" min="4" max="4"/>
    <col width="21.5703125" customWidth="1" style="155" min="5" max="5"/>
    <col width="43.85546875" customWidth="1" style="155" min="6" max="6"/>
  </cols>
  <sheetData>
    <row r="1" s="155"/>
    <row r="2" ht="17.25" customHeight="1" s="155">
      <c r="A2" s="182" t="inlineStr">
        <is>
          <t>Расчет размера средств на оплату труда рабочих-строителей в текущем уровне цен (ФОТр.тек.)</t>
        </is>
      </c>
    </row>
    <row r="3" s="155"/>
    <row r="4" ht="18" customHeight="1" s="155">
      <c r="A4" s="156" t="inlineStr">
        <is>
          <t>Составлен в уровне цен на 01.01.2023 г.</t>
        </is>
      </c>
      <c r="B4" s="157" t="n"/>
      <c r="C4" s="157" t="n"/>
      <c r="D4" s="157" t="n"/>
      <c r="E4" s="157" t="n"/>
      <c r="F4" s="157" t="n"/>
      <c r="G4" s="157" t="n"/>
    </row>
    <row r="5" ht="15.75" customHeight="1" s="155">
      <c r="A5" s="158" t="inlineStr">
        <is>
          <t>№ пп.</t>
        </is>
      </c>
      <c r="B5" s="158" t="inlineStr">
        <is>
          <t>Наименование элемента</t>
        </is>
      </c>
      <c r="C5" s="158" t="inlineStr">
        <is>
          <t>Обозначение</t>
        </is>
      </c>
      <c r="D5" s="158" t="inlineStr">
        <is>
          <t>Формула</t>
        </is>
      </c>
      <c r="E5" s="158" t="inlineStr">
        <is>
          <t>Величина элемента</t>
        </is>
      </c>
      <c r="F5" s="158" t="inlineStr">
        <is>
          <t>Наименования обосновывающих документов</t>
        </is>
      </c>
      <c r="G5" s="157" t="n"/>
    </row>
    <row r="6" ht="15.75" customHeight="1" s="155">
      <c r="A6" s="158" t="n">
        <v>1</v>
      </c>
      <c r="B6" s="158" t="n">
        <v>2</v>
      </c>
      <c r="C6" s="158" t="n">
        <v>3</v>
      </c>
      <c r="D6" s="158" t="n">
        <v>4</v>
      </c>
      <c r="E6" s="158" t="n">
        <v>5</v>
      </c>
      <c r="F6" s="158" t="n">
        <v>6</v>
      </c>
      <c r="G6" s="157" t="n"/>
    </row>
    <row r="7" ht="110.25" customHeight="1" s="155">
      <c r="A7" s="159" t="inlineStr">
        <is>
          <t>1.1</t>
        </is>
      </c>
      <c r="B7" s="195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83" t="inlineStr">
        <is>
          <t>С1ср</t>
        </is>
      </c>
      <c r="D7" s="183" t="inlineStr">
        <is>
          <t>-</t>
        </is>
      </c>
      <c r="E7" s="162" t="n">
        <v>47872.94</v>
      </c>
      <c r="F7" s="195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57" t="n"/>
    </row>
    <row r="8" ht="31.5" customHeight="1" s="155">
      <c r="A8" s="159" t="inlineStr">
        <is>
          <t>1.2</t>
        </is>
      </c>
      <c r="B8" s="195" t="inlineStr">
        <is>
          <t>Среднегодовое нормативное число часов работы одного рабочего в месяц, часы (ч.)</t>
        </is>
      </c>
      <c r="C8" s="183" t="inlineStr">
        <is>
          <t>tср</t>
        </is>
      </c>
      <c r="D8" s="183" t="inlineStr">
        <is>
          <t>1973ч/12мес.</t>
        </is>
      </c>
      <c r="E8" s="163">
        <f>1973/12</f>
        <v/>
      </c>
      <c r="F8" s="195" t="inlineStr">
        <is>
          <t>Производственный календарь 2023 год
(40-часов.неделя)</t>
        </is>
      </c>
      <c r="G8" s="166" t="n"/>
    </row>
    <row r="9" ht="15.75" customHeight="1" s="155">
      <c r="A9" s="159" t="inlineStr">
        <is>
          <t>1.3</t>
        </is>
      </c>
      <c r="B9" s="195" t="inlineStr">
        <is>
          <t>Коэффициент увеличения</t>
        </is>
      </c>
      <c r="C9" s="183" t="inlineStr">
        <is>
          <t>Кув</t>
        </is>
      </c>
      <c r="D9" s="183" t="inlineStr">
        <is>
          <t>-</t>
        </is>
      </c>
      <c r="E9" s="163" t="n">
        <v>1</v>
      </c>
      <c r="F9" s="195" t="n"/>
      <c r="G9" s="166" t="n"/>
    </row>
    <row r="10" ht="15.75" customHeight="1" s="155">
      <c r="A10" s="159" t="inlineStr">
        <is>
          <t>1.4</t>
        </is>
      </c>
      <c r="B10" s="195" t="inlineStr">
        <is>
          <t>Средний разряд работ</t>
        </is>
      </c>
      <c r="C10" s="183" t="n"/>
      <c r="D10" s="183" t="n"/>
      <c r="E10" s="167" t="n">
        <v>4.2</v>
      </c>
      <c r="F10" s="195" t="inlineStr">
        <is>
          <t>РТМ</t>
        </is>
      </c>
      <c r="G10" s="166" t="n"/>
    </row>
    <row r="11" ht="78.75" customHeight="1" s="155">
      <c r="A11" s="159" t="inlineStr">
        <is>
          <t>1.5</t>
        </is>
      </c>
      <c r="B11" s="195" t="inlineStr">
        <is>
          <t>Тарифный коэффициент среднего разряда работ</t>
        </is>
      </c>
      <c r="C11" s="183" t="inlineStr">
        <is>
          <t>КТ</t>
        </is>
      </c>
      <c r="D11" s="183" t="inlineStr">
        <is>
          <t>-</t>
        </is>
      </c>
      <c r="E11" s="168" t="n">
        <v>1.38</v>
      </c>
      <c r="F11" s="195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57" t="n"/>
    </row>
    <row r="12" ht="78.75" customHeight="1" s="155">
      <c r="A12" s="159" t="inlineStr">
        <is>
          <t>1.6</t>
        </is>
      </c>
      <c r="B12" s="202" t="inlineStr">
        <is>
          <t>Коэффициент инфляции, определяемый поквартально</t>
        </is>
      </c>
      <c r="C12" s="183" t="inlineStr">
        <is>
          <t>Кинф</t>
        </is>
      </c>
      <c r="D12" s="183" t="inlineStr">
        <is>
          <t>-</t>
        </is>
      </c>
      <c r="E12" s="170" t="n">
        <v>1.139</v>
      </c>
      <c r="F12" s="20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66" t="n"/>
    </row>
    <row r="13" ht="63" customHeight="1" s="155">
      <c r="A13" s="172" t="inlineStr">
        <is>
          <t>1.7</t>
        </is>
      </c>
      <c r="B13" s="173" t="inlineStr">
        <is>
          <t>Размер средств на оплату труда рабочих-строителей в текущем уровне цен (ФОТр.тек.), руб/чел.-ч</t>
        </is>
      </c>
      <c r="C13" s="210" t="inlineStr">
        <is>
          <t>ФОТр.тек.</t>
        </is>
      </c>
      <c r="D13" s="210" t="inlineStr">
        <is>
          <t>(С1ср/tср*КТ*Т*Кув)*Кинф</t>
        </is>
      </c>
      <c r="E13" s="175">
        <f>((E7*E9/E8)*E11)*E12</f>
        <v/>
      </c>
      <c r="F13" s="17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57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LEONOVA</dc:creator>
  <dcterms:created xsi:type="dcterms:W3CDTF">2023-06-21T13:07:49Z</dcterms:created>
  <dcterms:modified xsi:type="dcterms:W3CDTF">2025-01-24T12:12:23Z</dcterms:modified>
  <cp:lastModifiedBy>REDMIBOOK</cp:lastModifiedBy>
  <cp:lastPrinted>2023-12-01T07:29:00Z</cp:lastPrinted>
</cp:coreProperties>
</file>