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76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'Прил.3'!$A$1:$H$53</definedName>
    <definedName name="_xlnm.Print_Titles" localSheetId="4">'Прил.5 Расчет СМР и ОБ'!$9:$11</definedName>
    <definedName name="_xlnm.Print_Area" localSheetId="4">'Прил.5 Расчет СМР и ОБ'!$A$1:$J$70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13">
    <font>
      <name val="Calibri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6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justify" vertical="center" wrapText="1"/>
    </xf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4" fillId="0" borderId="0" pivotButton="0" quotePrefix="0" xfId="0"/>
    <xf numFmtId="4" fontId="4" fillId="0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4" fontId="2" fillId="0" borderId="1" applyAlignment="1" pivotButton="0" quotePrefix="0" xfId="0">
      <alignment vertical="top"/>
    </xf>
    <xf numFmtId="0" fontId="5" fillId="0" borderId="0" pivotButton="0" quotePrefix="0" xfId="0"/>
    <xf numFmtId="0" fontId="6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4" fontId="2" fillId="0" borderId="1" applyAlignment="1" pivotButton="0" quotePrefix="0" xfId="0">
      <alignment vertical="top"/>
    </xf>
    <xf numFmtId="164" fontId="2" fillId="0" borderId="1" applyAlignment="1" pivotButton="0" quotePrefix="0" xfId="0">
      <alignment vertical="top"/>
    </xf>
    <xf numFmtId="49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/>
    </xf>
    <xf numFmtId="4" fontId="2" fillId="0" borderId="1" applyAlignment="1" pivotButton="0" quotePrefix="0" xfId="0">
      <alignment vertical="top"/>
    </xf>
    <xf numFmtId="0" fontId="2" fillId="0" borderId="1" pivotButton="0" quotePrefix="0" xfId="0"/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top" wrapText="1"/>
    </xf>
    <xf numFmtId="10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top" wrapText="1"/>
    </xf>
    <xf numFmtId="4" fontId="2" fillId="0" borderId="1" applyAlignment="1" pivotButton="0" quotePrefix="0" xfId="0">
      <alignment vertical="top"/>
    </xf>
    <xf numFmtId="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pivotButton="0" quotePrefix="0" xfId="0"/>
    <xf numFmtId="0" fontId="3" fillId="0" borderId="0" pivotButton="0" quotePrefix="0" xfId="0"/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0" pivotButton="0" quotePrefix="0" xfId="0"/>
    <xf numFmtId="4" fontId="2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2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0" fontId="5" fillId="0" borderId="0" applyAlignment="1" pivotButton="0" quotePrefix="0" xfId="0">
      <alignment horizontal="justify" vertical="center"/>
    </xf>
    <xf numFmtId="0" fontId="5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2" fillId="0" borderId="2" applyAlignment="1" pivotButton="0" quotePrefix="0" xfId="0">
      <alignment vertical="center" wrapText="1"/>
    </xf>
    <xf numFmtId="4" fontId="2" fillId="0" borderId="2" applyAlignment="1" pivotButton="0" quotePrefix="0" xfId="0">
      <alignment horizontal="right" vertical="center"/>
    </xf>
    <xf numFmtId="10" fontId="2" fillId="0" borderId="2" applyAlignment="1" pivotButton="0" quotePrefix="0" xfId="0">
      <alignment vertical="center" wrapText="1"/>
    </xf>
    <xf numFmtId="10" fontId="2" fillId="0" borderId="2" applyAlignment="1" pivotButton="0" quotePrefix="0" xfId="0">
      <alignment vertical="center"/>
    </xf>
    <xf numFmtId="4" fontId="2" fillId="0" borderId="0" pivotButton="0" quotePrefix="0" xfId="0"/>
    <xf numFmtId="0" fontId="2" fillId="0" borderId="1" pivotButton="0" quotePrefix="0" xfId="0"/>
    <xf numFmtId="10" fontId="2" fillId="0" borderId="1" pivotButton="0" quotePrefix="0" xfId="0"/>
    <xf numFmtId="0" fontId="2" fillId="0" borderId="3" applyAlignment="1" pivotButton="0" quotePrefix="0" xfId="0">
      <alignment vertical="center" wrapText="1"/>
    </xf>
    <xf numFmtId="4" fontId="2" fillId="0" borderId="3" applyAlignment="1" pivotButton="0" quotePrefix="0" xfId="0">
      <alignment vertical="center" wrapText="1"/>
    </xf>
    <xf numFmtId="10" fontId="2" fillId="0" borderId="3" applyAlignment="1" pivotButton="0" quotePrefix="0" xfId="0">
      <alignment vertical="center" wrapText="1"/>
    </xf>
    <xf numFmtId="10" fontId="2" fillId="0" borderId="3" applyAlignment="1" pivotButton="0" quotePrefix="0" xfId="0">
      <alignment vertical="center"/>
    </xf>
    <xf numFmtId="4" fontId="2" fillId="0" borderId="1" applyAlignment="1" pivotButton="0" quotePrefix="0" xfId="0">
      <alignment vertical="top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top"/>
    </xf>
    <xf numFmtId="0" fontId="2" fillId="0" borderId="0" applyAlignment="1" pivotButton="0" quotePrefix="0" xfId="0">
      <alignment horizontal="left" vertical="center"/>
    </xf>
    <xf numFmtId="4" fontId="2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justify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 wrapText="1"/>
    </xf>
    <xf numFmtId="0" fontId="4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4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6" fillId="0" borderId="0" pivotButton="0" quotePrefix="0" xfId="0"/>
    <xf numFmtId="0" fontId="8" fillId="0" borderId="0" pivotButton="0" quotePrefix="0" xfId="0"/>
    <xf numFmtId="4" fontId="2" fillId="0" borderId="1" applyAlignment="1" pivotButton="0" quotePrefix="0" xfId="0">
      <alignment vertical="top"/>
    </xf>
    <xf numFmtId="49" fontId="2" fillId="0" borderId="1" applyAlignment="1" pivotButton="0" quotePrefix="0" xfId="0">
      <alignment horizontal="left" vertical="top" wrapText="1"/>
    </xf>
    <xf numFmtId="0" fontId="2" fillId="0" borderId="0" pivotButton="0" quotePrefix="0" xfId="0"/>
    <xf numFmtId="167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justify" vertic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2" fillId="0" borderId="0" pivotButton="0" quotePrefix="0" xfId="0"/>
    <xf numFmtId="168" fontId="2" fillId="0" borderId="0" pivotButton="0" quotePrefix="0" xfId="0"/>
    <xf numFmtId="43" fontId="4" fillId="0" borderId="3" applyAlignment="1" pivotButton="0" quotePrefix="0" xfId="0">
      <alignment vertical="center" wrapText="1"/>
    </xf>
    <xf numFmtId="43" fontId="4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9" fontId="2" fillId="0" borderId="1" applyAlignment="1" pivotButton="0" quotePrefix="0" xfId="0">
      <alignment horizontal="center" vertical="center"/>
    </xf>
    <xf numFmtId="17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 wrapText="1"/>
    </xf>
    <xf numFmtId="166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wrapText="1"/>
    </xf>
    <xf numFmtId="49" fontId="2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center" wrapText="1"/>
    </xf>
    <xf numFmtId="4" fontId="4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0" fontId="2" fillId="0" borderId="0" applyAlignment="1" pivotButton="0" quotePrefix="0" xfId="0">
      <alignment horizontal="left" vertical="center"/>
    </xf>
    <xf numFmtId="4" fontId="2" fillId="0" borderId="1" applyAlignment="1" pivotButton="0" quotePrefix="0" xfId="0">
      <alignment vertical="top"/>
    </xf>
    <xf numFmtId="49" fontId="2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pivotButton="0" quotePrefix="0" xfId="0"/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2" fillId="0" borderId="1" applyAlignment="1" pivotButton="0" quotePrefix="0" xfId="0">
      <alignment vertical="center" wrapText="1"/>
    </xf>
    <xf numFmtId="168" fontId="2" fillId="0" borderId="0" pivotButton="0" quotePrefix="0" xfId="0"/>
    <xf numFmtId="43" fontId="4" fillId="0" borderId="3" applyAlignment="1" pivotButton="0" quotePrefix="0" xfId="0">
      <alignment vertical="center" wrapText="1"/>
    </xf>
    <xf numFmtId="43" fontId="4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topLeftCell="A23" workbookViewId="0">
      <selection activeCell="D30" sqref="D30"/>
    </sheetView>
  </sheetViews>
  <sheetFormatPr baseColWidth="8" defaultRowHeight="15"/>
  <cols>
    <col width="36.85546875" customWidth="1" style="151" min="3" max="3"/>
    <col width="39.42578125" customWidth="1" style="151" min="4" max="4"/>
  </cols>
  <sheetData>
    <row r="3" ht="15.6" customHeight="1" s="151">
      <c r="B3" s="174" t="inlineStr">
        <is>
          <t>Приложение № 1</t>
        </is>
      </c>
    </row>
    <row r="4" ht="17.45" customHeight="1" s="151">
      <c r="B4" s="175" t="inlineStr">
        <is>
          <t>Сравнительная таблица отбора объекта-представителя</t>
        </is>
      </c>
    </row>
    <row r="5" ht="70.5" customHeight="1" s="151">
      <c r="B5" s="1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51">
      <c r="B6" s="79" t="n"/>
      <c r="C6" s="79" t="n"/>
      <c r="D6" s="79" t="n"/>
    </row>
    <row r="7" ht="15.6" customHeight="1" s="151">
      <c r="B7" s="173" t="inlineStr">
        <is>
          <t>Наименование разрабатываемого показателя УНЦ — Н1-01-3___3 трубы 110 до 400 м_ФСЭМ</t>
        </is>
      </c>
    </row>
    <row r="8" ht="15.6" customHeight="1" s="151">
      <c r="B8" s="173" t="inlineStr">
        <is>
          <t>Сопоставимый уровень цен: 2 кв. 2017</t>
        </is>
      </c>
    </row>
    <row r="9" ht="15.6" customHeight="1" s="151">
      <c r="B9" s="173" t="inlineStr">
        <is>
          <t>Единица измерения  —  км</t>
        </is>
      </c>
    </row>
    <row r="10" ht="18" customHeight="1" s="151">
      <c r="B10" s="114" t="n"/>
    </row>
    <row r="11" ht="15.6" customHeight="1" s="151">
      <c r="B11" s="179" t="inlineStr">
        <is>
          <t>№ п/п</t>
        </is>
      </c>
      <c r="C11" s="179" t="inlineStr">
        <is>
          <t>Параметр</t>
        </is>
      </c>
      <c r="D11" s="179" t="inlineStr">
        <is>
          <t>Объект-представитель</t>
        </is>
      </c>
    </row>
    <row r="12" ht="31.15" customHeight="1" s="151">
      <c r="B12" s="179" t="n">
        <v>1</v>
      </c>
      <c r="C12" s="198" t="inlineStr">
        <is>
          <t>Наименование объекта-представителя</t>
        </is>
      </c>
      <c r="D12" s="179" t="inlineStr">
        <is>
          <t>КВЛ 330 кВ Ленинградская АЭС -2-Пулковская-Южная</t>
        </is>
      </c>
    </row>
    <row r="13" ht="31.15" customHeight="1" s="151">
      <c r="B13" s="179" t="n">
        <v>2</v>
      </c>
      <c r="C13" s="198" t="inlineStr">
        <is>
          <t>Наименование субъекта Российской Федерации</t>
        </is>
      </c>
      <c r="D13" s="179" t="inlineStr">
        <is>
          <t>Ленинградская область</t>
        </is>
      </c>
    </row>
    <row r="14" ht="15.6" customHeight="1" s="151">
      <c r="B14" s="179" t="n">
        <v>3</v>
      </c>
      <c r="C14" s="198" t="inlineStr">
        <is>
          <t>Климатический район и подрайон</t>
        </is>
      </c>
      <c r="D14" s="179" t="inlineStr">
        <is>
          <t>IIВ</t>
        </is>
      </c>
    </row>
    <row r="15" ht="15.6" customHeight="1" s="151">
      <c r="B15" s="179" t="n">
        <v>4</v>
      </c>
      <c r="C15" s="198" t="inlineStr">
        <is>
          <t>Мощность объекта</t>
        </is>
      </c>
      <c r="D15" s="179" t="n">
        <v>0.025</v>
      </c>
    </row>
    <row r="16" ht="93.59999999999999" customHeight="1" s="151">
      <c r="B16" s="179" t="n">
        <v>5</v>
      </c>
      <c r="C16" s="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Трубы ПЭ80 SDR17,6 Ø110 мм</t>
        </is>
      </c>
    </row>
    <row r="17" ht="78" customHeight="1" s="151">
      <c r="B17" s="179" t="n">
        <v>6</v>
      </c>
      <c r="C17" s="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5">
        <f>SUM(D18:D21)</f>
        <v/>
      </c>
    </row>
    <row r="18" ht="15.6" customHeight="1" s="151">
      <c r="B18" s="138" t="inlineStr">
        <is>
          <t>6.1</t>
        </is>
      </c>
      <c r="C18" s="198" t="inlineStr">
        <is>
          <t>строительно-монтажные работы</t>
        </is>
      </c>
      <c r="D18" s="145">
        <f>1006465.12404+1016.59156</f>
        <v/>
      </c>
    </row>
    <row r="19" ht="15.6" customHeight="1" s="151">
      <c r="B19" s="138" t="inlineStr">
        <is>
          <t>6.2</t>
        </is>
      </c>
      <c r="C19" s="198" t="inlineStr">
        <is>
          <t>оборудование и инвентарь</t>
        </is>
      </c>
      <c r="D19" s="145" t="n"/>
    </row>
    <row r="20" ht="15.6" customHeight="1" s="151">
      <c r="B20" s="138" t="inlineStr">
        <is>
          <t>6.3</t>
        </is>
      </c>
      <c r="C20" s="198" t="inlineStr">
        <is>
          <t>пусконаладочные работы</t>
        </is>
      </c>
      <c r="D20" s="145" t="n"/>
    </row>
    <row r="21" ht="15.6" customHeight="1" s="151">
      <c r="B21" s="138" t="inlineStr">
        <is>
          <t>6.4</t>
        </is>
      </c>
      <c r="C21" s="198" t="inlineStr">
        <is>
          <t>прочие и лимитированные затраты</t>
        </is>
      </c>
      <c r="D21" s="145">
        <f>D18*3.9%+(D18+D18*3.9%)*1%</f>
        <v/>
      </c>
    </row>
    <row r="22" ht="15.6" customHeight="1" s="151">
      <c r="B22" s="179" t="n">
        <v>7</v>
      </c>
      <c r="C22" s="198" t="inlineStr">
        <is>
          <t>Сопоставимый уровень цен</t>
        </is>
      </c>
      <c r="D22" s="146" t="inlineStr">
        <is>
          <t>2 кв. 2017</t>
        </is>
      </c>
    </row>
    <row r="23" ht="109.15" customHeight="1" s="151">
      <c r="B23" s="179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5">
        <f>D17</f>
        <v/>
      </c>
    </row>
    <row r="24" ht="46.9" customHeight="1" s="151">
      <c r="B24" s="179" t="n">
        <v>9</v>
      </c>
      <c r="C24" s="85" t="inlineStr">
        <is>
          <t>Приведенная сметная стоимость на единицу мощности, тыс. руб. (строка 8/строку 4)</t>
        </is>
      </c>
      <c r="D24" s="145">
        <f>D23/D15</f>
        <v/>
      </c>
    </row>
    <row r="25" ht="15.6" customHeight="1" s="151">
      <c r="B25" s="179" t="n">
        <v>10</v>
      </c>
      <c r="C25" s="198" t="inlineStr">
        <is>
          <t>Примечание</t>
        </is>
      </c>
      <c r="D25" s="179" t="n"/>
    </row>
    <row r="26" ht="15.6" customHeight="1" s="151">
      <c r="B26" s="86" t="n"/>
      <c r="C26" s="87" t="n"/>
      <c r="D26" s="149" t="n"/>
    </row>
    <row r="27" ht="15.6" customHeight="1" s="151">
      <c r="B27" s="153" t="n"/>
      <c r="C27" s="153" t="n"/>
      <c r="D27" s="149" t="n"/>
    </row>
    <row r="28" ht="15.6" customFormat="1" customHeight="1" s="153">
      <c r="B28" s="153" t="inlineStr">
        <is>
          <t>Составил ______________________        М.С. Колотиевская</t>
        </is>
      </c>
      <c r="C28" s="153" t="n"/>
    </row>
    <row r="29" ht="15.6" customFormat="1" customHeight="1" s="153">
      <c r="B29" s="86" t="inlineStr">
        <is>
          <t xml:space="preserve">                         (подпись, инициалы, фамилия)</t>
        </is>
      </c>
      <c r="C29" s="153" t="n"/>
    </row>
    <row r="30" ht="15.6" customFormat="1" customHeight="1" s="153">
      <c r="B30" s="153" t="n"/>
      <c r="C30" s="153" t="n"/>
    </row>
    <row r="31" ht="15.6" customFormat="1" customHeight="1" s="153">
      <c r="B31" s="153" t="inlineStr">
        <is>
          <t>Проверил ______________________      А.В. Костянецкая</t>
        </is>
      </c>
      <c r="C31" s="153" t="n"/>
    </row>
    <row r="32" ht="15.6" customFormat="1" customHeight="1" s="153">
      <c r="B32" s="86" t="inlineStr">
        <is>
          <t xml:space="preserve">                        (подпись, инициалы, фамилия)</t>
        </is>
      </c>
      <c r="C32" s="153" t="n"/>
    </row>
    <row r="33" ht="15.6" customHeight="1" s="151">
      <c r="B33" s="87" t="n"/>
      <c r="C33" s="87" t="n"/>
      <c r="D33" s="87" t="n"/>
    </row>
    <row r="34" s="151"/>
    <row r="35" s="151"/>
    <row r="36" s="151"/>
    <row r="37" s="151"/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4"/>
  <sheetViews>
    <sheetView view="pageBreakPreview" topLeftCell="A13" zoomScaleNormal="70" workbookViewId="0">
      <selection activeCell="C19" sqref="C19:D24"/>
    </sheetView>
  </sheetViews>
  <sheetFormatPr baseColWidth="8" defaultColWidth="9.140625" defaultRowHeight="15"/>
  <cols>
    <col width="5.5703125" customWidth="1" style="151" min="1" max="1"/>
    <col width="9.140625" customWidth="1" style="151" min="2" max="2"/>
    <col width="35.28515625" customWidth="1" style="151" min="3" max="3"/>
    <col width="13.85546875" customWidth="1" style="151" min="4" max="4"/>
    <col width="17.42578125" customWidth="1" style="151" min="5" max="5"/>
    <col width="14.5703125" customWidth="1" style="151" min="6" max="6"/>
    <col width="14.85546875" customWidth="1" style="151" min="7" max="7"/>
    <col width="16.7109375" customWidth="1" style="151" min="8" max="8"/>
    <col width="9.85546875" customWidth="1" style="151" min="9" max="9"/>
    <col width="13.85546875" customWidth="1" style="151" min="10" max="10"/>
    <col width="18" customWidth="1" style="151" min="11" max="11"/>
    <col width="9.140625" customWidth="1" style="151" min="12" max="12"/>
  </cols>
  <sheetData>
    <row r="3" ht="15.6" customHeight="1" s="151">
      <c r="B3" s="174" t="inlineStr">
        <is>
          <t>Приложение № 2</t>
        </is>
      </c>
      <c r="K3" s="86" t="n"/>
    </row>
    <row r="4" ht="15.6" customHeight="1" s="151">
      <c r="B4" s="178" t="inlineStr">
        <is>
          <t>Расчет стоимости основных видов работ для выбора объекта-представителя</t>
        </is>
      </c>
    </row>
    <row r="5" ht="15.6" customHeight="1" s="151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</row>
    <row r="6" ht="15.6" customHeight="1" s="151">
      <c r="B6" s="173" t="inlineStr">
        <is>
          <t>Наименование разрабатываемого показателя УНЦ -  Н1-01-3___3 трубы 110 до 400 м_ФСЭМ</t>
        </is>
      </c>
    </row>
    <row r="7" ht="15.6" customHeight="1" s="151">
      <c r="B7" s="173" t="inlineStr">
        <is>
          <t>Единица измерения  — км</t>
        </is>
      </c>
    </row>
    <row r="8" ht="18" customHeight="1" s="151">
      <c r="B8" s="114" t="n"/>
    </row>
    <row r="9" ht="15.6" customFormat="1" customHeight="1" s="153">
      <c r="B9" s="179" t="inlineStr">
        <is>
          <t>№ п/п</t>
        </is>
      </c>
      <c r="C9" s="1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9" t="inlineStr">
        <is>
          <t>Объект-представитель 1</t>
        </is>
      </c>
      <c r="E9" s="208" t="n"/>
      <c r="F9" s="208" t="n"/>
      <c r="G9" s="208" t="n"/>
      <c r="H9" s="208" t="n"/>
      <c r="I9" s="208" t="n"/>
      <c r="J9" s="209" t="n"/>
    </row>
    <row r="10" ht="15.6" customFormat="1" customHeight="1" s="153">
      <c r="B10" s="210" t="n"/>
      <c r="C10" s="210" t="n"/>
      <c r="D10" s="179" t="inlineStr">
        <is>
          <t>Номер сметы</t>
        </is>
      </c>
      <c r="E10" s="179" t="inlineStr">
        <is>
          <t>Наименование сметы</t>
        </is>
      </c>
      <c r="F10" s="179" t="inlineStr">
        <is>
          <t>Сметная стоимость в уровне цен 2 кв. 2017 г., тыс. руб.</t>
        </is>
      </c>
      <c r="G10" s="208" t="n"/>
      <c r="H10" s="208" t="n"/>
      <c r="I10" s="208" t="n"/>
      <c r="J10" s="209" t="n"/>
    </row>
    <row r="11" ht="31.15" customFormat="1" customHeight="1" s="153">
      <c r="B11" s="211" t="n"/>
      <c r="C11" s="211" t="n"/>
      <c r="D11" s="211" t="n"/>
      <c r="E11" s="211" t="n"/>
      <c r="F11" s="179" t="inlineStr">
        <is>
          <t>Строительные работы</t>
        </is>
      </c>
      <c r="G11" s="179" t="inlineStr">
        <is>
          <t>Монтажные работы</t>
        </is>
      </c>
      <c r="H11" s="179" t="inlineStr">
        <is>
          <t>Оборудование</t>
        </is>
      </c>
      <c r="I11" s="179" t="inlineStr">
        <is>
          <t>Прочее</t>
        </is>
      </c>
      <c r="J11" s="179" t="inlineStr">
        <is>
          <t>Всего</t>
        </is>
      </c>
    </row>
    <row r="12" ht="173.25" customFormat="1" customHeight="1" s="153">
      <c r="B12" s="179" t="n">
        <v>1</v>
      </c>
      <c r="C12" s="179" t="inlineStr">
        <is>
          <t>Трубы ПЭ80 SDR17,6 Ø110 мм</t>
        </is>
      </c>
      <c r="D12" s="138" t="inlineStr">
        <is>
          <t>02-04-01</t>
        </is>
      </c>
      <c r="E12" s="198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12">
        <f>122212980/1000*6.29</f>
        <v/>
      </c>
      <c r="G12" s="212">
        <f>772/1000*6.29</f>
        <v/>
      </c>
      <c r="H12" s="212" t="n"/>
      <c r="I12" s="212" t="n"/>
      <c r="J12" s="212">
        <f>SUM(F12:I12)</f>
        <v/>
      </c>
      <c r="K12" s="213" t="n"/>
      <c r="L12" s="213" t="n"/>
      <c r="M12" s="213" t="n"/>
    </row>
    <row r="13" ht="126" customFormat="1" customHeight="1" s="153">
      <c r="B13" s="210" t="n"/>
      <c r="C13" s="210" t="n"/>
      <c r="D13" s="138" t="inlineStr">
        <is>
          <t xml:space="preserve">02-05-01.1 </t>
        </is>
      </c>
      <c r="E13" s="198" t="inlineStr">
        <is>
          <t>Строительные работы по устройству кабельного канала на участке от ПС Пулковская до СМ3 (СПб.)</t>
        </is>
      </c>
      <c r="F13" s="212">
        <f>21900919/1000*6.56</f>
        <v/>
      </c>
      <c r="G13" s="212">
        <f>85320/1000*6.56</f>
        <v/>
      </c>
      <c r="H13" s="212" t="n"/>
      <c r="I13" s="212" t="n"/>
      <c r="J13" s="212">
        <f>SUM(F13:I13)</f>
        <v/>
      </c>
      <c r="K13" s="213" t="n"/>
    </row>
    <row r="14" ht="110.25" customFormat="1" customHeight="1" s="153">
      <c r="B14" s="211" t="n"/>
      <c r="C14" s="211" t="n"/>
      <c r="D14" s="138" t="inlineStr">
        <is>
          <t>02-05-01.2</t>
        </is>
      </c>
      <c r="E14" s="198" t="inlineStr">
        <is>
          <t>Строительные работы по устройству кабельного канала на участке от СМ3 до СМ6 (СПб.)</t>
        </is>
      </c>
      <c r="F14" s="212">
        <f>14340770/1000*6.56</f>
        <v/>
      </c>
      <c r="G14" s="212">
        <f>68908/1000*6.56</f>
        <v/>
      </c>
      <c r="H14" s="212" t="n"/>
      <c r="I14" s="212" t="n"/>
      <c r="J14" s="212">
        <f>SUM(F14:I14)</f>
        <v/>
      </c>
      <c r="K14" s="213" t="n"/>
    </row>
    <row r="15" ht="15.6" customFormat="1" customHeight="1" s="153">
      <c r="B15" s="177" t="inlineStr">
        <is>
          <t>Всего по объекту:</t>
        </is>
      </c>
      <c r="C15" s="208" t="n"/>
      <c r="D15" s="208" t="n"/>
      <c r="E15" s="209" t="n"/>
      <c r="F15" s="214">
        <f>SUM(F12:F14)</f>
        <v/>
      </c>
      <c r="G15" s="214">
        <f>SUM(G12:G14)</f>
        <v/>
      </c>
      <c r="H15" s="214">
        <f>SUM(H12:H14)</f>
        <v/>
      </c>
      <c r="I15" s="214">
        <f>SUM(I12:I14)</f>
        <v/>
      </c>
      <c r="J15" s="214">
        <f>SUM(F15:I15)</f>
        <v/>
      </c>
    </row>
    <row r="16" ht="28.5" customFormat="1" customHeight="1" s="153">
      <c r="B16" s="177" t="inlineStr">
        <is>
          <t>Всего по объекту в сопоставимом уровне цен 2 кв. 2017 г:</t>
        </is>
      </c>
      <c r="C16" s="208" t="n"/>
      <c r="D16" s="208" t="n"/>
      <c r="E16" s="209" t="n"/>
      <c r="F16" s="215">
        <f>F15</f>
        <v/>
      </c>
      <c r="G16" s="215">
        <f>G15</f>
        <v/>
      </c>
      <c r="H16" s="215">
        <f>H15</f>
        <v/>
      </c>
      <c r="I16" s="215">
        <f>I15</f>
        <v/>
      </c>
      <c r="J16" s="215">
        <f>SUM(F16:I16)</f>
        <v/>
      </c>
    </row>
    <row r="17" ht="15.6" customFormat="1" customHeight="1" s="153">
      <c r="B17" s="173" t="n"/>
    </row>
    <row r="18" ht="15.6" customFormat="1" customHeight="1" s="153"/>
    <row r="19" ht="15.6" customFormat="1" customHeight="1" s="153">
      <c r="C19" s="153" t="n"/>
      <c r="D19" s="153" t="n"/>
    </row>
    <row r="20" ht="15.6" customFormat="1" customHeight="1" s="153">
      <c r="C20" s="153" t="inlineStr">
        <is>
          <t>Составил ______________________        М.С. Колотиевская</t>
        </is>
      </c>
      <c r="D20" s="153" t="n"/>
    </row>
    <row r="21" ht="15.6" customFormat="1" customHeight="1" s="153">
      <c r="C21" s="86" t="inlineStr">
        <is>
          <t xml:space="preserve">                         (подпись, инициалы, фамилия)</t>
        </is>
      </c>
      <c r="D21" s="153" t="n"/>
    </row>
    <row r="22" ht="15.6" customFormat="1" customHeight="1" s="153">
      <c r="C22" s="153" t="n"/>
      <c r="D22" s="153" t="n"/>
    </row>
    <row r="23" ht="15.6" customFormat="1" customHeight="1" s="153">
      <c r="C23" s="153" t="inlineStr">
        <is>
          <t>Проверил ______________________      А.В. Костянецкая</t>
        </is>
      </c>
      <c r="D23" s="153" t="n"/>
    </row>
    <row r="24" ht="15.6" customFormat="1" customHeight="1" s="153">
      <c r="C24" s="86" t="inlineStr">
        <is>
          <t xml:space="preserve">                        (подпись, инициалы, фамилия)</t>
        </is>
      </c>
      <c r="D24" s="153" t="n"/>
    </row>
    <row r="25" ht="15.6" customFormat="1" customHeight="1" s="153"/>
    <row r="26" s="151"/>
    <row r="27" s="151"/>
    <row r="28" s="151"/>
    <row r="29" s="151"/>
    <row r="30" s="151"/>
    <row r="31" s="151"/>
    <row r="32" s="151"/>
  </sheetData>
  <mergeCells count="14">
    <mergeCell ref="B3:J3"/>
    <mergeCell ref="D10:D11"/>
    <mergeCell ref="C12:C14"/>
    <mergeCell ref="B4:K4"/>
    <mergeCell ref="D9:J9"/>
    <mergeCell ref="B12:B14"/>
    <mergeCell ref="F10:J10"/>
    <mergeCell ref="B16:E16"/>
    <mergeCell ref="B15:E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8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L53"/>
  <sheetViews>
    <sheetView view="pageBreakPreview" topLeftCell="A33" zoomScale="70" zoomScaleSheetLayoutView="70" workbookViewId="0">
      <selection activeCell="D37" sqref="D37"/>
    </sheetView>
  </sheetViews>
  <sheetFormatPr baseColWidth="8" defaultColWidth="9.140625" defaultRowHeight="15"/>
  <cols>
    <col width="9.140625" customWidth="1" style="151" min="1" max="1"/>
    <col width="12.5703125" customWidth="1" style="151" min="2" max="2"/>
    <col width="17" customWidth="1" style="151" min="3" max="3"/>
    <col width="49.7109375" customWidth="1" style="151" min="4" max="4"/>
    <col width="16.28515625" customWidth="1" style="151" min="5" max="5"/>
    <col width="20.7109375" customWidth="1" style="151" min="6" max="6"/>
    <col width="16.140625" customWidth="1" style="151" min="7" max="7"/>
    <col width="16.7109375" customWidth="1" style="151" min="8" max="8"/>
    <col width="9.140625" customWidth="1" style="151" min="9" max="9"/>
  </cols>
  <sheetData>
    <row r="2" s="151"/>
    <row r="3" s="151"/>
    <row r="4" ht="15.6" customHeight="1" s="151">
      <c r="A4" s="174" t="inlineStr">
        <is>
          <t xml:space="preserve">Приложение № 3 </t>
        </is>
      </c>
    </row>
    <row r="5" ht="17.45" customHeight="1" s="151">
      <c r="A5" s="175" t="inlineStr">
        <is>
          <t>Объектная ресурсная ведомость</t>
        </is>
      </c>
    </row>
    <row r="6" ht="18" customHeight="1" s="151">
      <c r="A6" s="114" t="n"/>
    </row>
    <row r="7" ht="15.6" customHeight="1" s="151">
      <c r="A7" s="183" t="inlineStr">
        <is>
          <t>Наименование разрабатываемого показателя УНЦ -  Н1-01-3___3 трубы 110 до 400 м_ФСЭМ</t>
        </is>
      </c>
    </row>
    <row r="8" ht="15.6" customHeight="1" s="151">
      <c r="A8" s="183" t="n"/>
      <c r="B8" s="183" t="n"/>
      <c r="C8" s="183" t="n"/>
      <c r="D8" s="183" t="n"/>
      <c r="E8" s="183" t="n"/>
      <c r="F8" s="183" t="n"/>
      <c r="G8" s="183" t="n"/>
      <c r="H8" s="183" t="n"/>
    </row>
    <row r="9" ht="38.25" customFormat="1" customHeight="1" s="153">
      <c r="A9" s="179" t="inlineStr">
        <is>
          <t>п/п</t>
        </is>
      </c>
      <c r="B9" s="179" t="inlineStr">
        <is>
          <t>№ЛСР</t>
        </is>
      </c>
      <c r="C9" s="179" t="inlineStr">
        <is>
          <t>Код ресурса</t>
        </is>
      </c>
      <c r="D9" s="179" t="inlineStr">
        <is>
          <t>Наименование ресурса</t>
        </is>
      </c>
      <c r="E9" s="179" t="inlineStr">
        <is>
          <t>Ед. изм.</t>
        </is>
      </c>
      <c r="F9" s="179" t="inlineStr">
        <is>
          <t>Кол-во единиц по данным объекта-представителя</t>
        </is>
      </c>
      <c r="G9" s="179" t="inlineStr">
        <is>
          <t>Сметная стоимость в ценах на 01.01.2000 (руб.)</t>
        </is>
      </c>
      <c r="H9" s="209" t="n"/>
    </row>
    <row r="10" ht="40.5" customFormat="1" customHeight="1" s="153">
      <c r="A10" s="211" t="n"/>
      <c r="B10" s="211" t="n"/>
      <c r="C10" s="211" t="n"/>
      <c r="D10" s="211" t="n"/>
      <c r="E10" s="211" t="n"/>
      <c r="F10" s="211" t="n"/>
      <c r="G10" s="179" t="inlineStr">
        <is>
          <t>на ед.изм.</t>
        </is>
      </c>
      <c r="H10" s="179" t="inlineStr">
        <is>
          <t>общая</t>
        </is>
      </c>
    </row>
    <row r="11" ht="15.6" customFormat="1" customHeight="1" s="153">
      <c r="A11" s="179" t="n">
        <v>1</v>
      </c>
      <c r="B11" s="179" t="n"/>
      <c r="C11" s="179" t="n">
        <v>2</v>
      </c>
      <c r="D11" s="179" t="inlineStr">
        <is>
          <t>З</t>
        </is>
      </c>
      <c r="E11" s="179" t="n">
        <v>4</v>
      </c>
      <c r="F11" s="179" t="n">
        <v>5</v>
      </c>
      <c r="G11" s="179" t="n">
        <v>6</v>
      </c>
      <c r="H11" s="179" t="n">
        <v>7</v>
      </c>
    </row>
    <row r="12" ht="15.6" customFormat="1" customHeight="1" s="121">
      <c r="A12" s="180" t="inlineStr">
        <is>
          <t>Затраты труда рабочих</t>
        </is>
      </c>
      <c r="B12" s="208" t="n"/>
      <c r="C12" s="208" t="n"/>
      <c r="D12" s="208" t="n"/>
      <c r="E12" s="209" t="n"/>
      <c r="F12" s="180" t="n">
        <v>67.15956</v>
      </c>
      <c r="G12" s="10" t="n"/>
      <c r="H12" s="10">
        <f>SUM(H13:H16)</f>
        <v/>
      </c>
    </row>
    <row r="13" ht="15.6" customFormat="1" customHeight="1" s="153">
      <c r="A13" s="181" t="n">
        <v>1</v>
      </c>
      <c r="B13" s="181" t="n"/>
      <c r="C13" s="185" t="inlineStr">
        <is>
          <t>1-4-7</t>
        </is>
      </c>
      <c r="D13" s="182" t="inlineStr">
        <is>
          <t>Затраты труда рабочих (ср 4,7)</t>
        </is>
      </c>
      <c r="E13" s="181" t="inlineStr">
        <is>
          <t>чел.-ч</t>
        </is>
      </c>
      <c r="F13" s="181" t="n">
        <v>52</v>
      </c>
      <c r="G13" s="184" t="n">
        <v>10.65</v>
      </c>
      <c r="H13" s="184">
        <f>ROUND(F13*G13,2)</f>
        <v/>
      </c>
      <c r="I13" s="153" t="n"/>
      <c r="J13" s="153" t="n"/>
      <c r="K13" s="153" t="n"/>
      <c r="L13" s="132" t="n"/>
    </row>
    <row r="14" ht="15.6" customFormat="1" customHeight="1" s="153">
      <c r="A14" s="181" t="n">
        <v>2</v>
      </c>
      <c r="B14" s="181" t="n"/>
      <c r="C14" s="185" t="inlineStr">
        <is>
          <t>1-3-6</t>
        </is>
      </c>
      <c r="D14" s="182" t="inlineStr">
        <is>
          <t>Затраты труда рабочих (ср 3,6)</t>
        </is>
      </c>
      <c r="E14" s="181" t="inlineStr">
        <is>
          <t>чел.-ч</t>
        </is>
      </c>
      <c r="F14" s="181" t="n">
        <v>6.72</v>
      </c>
      <c r="G14" s="184" t="n">
        <v>9.18</v>
      </c>
      <c r="H14" s="184">
        <f>ROUND(F14*G14,2)</f>
        <v/>
      </c>
      <c r="I14" s="153" t="n"/>
      <c r="J14" s="153" t="n"/>
      <c r="K14" s="153" t="n"/>
      <c r="L14" s="153" t="n"/>
    </row>
    <row r="15" ht="15.6" customFormat="1" customHeight="1" s="153">
      <c r="A15" s="181" t="n">
        <v>3</v>
      </c>
      <c r="B15" s="181" t="n"/>
      <c r="C15" s="185" t="inlineStr">
        <is>
          <t>1-2-0</t>
        </is>
      </c>
      <c r="D15" s="182" t="inlineStr">
        <is>
          <t>Затраты труда рабочих (ср 2)</t>
        </is>
      </c>
      <c r="E15" s="181" t="inlineStr">
        <is>
          <t>чел.-ч</t>
        </is>
      </c>
      <c r="F15" s="181" t="n">
        <v>7.57956</v>
      </c>
      <c r="G15" s="184" t="n">
        <v>7.8</v>
      </c>
      <c r="H15" s="184">
        <f>ROUND(F15*G15,2)</f>
        <v/>
      </c>
      <c r="I15" s="153" t="n"/>
      <c r="J15" s="153" t="n"/>
      <c r="K15" s="153" t="n"/>
      <c r="L15" s="153" t="n"/>
    </row>
    <row r="16" ht="15.6" customFormat="1" customHeight="1" s="153">
      <c r="A16" s="181" t="n">
        <v>4</v>
      </c>
      <c r="B16" s="181" t="n"/>
      <c r="C16" s="185" t="inlineStr">
        <is>
          <t>1-4-0</t>
        </is>
      </c>
      <c r="D16" s="182" t="inlineStr">
        <is>
          <t>Затраты труда рабочих (ср 4)</t>
        </is>
      </c>
      <c r="E16" s="181" t="inlineStr">
        <is>
          <t>чел.-ч</t>
        </is>
      </c>
      <c r="F16" s="181" t="n">
        <v>0.86</v>
      </c>
      <c r="G16" s="184" t="n">
        <v>9.619999999999999</v>
      </c>
      <c r="H16" s="184">
        <f>ROUND(F16*G16,2)</f>
        <v/>
      </c>
      <c r="I16" s="153" t="n"/>
      <c r="J16" s="153" t="n"/>
      <c r="K16" s="153" t="n"/>
      <c r="L16" s="153" t="n"/>
    </row>
    <row r="17" ht="15.6" customFormat="1" customHeight="1" s="121">
      <c r="A17" s="180" t="inlineStr">
        <is>
          <t>Затраты труда машинистов</t>
        </is>
      </c>
      <c r="B17" s="208" t="n"/>
      <c r="C17" s="208" t="n"/>
      <c r="D17" s="208" t="n"/>
      <c r="E17" s="209" t="n"/>
      <c r="F17" s="180" t="n">
        <v>99.58877</v>
      </c>
      <c r="G17" s="10" t="n"/>
      <c r="H17" s="10">
        <f>SUM(H18)</f>
        <v/>
      </c>
    </row>
    <row r="18" ht="15.6" customFormat="1" customHeight="1" s="153">
      <c r="A18" s="181" t="n">
        <v>5</v>
      </c>
      <c r="B18" s="181" t="n"/>
      <c r="C18" s="182" t="n">
        <v>2</v>
      </c>
      <c r="D18" s="182" t="inlineStr">
        <is>
          <t>Затраты труда машинистов</t>
        </is>
      </c>
      <c r="E18" s="181" t="inlineStr">
        <is>
          <t>чел.-ч</t>
        </is>
      </c>
      <c r="F18" s="181" t="n">
        <v>99.58877</v>
      </c>
      <c r="G18" s="184" t="n"/>
      <c r="H18" s="184" t="n">
        <v>1341.46</v>
      </c>
    </row>
    <row r="19" ht="15.6" customFormat="1" customHeight="1" s="121">
      <c r="A19" s="180" t="inlineStr">
        <is>
          <t>Машины и механизмы</t>
        </is>
      </c>
      <c r="B19" s="208" t="n"/>
      <c r="C19" s="208" t="n"/>
      <c r="D19" s="208" t="n"/>
      <c r="E19" s="209" t="n"/>
      <c r="F19" s="180" t="n"/>
      <c r="G19" s="10" t="n"/>
      <c r="H19" s="10">
        <f>SUM(H20:H34)</f>
        <v/>
      </c>
    </row>
    <row r="20" ht="46.9" customFormat="1" customHeight="1" s="153">
      <c r="A20" s="181" t="n">
        <v>6</v>
      </c>
      <c r="B20" s="181" t="n"/>
      <c r="C20" s="182" t="inlineStr">
        <is>
          <t>91.04.02-032</t>
        </is>
      </c>
      <c r="D20" s="182" t="inlineStr">
        <is>
          <t>Установки направленного бурения для бестраншейной прокладки, тяговое усилие 500 кН</t>
        </is>
      </c>
      <c r="E20" s="181" t="inlineStr">
        <is>
          <t>маш.час</t>
        </is>
      </c>
      <c r="F20" s="181" t="n">
        <v>15</v>
      </c>
      <c r="G20" s="184" t="n">
        <v>2230.51</v>
      </c>
      <c r="H20" s="184">
        <f>ROUND(F20*G20,2)</f>
        <v/>
      </c>
    </row>
    <row r="21" ht="31.15" customFormat="1" customHeight="1" s="153">
      <c r="A21" s="181" t="n">
        <v>7</v>
      </c>
      <c r="B21" s="181" t="n"/>
      <c r="C21" s="182" t="inlineStr">
        <is>
          <t>91.14.03-002</t>
        </is>
      </c>
      <c r="D21" s="182" t="inlineStr">
        <is>
          <t>Автомобили-самосвалы, грузоподъемность до 10 т</t>
        </is>
      </c>
      <c r="E21" s="181" t="inlineStr">
        <is>
          <t>маш.-ч</t>
        </is>
      </c>
      <c r="F21" s="181" t="n">
        <v>81.2367242</v>
      </c>
      <c r="G21" s="184" t="n">
        <v>87.48999999999999</v>
      </c>
      <c r="H21" s="184">
        <f>ROUND(F21*G21,2)</f>
        <v/>
      </c>
    </row>
    <row r="22" ht="31.15" customFormat="1" customHeight="1" s="153">
      <c r="A22" s="181" t="n">
        <v>8</v>
      </c>
      <c r="B22" s="181" t="n"/>
      <c r="C22" s="182" t="inlineStr">
        <is>
          <t>91.07.06-001</t>
        </is>
      </c>
      <c r="D22" s="182" t="inlineStr">
        <is>
          <t>Комплексы бентонито-смесительные на базе автомобиля</t>
        </is>
      </c>
      <c r="E22" s="181" t="inlineStr">
        <is>
          <t>маш.час</t>
        </is>
      </c>
      <c r="F22" s="181" t="n">
        <v>22</v>
      </c>
      <c r="G22" s="184" t="n">
        <v>215.09</v>
      </c>
      <c r="H22" s="184">
        <f>ROUND(F22*G22,2)</f>
        <v/>
      </c>
    </row>
    <row r="23" ht="31.15" customFormat="1" customHeight="1" s="153">
      <c r="A23" s="181" t="n">
        <v>9</v>
      </c>
      <c r="B23" s="181" t="n"/>
      <c r="C23" s="182" t="inlineStr">
        <is>
          <t>91.06.05-013</t>
        </is>
      </c>
      <c r="D23" s="182" t="inlineStr">
        <is>
          <t>Погрузчики на автомобильном ходу, грузоподъемность до 2 т</t>
        </is>
      </c>
      <c r="E23" s="181" t="inlineStr">
        <is>
          <t>маш.-ч</t>
        </is>
      </c>
      <c r="F23" s="181" t="n">
        <v>18.3663003</v>
      </c>
      <c r="G23" s="184" t="n">
        <v>82.31</v>
      </c>
      <c r="H23" s="184">
        <f>ROUND(F23*G23,2)</f>
        <v/>
      </c>
    </row>
    <row r="24" ht="31.15" customFormat="1" customHeight="1" s="153">
      <c r="A24" s="181" t="n">
        <v>10</v>
      </c>
      <c r="B24" s="181" t="n"/>
      <c r="C24" s="182" t="inlineStr">
        <is>
          <t>91.01.05-086</t>
        </is>
      </c>
      <c r="D24" s="182" t="inlineStr">
        <is>
          <t>Экскаваторы одноковшовые дизельные на гусеничном ходу, емкость ковша 0,65 м3</t>
        </is>
      </c>
      <c r="E24" s="181" t="inlineStr">
        <is>
          <t>маш.час</t>
        </is>
      </c>
      <c r="F24" s="181" t="n">
        <v>10.85</v>
      </c>
      <c r="G24" s="184" t="n">
        <v>115.27</v>
      </c>
      <c r="H24" s="184">
        <f>ROUND(F24*G24,2)</f>
        <v/>
      </c>
    </row>
    <row r="25" ht="31.15" customFormat="1" customHeight="1" s="153">
      <c r="A25" s="181" t="n">
        <v>11</v>
      </c>
      <c r="B25" s="181" t="n"/>
      <c r="C25" s="182" t="inlineStr">
        <is>
          <t>91.10.05-004</t>
        </is>
      </c>
      <c r="D25" s="182" t="inlineStr">
        <is>
          <t>Трубоукладчики для труб диаметром до 400 мм, грузоподъемность 6,3 т</t>
        </is>
      </c>
      <c r="E25" s="181" t="inlineStr">
        <is>
          <t>маш.час</t>
        </is>
      </c>
      <c r="F25" s="181" t="n">
        <v>7.5</v>
      </c>
      <c r="G25" s="184" t="n">
        <v>160.03</v>
      </c>
      <c r="H25" s="184">
        <f>ROUND(F25*G25,2)</f>
        <v/>
      </c>
    </row>
    <row r="26" ht="15.6" customFormat="1" customHeight="1" s="153">
      <c r="A26" s="181" t="n">
        <v>12</v>
      </c>
      <c r="B26" s="181" t="n"/>
      <c r="C26" s="182" t="inlineStr">
        <is>
          <t>91.19.01-001</t>
        </is>
      </c>
      <c r="D26" s="182" t="inlineStr">
        <is>
          <t>Машины илососные, емкость до 6 м3</t>
        </is>
      </c>
      <c r="E26" s="181" t="inlineStr">
        <is>
          <t>маш.час</t>
        </is>
      </c>
      <c r="F26" s="181" t="n">
        <v>2.75</v>
      </c>
      <c r="G26" s="184" t="n">
        <v>140.97</v>
      </c>
      <c r="H26" s="184">
        <f>ROUND(F26*G26,2)</f>
        <v/>
      </c>
    </row>
    <row r="27" ht="15.6" customFormat="1" customHeight="1" s="153">
      <c r="A27" s="181" t="n">
        <v>13</v>
      </c>
      <c r="B27" s="181" t="n"/>
      <c r="C27" s="182" t="inlineStr">
        <is>
          <t>91.13.03-041</t>
        </is>
      </c>
      <c r="D27" s="182" t="inlineStr">
        <is>
          <t>Автоцистерна</t>
        </is>
      </c>
      <c r="E27" s="181" t="inlineStr">
        <is>
          <t>маш.час</t>
        </is>
      </c>
      <c r="F27" s="181" t="n">
        <v>3</v>
      </c>
      <c r="G27" s="184" t="n">
        <v>100.72</v>
      </c>
      <c r="H27" s="184">
        <f>ROUND(F27*G27,2)</f>
        <v/>
      </c>
    </row>
    <row r="28" ht="15.6" customFormat="1" customHeight="1" s="153">
      <c r="A28" s="181" t="n">
        <v>14</v>
      </c>
      <c r="B28" s="181" t="n"/>
      <c r="C28" s="182" t="inlineStr">
        <is>
          <t>91.01.01-035</t>
        </is>
      </c>
      <c r="D28" s="182" t="inlineStr">
        <is>
          <t>Бульдозеры, мощность 79 кВт (108 л.с.)</t>
        </is>
      </c>
      <c r="E28" s="181" t="inlineStr">
        <is>
          <t>маш.час</t>
        </is>
      </c>
      <c r="F28" s="181" t="n">
        <v>2.91813</v>
      </c>
      <c r="G28" s="184" t="n">
        <v>79.06999999999999</v>
      </c>
      <c r="H28" s="184">
        <f>ROUND(F28*G28,2)</f>
        <v/>
      </c>
    </row>
    <row r="29" ht="15.6" customFormat="1" customHeight="1" s="153">
      <c r="A29" s="181" t="n">
        <v>15</v>
      </c>
      <c r="B29" s="181" t="n"/>
      <c r="C29" s="182" t="inlineStr">
        <is>
          <t>91.01.01-034</t>
        </is>
      </c>
      <c r="D29" s="182" t="inlineStr">
        <is>
          <t>Бульдозеры, мощность 59 кВт (80 л.с.)</t>
        </is>
      </c>
      <c r="E29" s="181" t="inlineStr">
        <is>
          <t>маш.час</t>
        </is>
      </c>
      <c r="F29" s="181" t="n">
        <v>3.768</v>
      </c>
      <c r="G29" s="184" t="n">
        <v>59.47</v>
      </c>
      <c r="H29" s="184">
        <f>ROUND(F29*G29,2)</f>
        <v/>
      </c>
    </row>
    <row r="30" ht="31.15" customFormat="1" customHeight="1" s="153">
      <c r="A30" s="181" t="n">
        <v>16</v>
      </c>
      <c r="B30" s="181" t="n"/>
      <c r="C30" s="182" t="inlineStr">
        <is>
          <t>91.04.01-031</t>
        </is>
      </c>
      <c r="D30" s="182" t="inlineStr">
        <is>
          <t>Машины бурильно-крановые на автомобиле, глубина бурения 3,5 м</t>
        </is>
      </c>
      <c r="E30" s="181" t="inlineStr">
        <is>
          <t>маш.час</t>
        </is>
      </c>
      <c r="F30" s="181" t="n">
        <v>0.58</v>
      </c>
      <c r="G30" s="184" t="n">
        <v>138.54</v>
      </c>
      <c r="H30" s="184">
        <f>ROUND(F30*G30,2)</f>
        <v/>
      </c>
    </row>
    <row r="31" ht="31.15" customFormat="1" customHeight="1" s="153">
      <c r="A31" s="181" t="n">
        <v>17</v>
      </c>
      <c r="B31" s="181" t="n"/>
      <c r="C31" s="182" t="inlineStr">
        <is>
          <t>91.05.05-015</t>
        </is>
      </c>
      <c r="D31" s="182" t="inlineStr">
        <is>
          <t>Краны на автомобильном ходу, грузоподъемность 16 т</t>
        </is>
      </c>
      <c r="E31" s="181" t="inlineStr">
        <is>
          <t>маш.час</t>
        </is>
      </c>
      <c r="F31" s="181" t="n">
        <v>0.5</v>
      </c>
      <c r="G31" s="184" t="n">
        <v>115.4</v>
      </c>
      <c r="H31" s="184">
        <f>ROUND(F31*G31,2)</f>
        <v/>
      </c>
    </row>
    <row r="32" ht="46.9" customFormat="1" customHeight="1" s="153">
      <c r="A32" s="181" t="n">
        <v>18</v>
      </c>
      <c r="B32" s="181" t="n"/>
      <c r="C32" s="182" t="inlineStr">
        <is>
          <t>91.17.04-046</t>
        </is>
      </c>
      <c r="D32" s="182" t="inlineStr">
        <is>
          <t>Аппараты с ручным управлением процессом сварки "встык" пластмассовых труб диаметром до 160 мм</t>
        </is>
      </c>
      <c r="E32" s="181" t="inlineStr">
        <is>
          <t>маш.час</t>
        </is>
      </c>
      <c r="F32" s="181" t="n">
        <v>5.58</v>
      </c>
      <c r="G32" s="184" t="n">
        <v>6.28</v>
      </c>
      <c r="H32" s="184">
        <f>ROUND(F32*G32,2)</f>
        <v/>
      </c>
    </row>
    <row r="33" ht="46.9" customFormat="1" customHeight="1" s="153">
      <c r="A33" s="181" t="n">
        <v>19</v>
      </c>
      <c r="B33" s="181" t="n"/>
      <c r="C33" s="182" t="inlineStr">
        <is>
          <t>91.21.22-231</t>
        </is>
      </c>
      <c r="D33" s="182" t="inlineStr">
        <is>
          <t>Мотопомпы бензиновые производительностью 54 м3/час, высота подъема 26 м, глубина всасывания 8 м</t>
        </is>
      </c>
      <c r="E33" s="181" t="inlineStr">
        <is>
          <t>маш.час</t>
        </is>
      </c>
      <c r="F33" s="181" t="n">
        <v>3</v>
      </c>
      <c r="G33" s="184" t="n">
        <v>9.08</v>
      </c>
      <c r="H33" s="184">
        <f>ROUND(F33*G33,2)</f>
        <v/>
      </c>
    </row>
    <row r="34" ht="15.6" customFormat="1" customHeight="1" s="153">
      <c r="A34" s="181" t="n">
        <v>20</v>
      </c>
      <c r="B34" s="181" t="n"/>
      <c r="C34" s="182" t="inlineStr">
        <is>
          <t>91.14.03-001</t>
        </is>
      </c>
      <c r="D34" s="182" t="inlineStr">
        <is>
          <t>Автомобили-самосвалы, грузоподъемность до 7 т</t>
        </is>
      </c>
      <c r="E34" s="181" t="inlineStr">
        <is>
          <t>маш.час</t>
        </is>
      </c>
      <c r="F34" s="181" t="n">
        <v>0.00264</v>
      </c>
      <c r="G34" s="184" t="n">
        <v>89.54000000000001</v>
      </c>
      <c r="H34" s="184">
        <f>ROUND(F34*G34,2)</f>
        <v/>
      </c>
    </row>
    <row r="35" ht="15.6" customFormat="1" customHeight="1" s="121">
      <c r="A35" s="180" t="inlineStr">
        <is>
          <t>Материалы</t>
        </is>
      </c>
      <c r="B35" s="208" t="n"/>
      <c r="C35" s="208" t="n"/>
      <c r="D35" s="208" t="n"/>
      <c r="E35" s="209" t="n"/>
      <c r="F35" s="180" t="n"/>
      <c r="G35" s="10" t="n"/>
      <c r="H35" s="10">
        <f>SUM(H36:H45)</f>
        <v/>
      </c>
    </row>
    <row r="36" ht="15.6" customFormat="1" customHeight="1" s="153">
      <c r="A36" s="181" t="n">
        <v>21</v>
      </c>
      <c r="B36" s="181" t="n"/>
      <c r="C36" s="182" t="inlineStr">
        <is>
          <t>01.4.03.01-0001</t>
        </is>
      </c>
      <c r="D36" s="182" t="inlineStr">
        <is>
          <t>Бентонит Premium Gel</t>
        </is>
      </c>
      <c r="E36" s="181" t="inlineStr">
        <is>
          <t>кг</t>
        </is>
      </c>
      <c r="F36" s="181" t="n">
        <v>1200</v>
      </c>
      <c r="G36" s="184" t="n">
        <v>9.869999999999999</v>
      </c>
      <c r="H36" s="184">
        <f>ROUND(F36*G36,2)</f>
        <v/>
      </c>
    </row>
    <row r="37" ht="31.15" customFormat="1" customHeight="1" s="153">
      <c r="A37" s="181" t="n">
        <v>22</v>
      </c>
      <c r="B37" s="181" t="n"/>
      <c r="C37" s="182" t="inlineStr">
        <is>
          <t>01.4.03.03-0031</t>
        </is>
      </c>
      <c r="D37" s="182" t="inlineStr">
        <is>
          <t>Полимер универсальный для стабилизации буровых скважин</t>
        </is>
      </c>
      <c r="E37" s="181" t="inlineStr">
        <is>
          <t>кг</t>
        </is>
      </c>
      <c r="F37" s="181" t="n">
        <v>57.96</v>
      </c>
      <c r="G37" s="184" t="n">
        <v>69.28</v>
      </c>
      <c r="H37" s="184">
        <f>ROUND(F37*G37,2)</f>
        <v/>
      </c>
    </row>
    <row r="38" ht="15.6" customFormat="1" customHeight="1" s="153">
      <c r="A38" s="181" t="n">
        <v>23</v>
      </c>
      <c r="B38" s="181" t="n"/>
      <c r="C38" s="182" t="inlineStr">
        <is>
          <t>16.2.01.01-0031</t>
        </is>
      </c>
      <c r="D38" s="182" t="inlineStr">
        <is>
          <t>Почво-грунт садовый</t>
        </is>
      </c>
      <c r="E38" s="181" t="inlineStr">
        <is>
          <t>м3</t>
        </is>
      </c>
      <c r="F38" s="181" t="n">
        <v>33</v>
      </c>
      <c r="G38" s="184" t="n">
        <v>241.11</v>
      </c>
      <c r="H38" s="184">
        <f>ROUND(F38*G38,2)</f>
        <v/>
      </c>
    </row>
    <row r="39" ht="31.15" customFormat="1" customHeight="1" s="153">
      <c r="A39" s="181" t="n">
        <v>24</v>
      </c>
      <c r="B39" s="181" t="n"/>
      <c r="C39" s="182" t="inlineStr">
        <is>
          <t>24.3.03.13-0195</t>
        </is>
      </c>
      <c r="D39" s="182" t="inlineStr">
        <is>
          <t>Трубы полиэтиленовые ПЭ80, SDR17,6, диаметр 110 мм</t>
        </is>
      </c>
      <c r="E39" s="181" t="inlineStr">
        <is>
          <t>м</t>
        </is>
      </c>
      <c r="F39" s="181" t="n">
        <v>82.5</v>
      </c>
      <c r="G39" s="184" t="n">
        <v>43.86</v>
      </c>
      <c r="H39" s="184">
        <f>ROUND(F39*G39,2)</f>
        <v/>
      </c>
    </row>
    <row r="40" ht="15.6" customFormat="1" customHeight="1" s="153">
      <c r="A40" s="181" t="n">
        <v>25</v>
      </c>
      <c r="B40" s="181" t="n"/>
      <c r="C40" s="182" t="inlineStr">
        <is>
          <t>01.7.03.01-0001</t>
        </is>
      </c>
      <c r="D40" s="182" t="inlineStr">
        <is>
          <t>Вода</t>
        </is>
      </c>
      <c r="E40" s="181" t="inlineStr">
        <is>
          <t>м3</t>
        </is>
      </c>
      <c r="F40" s="181" t="n">
        <v>47.5</v>
      </c>
      <c r="G40" s="184" t="n">
        <v>2.44</v>
      </c>
      <c r="H40" s="184">
        <f>ROUND(F40*G40,2)</f>
        <v/>
      </c>
    </row>
    <row r="41" ht="31.15" customFormat="1" customHeight="1" s="153">
      <c r="A41" s="181" t="n">
        <v>26</v>
      </c>
      <c r="B41" s="181" t="n"/>
      <c r="C41" s="182" t="inlineStr">
        <is>
          <t>01.3.05.23-0171</t>
        </is>
      </c>
      <c r="D41" s="182" t="inlineStr">
        <is>
          <t>Сода кальцинированная (натрий углекислый) техническая</t>
        </is>
      </c>
      <c r="E41" s="181" t="inlineStr">
        <is>
          <t>т</t>
        </is>
      </c>
      <c r="F41" s="181" t="n">
        <v>0.0375</v>
      </c>
      <c r="G41" s="184" t="n">
        <v>1865</v>
      </c>
      <c r="H41" s="184">
        <f>ROUND(F41*G41,2)</f>
        <v/>
      </c>
    </row>
    <row r="42" ht="15.6" customFormat="1" customHeight="1" s="153">
      <c r="A42" s="181" t="n">
        <v>27</v>
      </c>
      <c r="B42" s="181" t="n"/>
      <c r="C42" s="182" t="inlineStr">
        <is>
          <t>01.3.01.06-0034</t>
        </is>
      </c>
      <c r="D42" s="182" t="inlineStr">
        <is>
          <t>Смазка графитомедистая</t>
        </is>
      </c>
      <c r="E42" s="181" t="inlineStr">
        <is>
          <t>кг</t>
        </is>
      </c>
      <c r="F42" s="181" t="n">
        <v>1.08</v>
      </c>
      <c r="G42" s="184" t="n">
        <v>12.8</v>
      </c>
      <c r="H42" s="184">
        <f>ROUND(F42*G42,2)</f>
        <v/>
      </c>
    </row>
    <row r="43" ht="15.6" customFormat="1" customHeight="1" s="153">
      <c r="A43" s="181" t="n">
        <v>28</v>
      </c>
      <c r="B43" s="181" t="n"/>
      <c r="C43" s="182" t="inlineStr">
        <is>
          <t>02.2.05.04-1777</t>
        </is>
      </c>
      <c r="D43" s="182" t="inlineStr">
        <is>
          <t>Щебень М 800, фракция 20-40 мм, группа 2</t>
        </is>
      </c>
      <c r="E43" s="181" t="inlineStr">
        <is>
          <t>м3</t>
        </is>
      </c>
      <c r="F43" s="181" t="n">
        <v>0.01632</v>
      </c>
      <c r="G43" s="184" t="n">
        <v>108.4</v>
      </c>
      <c r="H43" s="184">
        <f>ROUND(F43*G43,2)</f>
        <v/>
      </c>
    </row>
    <row r="44" ht="31.15" customFormat="1" customHeight="1" s="153">
      <c r="A44" s="181" t="n">
        <v>29</v>
      </c>
      <c r="B44" s="181" t="n"/>
      <c r="C44" s="182" t="inlineStr">
        <is>
          <t>01.3.01.07-0009</t>
        </is>
      </c>
      <c r="D44" s="182" t="inlineStr">
        <is>
          <t>Спирт этиловый ректификованный технический, сорт I</t>
        </is>
      </c>
      <c r="E44" s="181" t="inlineStr">
        <is>
          <t>кг</t>
        </is>
      </c>
      <c r="F44" s="181" t="n">
        <v>0.018</v>
      </c>
      <c r="G44" s="184" t="n">
        <v>38.89</v>
      </c>
      <c r="H44" s="184">
        <f>ROUND(F44*G44,2)</f>
        <v/>
      </c>
    </row>
    <row r="45" ht="15.6" customFormat="1" customHeight="1" s="153">
      <c r="A45" s="181" t="n">
        <v>30</v>
      </c>
      <c r="B45" s="181" t="n"/>
      <c r="C45" s="182" t="inlineStr">
        <is>
          <t>01.7.20.08-0051</t>
        </is>
      </c>
      <c r="D45" s="182" t="inlineStr">
        <is>
          <t>Ветошь</t>
        </is>
      </c>
      <c r="E45" s="181" t="inlineStr">
        <is>
          <t>кг</t>
        </is>
      </c>
      <c r="F45" s="181" t="n">
        <v>0.003</v>
      </c>
      <c r="G45" s="184" t="n">
        <v>1.82</v>
      </c>
      <c r="H45" s="184">
        <f>ROUND(F45*G45,2)</f>
        <v/>
      </c>
    </row>
    <row r="46" ht="15.6" customFormat="1" customHeight="1" s="153"/>
    <row r="47" ht="15.6" customFormat="1" customHeight="1" s="153"/>
    <row r="48" ht="15.6" customFormat="1" customHeight="1" s="153">
      <c r="B48" s="153" t="n"/>
      <c r="C48" s="153" t="n"/>
    </row>
    <row r="49" ht="15.6" customFormat="1" customHeight="1" s="153">
      <c r="B49" s="153" t="inlineStr">
        <is>
          <t>Составил ______________________        М.С. Колотиевская</t>
        </is>
      </c>
      <c r="C49" s="153" t="n"/>
    </row>
    <row r="50" ht="15.6" customFormat="1" customHeight="1" s="153">
      <c r="B50" s="86" t="inlineStr">
        <is>
          <t xml:space="preserve">                         (подпись, инициалы, фамилия)</t>
        </is>
      </c>
      <c r="C50" s="153" t="n"/>
    </row>
    <row r="51" ht="15.6" customFormat="1" customHeight="1" s="153">
      <c r="B51" s="153" t="n"/>
      <c r="C51" s="153" t="n"/>
    </row>
    <row r="52" ht="15.6" customFormat="1" customHeight="1" s="153">
      <c r="B52" s="153" t="inlineStr">
        <is>
          <t>Проверил ______________________      А.В. Костянецкая</t>
        </is>
      </c>
      <c r="C52" s="153" t="n"/>
    </row>
    <row r="53" ht="15.6" customFormat="1" customHeight="1" s="153">
      <c r="B53" s="86" t="inlineStr">
        <is>
          <t xml:space="preserve">                        (подпись, инициалы, фамилия)</t>
        </is>
      </c>
      <c r="C53" s="153" t="n"/>
    </row>
    <row r="54" ht="15.6" customFormat="1" customHeight="1" s="153"/>
  </sheetData>
  <mergeCells count="14">
    <mergeCell ref="A4:H4"/>
    <mergeCell ref="B9:B10"/>
    <mergeCell ref="A35:E35"/>
    <mergeCell ref="C9:C10"/>
    <mergeCell ref="A12:E12"/>
    <mergeCell ref="D9:D10"/>
    <mergeCell ref="E9:E10"/>
    <mergeCell ref="A7:H7"/>
    <mergeCell ref="A9:A10"/>
    <mergeCell ref="F9:F10"/>
    <mergeCell ref="A19:E19"/>
    <mergeCell ref="A5:H5"/>
    <mergeCell ref="G9:H9"/>
    <mergeCell ref="A17:E17"/>
  </mergeCells>
  <conditionalFormatting sqref="F12:F45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6" zoomScale="115" workbookViewId="0">
      <selection activeCell="B42" sqref="B42:C48"/>
    </sheetView>
  </sheetViews>
  <sheetFormatPr baseColWidth="8" defaultColWidth="9.140625" defaultRowHeight="15"/>
  <cols>
    <col width="4.140625" customWidth="1" style="151" min="1" max="1"/>
    <col width="36.28515625" customWidth="1" style="151" min="2" max="2"/>
    <col width="18.85546875" customWidth="1" style="151" min="3" max="3"/>
    <col width="18.28515625" customWidth="1" style="151" min="4" max="4"/>
    <col width="20.85546875" customWidth="1" style="151" min="5" max="5"/>
    <col width="9.140625" customWidth="1" style="151" min="6" max="10"/>
    <col width="13.5703125" customWidth="1" style="151" min="11" max="11"/>
    <col width="9.140625" customWidth="1" style="151" min="12" max="12"/>
  </cols>
  <sheetData>
    <row r="1" ht="15.6" customHeight="1" s="151">
      <c r="A1" s="49" t="n"/>
      <c r="B1" s="153" t="n"/>
      <c r="C1" s="153" t="n"/>
      <c r="D1" s="153" t="n"/>
      <c r="E1" s="153" t="n"/>
    </row>
    <row r="2" ht="15.6" customHeight="1" s="151">
      <c r="B2" s="153" t="n"/>
      <c r="C2" s="153" t="n"/>
      <c r="D2" s="153" t="n"/>
      <c r="E2" s="196" t="inlineStr">
        <is>
          <t>Приложение № 4</t>
        </is>
      </c>
    </row>
    <row r="3" ht="15.6" customHeight="1" s="151">
      <c r="B3" s="153" t="n"/>
      <c r="C3" s="153" t="n"/>
      <c r="D3" s="153" t="n"/>
      <c r="E3" s="153" t="n"/>
    </row>
    <row r="4" ht="15.6" customHeight="1" s="151">
      <c r="B4" s="153" t="n"/>
      <c r="C4" s="153" t="n"/>
      <c r="D4" s="153" t="n"/>
      <c r="E4" s="153" t="n"/>
    </row>
    <row r="5" ht="15.6" customHeight="1" s="151">
      <c r="B5" s="178" t="inlineStr">
        <is>
          <t>Ресурсная модель</t>
        </is>
      </c>
    </row>
    <row r="6" ht="15.6" customHeight="1" s="151">
      <c r="B6" s="173" t="n"/>
      <c r="C6" s="153" t="n"/>
      <c r="D6" s="153" t="n"/>
      <c r="E6" s="153" t="n"/>
    </row>
    <row r="7" ht="15.6" customHeight="1" s="151">
      <c r="B7" s="183" t="inlineStr">
        <is>
          <t>Наименование разрабатываемой расценки УНЦ —  Н1-01-3___3 трубы 110 до 400 м_ФСЭМ</t>
        </is>
      </c>
    </row>
    <row r="8" ht="15.6" customHeight="1" s="151">
      <c r="B8" s="183" t="inlineStr">
        <is>
          <t>Единица измерения  — км</t>
        </is>
      </c>
    </row>
    <row r="9">
      <c r="B9" s="54" t="n"/>
      <c r="C9" s="55" t="n"/>
      <c r="D9" s="55" t="n"/>
      <c r="E9" s="55" t="n"/>
    </row>
    <row r="10" ht="62.45" customFormat="1" customHeight="1" s="153">
      <c r="B10" s="179" t="inlineStr">
        <is>
          <t>Наименование</t>
        </is>
      </c>
      <c r="C10" s="179" t="inlineStr">
        <is>
          <t>Сметная стоимость в ценах на 01.01.2023
 (руб.)</t>
        </is>
      </c>
      <c r="D10" s="179" t="inlineStr">
        <is>
          <t>Удельный вес, 
(в СМР)</t>
        </is>
      </c>
      <c r="E10" s="179" t="inlineStr">
        <is>
          <t>Удельный вес, % 
(от всего по РМ)</t>
        </is>
      </c>
    </row>
    <row r="11" ht="15" customFormat="1" customHeight="1" s="153">
      <c r="B11" s="198" t="inlineStr">
        <is>
          <t>Оплата труда рабочих</t>
        </is>
      </c>
      <c r="C11" s="125">
        <f>'Прил.5 Расчет СМР и ОБ'!J14</f>
        <v/>
      </c>
      <c r="D11" s="59">
        <f>C11/C24</f>
        <v/>
      </c>
      <c r="E11" s="59">
        <f>C11/C40</f>
        <v/>
      </c>
    </row>
    <row r="12" ht="15" customFormat="1" customHeight="1" s="153">
      <c r="B12" s="198" t="inlineStr">
        <is>
          <t>Эксплуатация машин основных</t>
        </is>
      </c>
      <c r="C12" s="125">
        <f>'Прил.5 Расчет СМР и ОБ'!J21</f>
        <v/>
      </c>
      <c r="D12" s="59">
        <f>C12/C24</f>
        <v/>
      </c>
      <c r="E12" s="59">
        <f>C12/C40</f>
        <v/>
      </c>
    </row>
    <row r="13" ht="15" customFormat="1" customHeight="1" s="153">
      <c r="B13" s="198" t="inlineStr">
        <is>
          <t>Эксплуатация машин прочих</t>
        </is>
      </c>
      <c r="C13" s="125">
        <f>'Прил.5 Расчет СМР и ОБ'!J35</f>
        <v/>
      </c>
      <c r="D13" s="59">
        <f>C13/C24</f>
        <v/>
      </c>
      <c r="E13" s="59">
        <f>C13/C40</f>
        <v/>
      </c>
    </row>
    <row r="14" ht="15" customFormat="1" customHeight="1" s="153">
      <c r="B14" s="198" t="inlineStr">
        <is>
          <t>ЭКСПЛУАТАЦИЯ МАШИН, ВСЕГО:</t>
        </is>
      </c>
      <c r="C14" s="125">
        <f>C13+C12</f>
        <v/>
      </c>
      <c r="D14" s="59">
        <f>C14/C24</f>
        <v/>
      </c>
      <c r="E14" s="59">
        <f>C14/C40</f>
        <v/>
      </c>
    </row>
    <row r="15" ht="15" customFormat="1" customHeight="1" s="153">
      <c r="B15" s="198" t="inlineStr">
        <is>
          <t>в том числе зарплата машинистов</t>
        </is>
      </c>
      <c r="C15" s="125">
        <f>'Прил.5 Расчет СМР и ОБ'!J16</f>
        <v/>
      </c>
      <c r="D15" s="59">
        <f>C15/C24</f>
        <v/>
      </c>
      <c r="E15" s="59">
        <f>C15/C40</f>
        <v/>
      </c>
    </row>
    <row r="16" ht="15" customFormat="1" customHeight="1" s="153">
      <c r="B16" s="198" t="inlineStr">
        <is>
          <t>Материалы основные</t>
        </is>
      </c>
      <c r="C16" s="125">
        <f>'Прил.5 Расчет СМР и ОБ'!J48</f>
        <v/>
      </c>
      <c r="D16" s="59">
        <f>C16/C24</f>
        <v/>
      </c>
      <c r="E16" s="59">
        <f>C16/C40</f>
        <v/>
      </c>
    </row>
    <row r="17" ht="15" customFormat="1" customHeight="1" s="153">
      <c r="B17" s="198" t="inlineStr">
        <is>
          <t>Материалы прочие</t>
        </is>
      </c>
      <c r="C17" s="125">
        <f>'Прил.5 Расчет СМР и ОБ'!J56</f>
        <v/>
      </c>
      <c r="D17" s="59">
        <f>C17/C24</f>
        <v/>
      </c>
      <c r="E17" s="59">
        <f>C17/C40</f>
        <v/>
      </c>
    </row>
    <row r="18" ht="15" customFormat="1" customHeight="1" s="153">
      <c r="B18" s="198" t="inlineStr">
        <is>
          <t>МАТЕРИАЛЫ, ВСЕГО:</t>
        </is>
      </c>
      <c r="C18" s="125">
        <f>C17+C16</f>
        <v/>
      </c>
      <c r="D18" s="59">
        <f>C18/C24</f>
        <v/>
      </c>
      <c r="E18" s="59">
        <f>C18/C40</f>
        <v/>
      </c>
    </row>
    <row r="19" ht="15" customFormat="1" customHeight="1" s="153">
      <c r="B19" s="198" t="inlineStr">
        <is>
          <t>ИТОГО</t>
        </is>
      </c>
      <c r="C19" s="125">
        <f>C18+C14+C11</f>
        <v/>
      </c>
      <c r="D19" s="59">
        <f>C19/C24</f>
        <v/>
      </c>
      <c r="E19" s="60">
        <f>C19/C40</f>
        <v/>
      </c>
    </row>
    <row r="20" ht="15" customFormat="1" customHeight="1" s="153">
      <c r="B20" s="198" t="inlineStr">
        <is>
          <t>Сметная прибыль, руб.</t>
        </is>
      </c>
      <c r="C20" s="125">
        <f>'Прил.5 Расчет СМР и ОБ'!J60</f>
        <v/>
      </c>
      <c r="D20" s="59">
        <f>C20/C24</f>
        <v/>
      </c>
      <c r="E20" s="59">
        <f>C20/C40</f>
        <v/>
      </c>
    </row>
    <row r="21" ht="15" customFormat="1" customHeight="1" s="153">
      <c r="B21" s="198" t="inlineStr">
        <is>
          <t>Сметная прибыль, %</t>
        </is>
      </c>
      <c r="C21" s="61">
        <f>C20/(C11+C15)</f>
        <v/>
      </c>
      <c r="D21" s="59" t="n"/>
      <c r="E21" s="60" t="n"/>
    </row>
    <row r="22" ht="15" customFormat="1" customHeight="1" s="153">
      <c r="B22" s="198" t="inlineStr">
        <is>
          <t>Накладные расходы, руб.</t>
        </is>
      </c>
      <c r="C22" s="125">
        <f>'Прил.5 Расчет СМР и ОБ'!J59</f>
        <v/>
      </c>
      <c r="D22" s="59">
        <f>C22/C24</f>
        <v/>
      </c>
      <c r="E22" s="59">
        <f>C22/C40</f>
        <v/>
      </c>
    </row>
    <row r="23" ht="15" customFormat="1" customHeight="1" s="153">
      <c r="B23" s="198" t="inlineStr">
        <is>
          <t>Накладные расходы, %</t>
        </is>
      </c>
      <c r="C23" s="61">
        <f>C22/(C11+C15)</f>
        <v/>
      </c>
      <c r="D23" s="59" t="n"/>
      <c r="E23" s="60" t="n"/>
    </row>
    <row r="24" ht="15" customFormat="1" customHeight="1" s="153">
      <c r="B24" s="198" t="inlineStr">
        <is>
          <t>ВСЕГО СМР с НР и СП</t>
        </is>
      </c>
      <c r="C24" s="125">
        <f>C19+C20+C22</f>
        <v/>
      </c>
      <c r="D24" s="59">
        <f>C24/C24</f>
        <v/>
      </c>
      <c r="E24" s="59">
        <f>C24/C40</f>
        <v/>
      </c>
    </row>
    <row r="25" ht="31.15" customFormat="1" customHeight="1" s="153">
      <c r="B25" s="198" t="inlineStr">
        <is>
          <t>ВСЕГО стоимость оборудования, в том числе</t>
        </is>
      </c>
      <c r="C25" s="125" t="n"/>
      <c r="D25" s="59" t="n"/>
      <c r="E25" s="59">
        <f>C25/C40</f>
        <v/>
      </c>
    </row>
    <row r="26" ht="31.15" customFormat="1" customHeight="1" s="153">
      <c r="B26" s="198" t="inlineStr">
        <is>
          <t>стоимость оборудования технологического</t>
        </is>
      </c>
      <c r="C26" s="125" t="n"/>
      <c r="D26" s="59" t="n"/>
      <c r="E26" s="59">
        <f>C26/C40</f>
        <v/>
      </c>
    </row>
    <row r="27" ht="15" customFormat="1" customHeight="1" s="153">
      <c r="B27" s="198" t="inlineStr">
        <is>
          <t>ИТОГО (СМР + ОБОРУДОВАНИЕ)</t>
        </is>
      </c>
      <c r="C27" s="136">
        <f>C24+C25</f>
        <v/>
      </c>
      <c r="D27" s="59" t="n"/>
      <c r="E27" s="59">
        <f>C27/C40</f>
        <v/>
      </c>
    </row>
    <row r="28" ht="33" customFormat="1" customHeight="1" s="153">
      <c r="B28" s="198" t="inlineStr">
        <is>
          <t>ПРОЧ. ЗАТР., УЧТЕННЫЕ ПОКАЗАТЕЛЕМ,  в том числе</t>
        </is>
      </c>
      <c r="C28" s="198" t="n"/>
      <c r="D28" s="60" t="n"/>
      <c r="E28" s="60" t="n"/>
    </row>
    <row r="29" ht="31.15" customFormat="1" customHeight="1" s="153">
      <c r="B29" s="198" t="inlineStr">
        <is>
          <t>Временные здания и сооружения - 3,9%</t>
        </is>
      </c>
      <c r="C29" s="136">
        <f>ROUND(C24*0.039,2)</f>
        <v/>
      </c>
      <c r="D29" s="60" t="n"/>
      <c r="E29" s="59">
        <f>C29/C40</f>
        <v/>
      </c>
    </row>
    <row r="30" ht="62.45" customFormat="1" customHeight="1" s="153">
      <c r="B30" s="198" t="inlineStr">
        <is>
          <t>Дополнительные затраты при производстве строительно-монтажных работ в зимнее время - 2,1%</t>
        </is>
      </c>
      <c r="C30" s="136">
        <f>ROUND((C24+C29)*0.021,2)</f>
        <v/>
      </c>
      <c r="D30" s="60" t="n"/>
      <c r="E30" s="59">
        <f>C30/C40</f>
        <v/>
      </c>
    </row>
    <row r="31" ht="15.6" customFormat="1" customHeight="1" s="153">
      <c r="B31" s="198" t="inlineStr">
        <is>
          <t>Пусконаладочные работы</t>
        </is>
      </c>
      <c r="C31" s="136">
        <f>ROUND(C25*80%*7%,2)</f>
        <v/>
      </c>
      <c r="D31" s="60" t="n"/>
      <c r="E31" s="59">
        <f>C31/C40</f>
        <v/>
      </c>
    </row>
    <row r="32" ht="31.15" customFormat="1" customHeight="1" s="153">
      <c r="B32" s="198" t="inlineStr">
        <is>
          <t>Затраты по перевозке работников к месту работы и обратно</t>
        </is>
      </c>
      <c r="C32" s="136" t="n">
        <v>0</v>
      </c>
      <c r="D32" s="60" t="n"/>
      <c r="E32" s="59">
        <f>C32/C40</f>
        <v/>
      </c>
    </row>
    <row r="33" ht="46.9" customFormat="1" customHeight="1" s="153">
      <c r="B33" s="198" t="inlineStr">
        <is>
          <t>Затраты, связанные с осуществлением работ вахтовым методом</t>
        </is>
      </c>
      <c r="C33" s="136" t="n">
        <v>0</v>
      </c>
      <c r="D33" s="60" t="n"/>
      <c r="E33" s="59">
        <f>C33/C40</f>
        <v/>
      </c>
    </row>
    <row r="34" ht="62.45" customFormat="1" customHeight="1" s="153">
      <c r="B34" s="1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36" t="n">
        <v>0</v>
      </c>
      <c r="D34" s="60" t="n"/>
      <c r="E34" s="59">
        <f>C34/C40</f>
        <v/>
      </c>
    </row>
    <row r="35" ht="93.59999999999999" customFormat="1" customHeight="1" s="153">
      <c r="B35" s="1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36" t="n">
        <v>0</v>
      </c>
      <c r="D35" s="60" t="n"/>
      <c r="E35" s="59">
        <f>C35/C40</f>
        <v/>
      </c>
    </row>
    <row r="36" ht="46.9" customFormat="1" customHeight="1" s="153">
      <c r="B36" s="63" t="inlineStr">
        <is>
          <t>Строительный контроль и содержание службы заказчика - 2,14%</t>
        </is>
      </c>
      <c r="C36" s="64">
        <f>ROUND((C27+C29+C31+C30)*0.0214,2)</f>
        <v/>
      </c>
      <c r="D36" s="65" t="n"/>
      <c r="E36" s="66">
        <f>C36/C40</f>
        <v/>
      </c>
      <c r="K36" s="67" t="n"/>
    </row>
    <row r="37" ht="15.6" customFormat="1" customHeight="1" s="153">
      <c r="B37" s="201" t="inlineStr">
        <is>
          <t>Авторский надзор - 0,2%</t>
        </is>
      </c>
      <c r="C37" s="201">
        <f>ROUND((C27+C29+C30+C31)*0.002,2)</f>
        <v/>
      </c>
      <c r="D37" s="69" t="n"/>
      <c r="E37" s="69">
        <f>C37/C40</f>
        <v/>
      </c>
    </row>
    <row r="38" ht="62.45" customFormat="1" customHeight="1" s="153">
      <c r="B38" s="70" t="inlineStr">
        <is>
          <t>ИТОГО (СМР+ОБОРУДОВАНИЕ+ПРОЧ. ЗАТР., УЧТЕННЫЕ ПОКАЗАТЕЛЕМ)</t>
        </is>
      </c>
      <c r="C38" s="71">
        <f>C27+C29+C30+C31+C36+C37</f>
        <v/>
      </c>
      <c r="D38" s="72" t="n"/>
      <c r="E38" s="73">
        <f>C38/C40</f>
        <v/>
      </c>
    </row>
    <row r="39" ht="15.6" customFormat="1" customHeight="1" s="153">
      <c r="B39" s="198" t="inlineStr">
        <is>
          <t>Непредвиденные расходы</t>
        </is>
      </c>
      <c r="C39" s="125">
        <f>ROUND(C38*0.03,2)</f>
        <v/>
      </c>
      <c r="D39" s="60" t="n"/>
      <c r="E39" s="59">
        <f>C39/C40</f>
        <v/>
      </c>
    </row>
    <row r="40" ht="15.6" customFormat="1" customHeight="1" s="153">
      <c r="B40" s="198" t="inlineStr">
        <is>
          <t>ВСЕГО:</t>
        </is>
      </c>
      <c r="C40" s="125">
        <f>C39+C38</f>
        <v/>
      </c>
      <c r="D40" s="60" t="n"/>
      <c r="E40" s="59">
        <f>C40/C40</f>
        <v/>
      </c>
    </row>
    <row r="41" ht="31.15" customFormat="1" customHeight="1" s="153">
      <c r="B41" s="198" t="inlineStr">
        <is>
          <t>ИТОГО ПОКАЗАТЕЛЬ НА ЕД. ИЗМ.</t>
        </is>
      </c>
      <c r="C41" s="125">
        <f>C40/'Прил.5 Расчет СМР и ОБ'!E63</f>
        <v/>
      </c>
      <c r="D41" s="60" t="n"/>
      <c r="E41" s="60" t="n"/>
    </row>
    <row r="42" ht="15.6" customFormat="1" customHeight="1" s="153">
      <c r="B42" s="153" t="n"/>
      <c r="C42" s="153" t="n"/>
    </row>
    <row r="43" ht="15.6" customFormat="1" customHeight="1" s="153">
      <c r="B43" s="153" t="inlineStr">
        <is>
          <t>Составил ______________________        М.С. Колотиевская</t>
        </is>
      </c>
      <c r="C43" s="153" t="n"/>
    </row>
    <row r="44" ht="15.6" customFormat="1" customHeight="1" s="153">
      <c r="B44" s="86" t="inlineStr">
        <is>
          <t xml:space="preserve">                         (подпись, инициалы, фамилия)</t>
        </is>
      </c>
      <c r="C44" s="153" t="n"/>
    </row>
    <row r="45" ht="15.6" customFormat="1" customHeight="1" s="153">
      <c r="B45" s="153" t="n"/>
      <c r="C45" s="153" t="n"/>
    </row>
    <row r="46" ht="15.6" customFormat="1" customHeight="1" s="153">
      <c r="B46" s="153" t="inlineStr">
        <is>
          <t>Проверил ______________________      А.В. Костянецкая</t>
        </is>
      </c>
      <c r="C46" s="153" t="n"/>
    </row>
    <row r="47" ht="15.6" customFormat="1" customHeight="1" s="153">
      <c r="B47" s="86" t="inlineStr">
        <is>
          <t xml:space="preserve">                        (подпись, инициалы, фамилия)</t>
        </is>
      </c>
      <c r="C47" s="153" t="n"/>
    </row>
    <row r="48" ht="15.6" customFormat="1" customHeight="1" s="153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70"/>
  <sheetViews>
    <sheetView tabSelected="1" view="pageBreakPreview" zoomScale="55" zoomScaleSheetLayoutView="55" workbookViewId="0">
      <selection activeCell="H184" sqref="H184"/>
    </sheetView>
  </sheetViews>
  <sheetFormatPr baseColWidth="8" defaultColWidth="9.140625" defaultRowHeight="15" outlineLevelRow="1"/>
  <cols>
    <col width="5.7109375" customWidth="1" style="127" min="1" max="1"/>
    <col width="22.5703125" customWidth="1" style="127" min="2" max="2"/>
    <col width="39.140625" customWidth="1" style="127" min="3" max="3"/>
    <col width="10.7109375" customWidth="1" style="127" min="4" max="4"/>
    <col width="12.7109375" customWidth="1" style="127" min="5" max="5"/>
    <col width="14.5703125" customWidth="1" style="127" min="6" max="6"/>
    <col width="13.42578125" customWidth="1" style="127" min="7" max="7"/>
    <col width="12.7109375" customWidth="1" style="127" min="8" max="8"/>
    <col width="14.5703125" customWidth="1" style="127" min="9" max="9"/>
    <col width="15.140625" customWidth="1" style="127" min="10" max="10"/>
    <col width="22.42578125" customWidth="1" style="127" min="11" max="11"/>
    <col width="16.28515625" customWidth="1" style="127" min="12" max="12"/>
    <col width="10.85546875" customWidth="1" style="127" min="13" max="13"/>
    <col width="9.140625" customWidth="1" style="127" min="14" max="14"/>
    <col width="9.140625" customWidth="1" style="151" min="15" max="15"/>
  </cols>
  <sheetData>
    <row r="1">
      <c r="A1" s="55" t="n"/>
    </row>
    <row r="2" ht="15.6" customHeight="1" s="151">
      <c r="A2" s="153" t="n"/>
      <c r="B2" s="153" t="n"/>
      <c r="C2" s="153" t="n"/>
      <c r="D2" s="153" t="n"/>
      <c r="E2" s="153" t="n"/>
      <c r="F2" s="153" t="n"/>
      <c r="G2" s="153" t="n"/>
      <c r="H2" s="196" t="inlineStr">
        <is>
          <t>Приложение №5</t>
        </is>
      </c>
    </row>
    <row r="3" ht="15.6" customHeight="1" s="151">
      <c r="A3" s="153" t="n"/>
      <c r="B3" s="153" t="n"/>
      <c r="C3" s="153" t="n"/>
      <c r="D3" s="153" t="n"/>
      <c r="E3" s="153" t="n"/>
      <c r="F3" s="153" t="n"/>
      <c r="G3" s="153" t="n"/>
      <c r="H3" s="153" t="n"/>
      <c r="I3" s="153" t="n"/>
      <c r="J3" s="153" t="n"/>
    </row>
    <row r="4" ht="15.6" customFormat="1" customHeight="1" s="55">
      <c r="A4" s="178" t="inlineStr">
        <is>
          <t>Расчет стоимости СМР и оборудования</t>
        </is>
      </c>
      <c r="I4" s="178" t="n"/>
      <c r="J4" s="178" t="n"/>
    </row>
    <row r="5" ht="15.6" customFormat="1" customHeight="1" s="55">
      <c r="A5" s="178" t="n"/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</row>
    <row r="6" ht="15.75" customFormat="1" customHeight="1" s="55">
      <c r="A6" s="195" t="inlineStr">
        <is>
          <t xml:space="preserve">Наименование разрабатываемого показателя УНЦ — </t>
        </is>
      </c>
      <c r="D6" s="111" t="inlineStr">
        <is>
          <t>Н1-01-3___3 трубы 110 до 400 м_ФСЭМ</t>
        </is>
      </c>
      <c r="E6" s="111" t="n"/>
      <c r="F6" s="111" t="n"/>
      <c r="G6" s="111" t="n"/>
      <c r="H6" s="110" t="n"/>
      <c r="I6" s="18" t="n"/>
      <c r="J6" s="18" t="n"/>
    </row>
    <row r="7" ht="15.6" customFormat="1" customHeight="1" s="55">
      <c r="A7" s="195" t="inlineStr">
        <is>
          <t>Единица измерения  — км</t>
        </is>
      </c>
      <c r="I7" s="197" t="n"/>
      <c r="J7" s="197" t="n"/>
    </row>
    <row r="8" ht="15.6" customFormat="1" customHeight="1" s="55">
      <c r="A8" s="153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</row>
    <row r="9" ht="32.25" customFormat="1" customHeight="1" s="153">
      <c r="A9" s="198" t="inlineStr">
        <is>
          <t>№ пп.</t>
        </is>
      </c>
      <c r="B9" s="179" t="inlineStr">
        <is>
          <t>Код ресурса</t>
        </is>
      </c>
      <c r="C9" s="179" t="inlineStr">
        <is>
          <t>Наименование</t>
        </is>
      </c>
      <c r="D9" s="179" t="inlineStr">
        <is>
          <t>Ед. изм.</t>
        </is>
      </c>
      <c r="E9" s="179" t="inlineStr">
        <is>
          <t>Кол-во единиц по проектным данным</t>
        </is>
      </c>
      <c r="F9" s="179" t="inlineStr">
        <is>
          <t>Сметная стоимость в ценах на 01.01.2000 (руб.)</t>
        </is>
      </c>
      <c r="G9" s="209" t="n"/>
      <c r="H9" s="179" t="inlineStr">
        <is>
          <t>Удельный вес, %</t>
        </is>
      </c>
      <c r="I9" s="179" t="inlineStr">
        <is>
          <t>Сметная стоимость в ценах на 01.01.2023 (руб.)</t>
        </is>
      </c>
      <c r="J9" s="209" t="n"/>
      <c r="K9" s="41" t="n"/>
    </row>
    <row r="10" ht="40.5" customFormat="1" customHeight="1" s="153">
      <c r="A10" s="211" t="n"/>
      <c r="B10" s="211" t="n"/>
      <c r="C10" s="211" t="n"/>
      <c r="D10" s="211" t="n"/>
      <c r="E10" s="211" t="n"/>
      <c r="F10" s="179" t="inlineStr">
        <is>
          <t>на ед. изм.</t>
        </is>
      </c>
      <c r="G10" s="179" t="inlineStr">
        <is>
          <t>общая</t>
        </is>
      </c>
      <c r="H10" s="211" t="n"/>
      <c r="I10" s="179" t="inlineStr">
        <is>
          <t>на ед. изм.</t>
        </is>
      </c>
      <c r="J10" s="179" t="inlineStr">
        <is>
          <t>общая</t>
        </is>
      </c>
    </row>
    <row r="11" ht="15.6" customFormat="1" customHeight="1" s="153">
      <c r="A11" s="198" t="n">
        <v>1</v>
      </c>
      <c r="B11" s="179" t="n">
        <v>2</v>
      </c>
      <c r="C11" s="179" t="n">
        <v>3</v>
      </c>
      <c r="D11" s="179" t="n">
        <v>4</v>
      </c>
      <c r="E11" s="179" t="n">
        <v>5</v>
      </c>
      <c r="F11" s="179" t="n">
        <v>6</v>
      </c>
      <c r="G11" s="179" t="n">
        <v>7</v>
      </c>
      <c r="H11" s="179" t="n">
        <v>8</v>
      </c>
      <c r="I11" s="179" t="n">
        <v>9</v>
      </c>
      <c r="J11" s="179" t="n">
        <v>10</v>
      </c>
    </row>
    <row r="12" ht="15.6" customFormat="1" customHeight="1" s="153">
      <c r="A12" s="201" t="n"/>
      <c r="B12" s="199" t="inlineStr">
        <is>
          <t>Затраты труда рабочих-строителей</t>
        </is>
      </c>
      <c r="C12" s="208" t="n"/>
      <c r="D12" s="208" t="n"/>
      <c r="E12" s="208" t="n"/>
      <c r="F12" s="208" t="n"/>
      <c r="G12" s="208" t="n"/>
      <c r="H12" s="209" t="n"/>
      <c r="I12" s="201" t="n"/>
      <c r="J12" s="201" t="n"/>
    </row>
    <row r="13" ht="31.15" customFormat="1" customHeight="1" s="153">
      <c r="A13" s="181" t="n">
        <v>1</v>
      </c>
      <c r="B13" s="185" t="inlineStr">
        <is>
          <t>1-4-3</t>
        </is>
      </c>
      <c r="C13" s="182" t="inlineStr">
        <is>
          <t>Затраты труда рабочих (Средний разряд работы 4,3)</t>
        </is>
      </c>
      <c r="D13" s="181" t="inlineStr">
        <is>
          <t>чел.-ч</t>
        </is>
      </c>
      <c r="E13" s="181">
        <f>G13/F13</f>
        <v/>
      </c>
      <c r="F13" s="184" t="n">
        <v>10.06</v>
      </c>
      <c r="G13" s="184">
        <f>Прил.3!H12</f>
        <v/>
      </c>
      <c r="H13" s="24">
        <f>G13/G14</f>
        <v/>
      </c>
      <c r="I13" s="184">
        <f>ФОТр.тек.!E13</f>
        <v/>
      </c>
      <c r="J13" s="184">
        <f>ROUND(I13*E13,2)</f>
        <v/>
      </c>
    </row>
    <row r="14" ht="31.15" customFormat="1" customHeight="1" s="153">
      <c r="A14" s="181" t="n"/>
      <c r="B14" s="181" t="n"/>
      <c r="C14" s="182" t="inlineStr">
        <is>
          <t>Итого по разделу "Затраты труда рабочих-строителей"</t>
        </is>
      </c>
      <c r="D14" s="181" t="inlineStr">
        <is>
          <t>чел.-ч</t>
        </is>
      </c>
      <c r="E14" s="181">
        <f>SUM(E13:E13)</f>
        <v/>
      </c>
      <c r="F14" s="184" t="n"/>
      <c r="G14" s="184">
        <f>SUM(G13:G13)</f>
        <v/>
      </c>
      <c r="H14" s="24" t="n">
        <v>1</v>
      </c>
      <c r="I14" s="184" t="n"/>
      <c r="J14" s="184">
        <f>SUM(J13:J13)</f>
        <v/>
      </c>
    </row>
    <row r="15" ht="15.6" customFormat="1" customHeight="1" s="153">
      <c r="A15" s="181" t="n"/>
      <c r="B15" s="181" t="inlineStr">
        <is>
          <t>Затраты труда машинистов</t>
        </is>
      </c>
      <c r="C15" s="208" t="n"/>
      <c r="D15" s="208" t="n"/>
      <c r="E15" s="208" t="n"/>
      <c r="F15" s="208" t="n"/>
      <c r="G15" s="208" t="n"/>
      <c r="H15" s="209" t="n"/>
      <c r="I15" s="184" t="n"/>
      <c r="J15" s="184" t="n"/>
    </row>
    <row r="16" ht="15.6" customFormat="1" customHeight="1" s="153">
      <c r="A16" s="181" t="n">
        <v>2</v>
      </c>
      <c r="B16" s="181" t="n">
        <v>2</v>
      </c>
      <c r="C16" s="182" t="inlineStr">
        <is>
          <t>Затраты труда машинистов</t>
        </is>
      </c>
      <c r="D16" s="181" t="inlineStr">
        <is>
          <t>чел.-ч</t>
        </is>
      </c>
      <c r="E16" s="181">
        <f>Прил.3!F18</f>
        <v/>
      </c>
      <c r="F16" s="184">
        <f>G16/E16</f>
        <v/>
      </c>
      <c r="G16" s="184">
        <f>Прил.3!H18</f>
        <v/>
      </c>
      <c r="H16" s="24" t="n">
        <v>1</v>
      </c>
      <c r="I16" s="184">
        <f>ROUND(F16*Прил.10!D10,2)</f>
        <v/>
      </c>
      <c r="J16" s="184">
        <f>ROUND(I16*E16,2)</f>
        <v/>
      </c>
    </row>
    <row r="17" ht="15.6" customFormat="1" customHeight="1" s="153">
      <c r="A17" s="181" t="n"/>
      <c r="B17" s="180" t="inlineStr">
        <is>
          <t>Машины и механизмы</t>
        </is>
      </c>
      <c r="C17" s="208" t="n"/>
      <c r="D17" s="208" t="n"/>
      <c r="E17" s="208" t="n"/>
      <c r="F17" s="208" t="n"/>
      <c r="G17" s="208" t="n"/>
      <c r="H17" s="209" t="n"/>
      <c r="I17" s="184" t="n"/>
      <c r="J17" s="184" t="n"/>
    </row>
    <row r="18" ht="15.6" customFormat="1" customHeight="1" s="153">
      <c r="A18" s="181" t="n"/>
      <c r="B18" s="181" t="inlineStr">
        <is>
          <t>Основные Машины и механизмы</t>
        </is>
      </c>
      <c r="C18" s="208" t="n"/>
      <c r="D18" s="208" t="n"/>
      <c r="E18" s="208" t="n"/>
      <c r="F18" s="208" t="n"/>
      <c r="G18" s="208" t="n"/>
      <c r="H18" s="209" t="n"/>
      <c r="I18" s="184" t="n"/>
      <c r="J18" s="184" t="n"/>
    </row>
    <row r="19" ht="46.9" customFormat="1" customHeight="1" s="153">
      <c r="A19" s="181" t="n">
        <v>3</v>
      </c>
      <c r="B19" s="185" t="inlineStr">
        <is>
          <t>91.04.02-032</t>
        </is>
      </c>
      <c r="C19" s="202" t="inlineStr">
        <is>
          <t>Установки направленного бурения для бестраншейной прокладки, тяговое усилие 500 кН</t>
        </is>
      </c>
      <c r="D19" s="205" t="inlineStr">
        <is>
          <t>маш.час</t>
        </is>
      </c>
      <c r="E19" s="203" t="n">
        <v>15</v>
      </c>
      <c r="F19" s="28" t="n">
        <v>2230.51</v>
      </c>
      <c r="G19" s="184">
        <f>ROUND(F19*E19,2)</f>
        <v/>
      </c>
      <c r="H19" s="24">
        <f>G19/G36</f>
        <v/>
      </c>
      <c r="I19" s="184">
        <f>ROUND(F19*Прил.10!$D$11,2)</f>
        <v/>
      </c>
      <c r="J19" s="184">
        <f>ROUND(I19*E19,2)</f>
        <v/>
      </c>
    </row>
    <row r="20" ht="31.15" customFormat="1" customHeight="1" s="153">
      <c r="A20" s="181" t="n">
        <v>4</v>
      </c>
      <c r="B20" s="185" t="inlineStr">
        <is>
          <t>91.14.03-002</t>
        </is>
      </c>
      <c r="C20" s="202" t="inlineStr">
        <is>
          <t>Автомобили-самосвалы, грузоподъемность до 10 т</t>
        </is>
      </c>
      <c r="D20" s="205" t="inlineStr">
        <is>
          <t>маш.-ч</t>
        </is>
      </c>
      <c r="E20" s="203" t="n">
        <v>81.2367242</v>
      </c>
      <c r="F20" s="28" t="n">
        <v>87.48999999999999</v>
      </c>
      <c r="G20" s="184">
        <f>ROUND(F20*E20,2)</f>
        <v/>
      </c>
      <c r="H20" s="24">
        <f>G20/G36</f>
        <v/>
      </c>
      <c r="I20" s="184">
        <f>ROUND(F20*Прил.10!$D$11,2)</f>
        <v/>
      </c>
      <c r="J20" s="184">
        <f>ROUND(I20*E20,2)</f>
        <v/>
      </c>
    </row>
    <row r="21" ht="15.6" customFormat="1" customHeight="1" s="153">
      <c r="A21" s="181" t="n"/>
      <c r="B21" s="185" t="inlineStr">
        <is>
          <t>Итого основные Машины и механизмы</t>
        </is>
      </c>
      <c r="C21" s="208" t="n"/>
      <c r="D21" s="208" t="n"/>
      <c r="E21" s="208" t="n"/>
      <c r="F21" s="209" t="n"/>
      <c r="G21" s="28">
        <f>SUM(G19:G20)</f>
        <v/>
      </c>
      <c r="H21" s="24">
        <f>SUM(H19:H20)</f>
        <v/>
      </c>
      <c r="I21" s="184" t="n"/>
      <c r="J21" s="184">
        <f>SUM(J19:J20)</f>
        <v/>
      </c>
    </row>
    <row r="22" hidden="1" outlineLevel="1" ht="31.15" customFormat="1" customHeight="1" s="153">
      <c r="A22" s="181" t="n">
        <v>5</v>
      </c>
      <c r="B22" s="185" t="inlineStr">
        <is>
          <t>91.07.06-001</t>
        </is>
      </c>
      <c r="C22" s="202" t="inlineStr">
        <is>
          <t>Комплексы бентонито-смесительные на базе автомобиля</t>
        </is>
      </c>
      <c r="D22" s="205" t="inlineStr">
        <is>
          <t>маш.час</t>
        </is>
      </c>
      <c r="E22" s="203" t="n">
        <v>22</v>
      </c>
      <c r="F22" s="28" t="n">
        <v>215.09</v>
      </c>
      <c r="G22" s="184">
        <f>ROUND(F22*E22,2)</f>
        <v/>
      </c>
      <c r="H22" s="24">
        <f>G22/G36</f>
        <v/>
      </c>
      <c r="I22" s="184">
        <f>ROUND(F22*Прил.10!$D$11,2)</f>
        <v/>
      </c>
      <c r="J22" s="184">
        <f>ROUND(I22*E22,2)</f>
        <v/>
      </c>
    </row>
    <row r="23" hidden="1" outlineLevel="1" ht="31.15" customFormat="1" customHeight="1" s="153">
      <c r="A23" s="181" t="n">
        <v>6</v>
      </c>
      <c r="B23" s="185" t="inlineStr">
        <is>
          <t>91.06.05-013</t>
        </is>
      </c>
      <c r="C23" s="202" t="inlineStr">
        <is>
          <t>Погрузчики на автомобильном ходу, грузоподъемность до 2 т</t>
        </is>
      </c>
      <c r="D23" s="205" t="inlineStr">
        <is>
          <t>маш.-ч</t>
        </is>
      </c>
      <c r="E23" s="203" t="n">
        <v>18.3663003</v>
      </c>
      <c r="F23" s="28" t="n">
        <v>82.31</v>
      </c>
      <c r="G23" s="184">
        <f>ROUND(F23*E23,2)</f>
        <v/>
      </c>
      <c r="H23" s="24">
        <f>G23/G36</f>
        <v/>
      </c>
      <c r="I23" s="184">
        <f>ROUND(F23*Прил.10!$D$11,2)</f>
        <v/>
      </c>
      <c r="J23" s="184">
        <f>ROUND(I23*E23,2)</f>
        <v/>
      </c>
    </row>
    <row r="24" hidden="1" outlineLevel="1" ht="46.9" customFormat="1" customHeight="1" s="153">
      <c r="A24" s="181" t="n">
        <v>7</v>
      </c>
      <c r="B24" s="185" t="inlineStr">
        <is>
          <t>91.01.05-086</t>
        </is>
      </c>
      <c r="C24" s="202" t="inlineStr">
        <is>
          <t>Экскаваторы одноковшовые дизельные на гусеничном ходу, емкость ковша 0,65 м3</t>
        </is>
      </c>
      <c r="D24" s="205" t="inlineStr">
        <is>
          <t>маш.час</t>
        </is>
      </c>
      <c r="E24" s="203" t="n">
        <v>10.85</v>
      </c>
      <c r="F24" s="28" t="n">
        <v>115.27</v>
      </c>
      <c r="G24" s="184">
        <f>ROUND(F24*E24,2)</f>
        <v/>
      </c>
      <c r="H24" s="24">
        <f>G24/G36</f>
        <v/>
      </c>
      <c r="I24" s="184">
        <f>ROUND(F24*Прил.10!$D$11,2)</f>
        <v/>
      </c>
      <c r="J24" s="184">
        <f>ROUND(I24*E24,2)</f>
        <v/>
      </c>
    </row>
    <row r="25" hidden="1" outlineLevel="1" ht="31.15" customFormat="1" customHeight="1" s="153">
      <c r="A25" s="181" t="n">
        <v>8</v>
      </c>
      <c r="B25" s="185" t="inlineStr">
        <is>
          <t>91.10.05-004</t>
        </is>
      </c>
      <c r="C25" s="202" t="inlineStr">
        <is>
          <t>Трубоукладчики для труб диаметром до 400 мм, грузоподъемность 6,3 т</t>
        </is>
      </c>
      <c r="D25" s="205" t="inlineStr">
        <is>
          <t>маш.час</t>
        </is>
      </c>
      <c r="E25" s="203" t="n">
        <v>7.5</v>
      </c>
      <c r="F25" s="28" t="n">
        <v>160.03</v>
      </c>
      <c r="G25" s="184">
        <f>ROUND(F25*E25,2)</f>
        <v/>
      </c>
      <c r="H25" s="24">
        <f>G25/G36</f>
        <v/>
      </c>
      <c r="I25" s="184">
        <f>ROUND(F25*Прил.10!$D$11,2)</f>
        <v/>
      </c>
      <c r="J25" s="184">
        <f>ROUND(I25*E25,2)</f>
        <v/>
      </c>
    </row>
    <row r="26" hidden="1" outlineLevel="1" ht="15.6" customFormat="1" customHeight="1" s="153">
      <c r="A26" s="181" t="n">
        <v>9</v>
      </c>
      <c r="B26" s="185" t="inlineStr">
        <is>
          <t>91.19.01-001</t>
        </is>
      </c>
      <c r="C26" s="202" t="inlineStr">
        <is>
          <t>Машины илососные, емкость до 6 м3</t>
        </is>
      </c>
      <c r="D26" s="205" t="inlineStr">
        <is>
          <t>маш.час</t>
        </is>
      </c>
      <c r="E26" s="203" t="n">
        <v>2.75</v>
      </c>
      <c r="F26" s="28" t="n">
        <v>140.97</v>
      </c>
      <c r="G26" s="184">
        <f>ROUND(F26*E26,2)</f>
        <v/>
      </c>
      <c r="H26" s="24">
        <f>G26/G36</f>
        <v/>
      </c>
      <c r="I26" s="184">
        <f>ROUND(F26*Прил.10!$D$11,2)</f>
        <v/>
      </c>
      <c r="J26" s="184">
        <f>ROUND(I26*E26,2)</f>
        <v/>
      </c>
    </row>
    <row r="27" hidden="1" outlineLevel="1" ht="15.6" customFormat="1" customHeight="1" s="153">
      <c r="A27" s="181" t="n">
        <v>10</v>
      </c>
      <c r="B27" s="185" t="inlineStr">
        <is>
          <t>91.13.03-041</t>
        </is>
      </c>
      <c r="C27" s="202" t="inlineStr">
        <is>
          <t>Автоцистерна</t>
        </is>
      </c>
      <c r="D27" s="205" t="inlineStr">
        <is>
          <t>маш.час</t>
        </is>
      </c>
      <c r="E27" s="203" t="n">
        <v>3</v>
      </c>
      <c r="F27" s="28" t="n">
        <v>100.72</v>
      </c>
      <c r="G27" s="184">
        <f>ROUND(F27*E27,2)</f>
        <v/>
      </c>
      <c r="H27" s="24">
        <f>G27/G36</f>
        <v/>
      </c>
      <c r="I27" s="184">
        <f>ROUND(F27*Прил.10!$D$11,2)</f>
        <v/>
      </c>
      <c r="J27" s="184">
        <f>ROUND(I27*E27,2)</f>
        <v/>
      </c>
    </row>
    <row r="28" hidden="1" outlineLevel="1" ht="31.15" customFormat="1" customHeight="1" s="153">
      <c r="A28" s="181" t="n">
        <v>11</v>
      </c>
      <c r="B28" s="185" t="inlineStr">
        <is>
          <t>91.01.01-035</t>
        </is>
      </c>
      <c r="C28" s="202" t="inlineStr">
        <is>
          <t>Бульдозеры, мощность 79 кВт (108 л.с.)</t>
        </is>
      </c>
      <c r="D28" s="205" t="inlineStr">
        <is>
          <t>маш.час</t>
        </is>
      </c>
      <c r="E28" s="203" t="n">
        <v>2.91813</v>
      </c>
      <c r="F28" s="28" t="n">
        <v>79.06999999999999</v>
      </c>
      <c r="G28" s="184">
        <f>ROUND(F28*E28,2)</f>
        <v/>
      </c>
      <c r="H28" s="24">
        <f>G28/G36</f>
        <v/>
      </c>
      <c r="I28" s="184">
        <f>ROUND(F28*Прил.10!$D$11,2)</f>
        <v/>
      </c>
      <c r="J28" s="184">
        <f>ROUND(I28*E28,2)</f>
        <v/>
      </c>
    </row>
    <row r="29" hidden="1" outlineLevel="1" ht="15.6" customFormat="1" customHeight="1" s="153">
      <c r="A29" s="181" t="n">
        <v>12</v>
      </c>
      <c r="B29" s="185" t="inlineStr">
        <is>
          <t>91.01.01-034</t>
        </is>
      </c>
      <c r="C29" s="202" t="inlineStr">
        <is>
          <t>Бульдозеры, мощность 59 кВт (80 л.с.)</t>
        </is>
      </c>
      <c r="D29" s="205" t="inlineStr">
        <is>
          <t>маш.час</t>
        </is>
      </c>
      <c r="E29" s="203" t="n">
        <v>3.768</v>
      </c>
      <c r="F29" s="28" t="n">
        <v>59.47</v>
      </c>
      <c r="G29" s="184">
        <f>ROUND(F29*E29,2)</f>
        <v/>
      </c>
      <c r="H29" s="24">
        <f>G29/G36</f>
        <v/>
      </c>
      <c r="I29" s="184">
        <f>ROUND(F29*Прил.10!$D$11,2)</f>
        <v/>
      </c>
      <c r="J29" s="184">
        <f>ROUND(I29*E29,2)</f>
        <v/>
      </c>
    </row>
    <row r="30" hidden="1" outlineLevel="1" ht="31.15" customFormat="1" customHeight="1" s="153">
      <c r="A30" s="181" t="n">
        <v>13</v>
      </c>
      <c r="B30" s="185" t="inlineStr">
        <is>
          <t>91.04.01-031</t>
        </is>
      </c>
      <c r="C30" s="202" t="inlineStr">
        <is>
          <t>Машины бурильно-крановые на автомобиле, глубина бурения 3,5 м</t>
        </is>
      </c>
      <c r="D30" s="205" t="inlineStr">
        <is>
          <t>маш.час</t>
        </is>
      </c>
      <c r="E30" s="203" t="n">
        <v>0.58</v>
      </c>
      <c r="F30" s="28" t="n">
        <v>138.54</v>
      </c>
      <c r="G30" s="184">
        <f>ROUND(F30*E30,2)</f>
        <v/>
      </c>
      <c r="H30" s="24">
        <f>G30/G36</f>
        <v/>
      </c>
      <c r="I30" s="184">
        <f>ROUND(F30*Прил.10!$D$11,2)</f>
        <v/>
      </c>
      <c r="J30" s="184">
        <f>ROUND(I30*E30,2)</f>
        <v/>
      </c>
    </row>
    <row r="31" hidden="1" outlineLevel="1" ht="31.15" customFormat="1" customHeight="1" s="153">
      <c r="A31" s="181" t="n">
        <v>14</v>
      </c>
      <c r="B31" s="185" t="inlineStr">
        <is>
          <t>91.05.05-015</t>
        </is>
      </c>
      <c r="C31" s="202" t="inlineStr">
        <is>
          <t>Краны на автомобильном ходу, грузоподъемность 16 т</t>
        </is>
      </c>
      <c r="D31" s="205" t="inlineStr">
        <is>
          <t>маш.час</t>
        </is>
      </c>
      <c r="E31" s="203" t="n">
        <v>0.5</v>
      </c>
      <c r="F31" s="28" t="n">
        <v>115.4</v>
      </c>
      <c r="G31" s="184">
        <f>ROUND(F31*E31,2)</f>
        <v/>
      </c>
      <c r="H31" s="24">
        <f>G31/G36</f>
        <v/>
      </c>
      <c r="I31" s="184">
        <f>ROUND(F31*Прил.10!$D$11,2)</f>
        <v/>
      </c>
      <c r="J31" s="184">
        <f>ROUND(I31*E31,2)</f>
        <v/>
      </c>
    </row>
    <row r="32" hidden="1" outlineLevel="1" ht="62.45" customFormat="1" customHeight="1" s="153">
      <c r="A32" s="181" t="n">
        <v>15</v>
      </c>
      <c r="B32" s="185" t="inlineStr">
        <is>
          <t>91.17.04-046</t>
        </is>
      </c>
      <c r="C32" s="202" t="inlineStr">
        <is>
          <t>Аппараты с ручным управлением процессом сварки "встык" пластмассовых труб диаметром до 160 мм</t>
        </is>
      </c>
      <c r="D32" s="205" t="inlineStr">
        <is>
          <t>маш.час</t>
        </is>
      </c>
      <c r="E32" s="203" t="n">
        <v>5.58</v>
      </c>
      <c r="F32" s="28" t="n">
        <v>6.28</v>
      </c>
      <c r="G32" s="184">
        <f>ROUND(F32*E32,2)</f>
        <v/>
      </c>
      <c r="H32" s="24">
        <f>G32/G36</f>
        <v/>
      </c>
      <c r="I32" s="184">
        <f>ROUND(F32*Прил.10!$D$11,2)</f>
        <v/>
      </c>
      <c r="J32" s="184">
        <f>ROUND(I32*E32,2)</f>
        <v/>
      </c>
    </row>
    <row r="33" hidden="1" outlineLevel="1" ht="62.45" customFormat="1" customHeight="1" s="153">
      <c r="A33" s="181" t="n">
        <v>16</v>
      </c>
      <c r="B33" s="185" t="inlineStr">
        <is>
          <t>91.21.22-231</t>
        </is>
      </c>
      <c r="C33" s="202" t="inlineStr">
        <is>
          <t>Мотопомпы бензиновые производительностью 54 м3/час, высота подъема 26 м, глубина всасывания 8 м</t>
        </is>
      </c>
      <c r="D33" s="205" t="inlineStr">
        <is>
          <t>маш.час</t>
        </is>
      </c>
      <c r="E33" s="203" t="n">
        <v>3</v>
      </c>
      <c r="F33" s="28" t="n">
        <v>9.08</v>
      </c>
      <c r="G33" s="184">
        <f>ROUND(F33*E33,2)</f>
        <v/>
      </c>
      <c r="H33" s="24">
        <f>G33/G36</f>
        <v/>
      </c>
      <c r="I33" s="184">
        <f>ROUND(F33*Прил.10!$D$11,2)</f>
        <v/>
      </c>
      <c r="J33" s="184">
        <f>ROUND(I33*E33,2)</f>
        <v/>
      </c>
    </row>
    <row r="34" hidden="1" outlineLevel="1" ht="31.15" customFormat="1" customHeight="1" s="153">
      <c r="A34" s="181" t="n">
        <v>17</v>
      </c>
      <c r="B34" s="185" t="inlineStr">
        <is>
          <t>91.14.03-001</t>
        </is>
      </c>
      <c r="C34" s="202" t="inlineStr">
        <is>
          <t>Автомобили-самосвалы, грузоподъемность до 7 т</t>
        </is>
      </c>
      <c r="D34" s="205" t="inlineStr">
        <is>
          <t>маш.час</t>
        </is>
      </c>
      <c r="E34" s="203" t="n">
        <v>0.00264</v>
      </c>
      <c r="F34" s="28" t="n">
        <v>89.54000000000001</v>
      </c>
      <c r="G34" s="184">
        <f>ROUND(F34*E34,2)</f>
        <v/>
      </c>
      <c r="H34" s="24">
        <f>G34/G36</f>
        <v/>
      </c>
      <c r="I34" s="184">
        <f>ROUND(F34*Прил.10!$D$11,2)</f>
        <v/>
      </c>
      <c r="J34" s="184">
        <f>ROUND(I34*E34,2)</f>
        <v/>
      </c>
    </row>
    <row r="35" collapsed="1" ht="15.6" customFormat="1" customHeight="1" s="153">
      <c r="A35" s="181" t="n"/>
      <c r="B35" s="181" t="inlineStr">
        <is>
          <t>Итого прочие Машины и механизмы</t>
        </is>
      </c>
      <c r="C35" s="208" t="n"/>
      <c r="D35" s="208" t="n"/>
      <c r="E35" s="208" t="n"/>
      <c r="F35" s="209" t="n"/>
      <c r="G35" s="184">
        <f>SUM(G22:G34)</f>
        <v/>
      </c>
      <c r="H35" s="24">
        <f>SUM(H22:H34)</f>
        <v/>
      </c>
      <c r="I35" s="184" t="n"/>
      <c r="J35" s="184">
        <f>SUM(J22:J34)</f>
        <v/>
      </c>
    </row>
    <row r="36" ht="15.6" customFormat="1" customHeight="1" s="153">
      <c r="A36" s="181" t="n"/>
      <c r="B36" s="181" t="inlineStr">
        <is>
          <t>Итого по разделу "Машины и механизмы"</t>
        </is>
      </c>
      <c r="C36" s="208" t="n"/>
      <c r="D36" s="208" t="n"/>
      <c r="E36" s="208" t="n"/>
      <c r="F36" s="209" t="n"/>
      <c r="G36" s="184">
        <f>G21+G35</f>
        <v/>
      </c>
      <c r="H36" s="24">
        <f>H21+H35</f>
        <v/>
      </c>
      <c r="I36" s="184" t="n"/>
      <c r="J36" s="184">
        <f>J21+J35</f>
        <v/>
      </c>
    </row>
    <row r="37" ht="15.6" customFormat="1" customHeight="1" s="153">
      <c r="A37" s="179" t="n"/>
      <c r="B37" s="186" t="inlineStr">
        <is>
          <t>Оборудование</t>
        </is>
      </c>
      <c r="C37" s="208" t="n"/>
      <c r="D37" s="208" t="n"/>
      <c r="E37" s="208" t="n"/>
      <c r="F37" s="208" t="n"/>
      <c r="G37" s="208" t="n"/>
      <c r="H37" s="209" t="n"/>
      <c r="I37" s="201" t="n"/>
      <c r="J37" s="201" t="n"/>
    </row>
    <row r="38" ht="15.6" customFormat="1" customHeight="1" s="153">
      <c r="A38" s="179" t="n"/>
      <c r="B38" s="191" t="inlineStr">
        <is>
          <t>Основное оборудование</t>
        </is>
      </c>
      <c r="C38" s="208" t="n"/>
      <c r="D38" s="208" t="n"/>
      <c r="E38" s="208" t="n"/>
      <c r="F38" s="208" t="n"/>
      <c r="G38" s="208" t="n"/>
      <c r="H38" s="209" t="n"/>
      <c r="I38" s="201" t="n"/>
      <c r="J38" s="201" t="n"/>
    </row>
    <row r="39" ht="15.6" customFormat="1" customHeight="1" s="153">
      <c r="A39" s="179" t="n"/>
      <c r="B39" s="179" t="n"/>
      <c r="C39" s="191" t="inlineStr">
        <is>
          <t>Итого основное оборудование</t>
        </is>
      </c>
      <c r="D39" s="179" t="n"/>
      <c r="E39" s="102" t="n"/>
      <c r="F39" s="193" t="n"/>
      <c r="G39" s="104" t="n">
        <v>0</v>
      </c>
      <c r="H39" s="194" t="n">
        <v>0</v>
      </c>
      <c r="I39" s="106" t="n"/>
      <c r="J39" s="104" t="n">
        <v>0</v>
      </c>
    </row>
    <row r="40" ht="15.6" customFormat="1" customHeight="1" s="153">
      <c r="A40" s="179" t="n"/>
      <c r="B40" s="179" t="n"/>
      <c r="C40" s="191" t="inlineStr">
        <is>
          <t>Итого прочее оборудование</t>
        </is>
      </c>
      <c r="D40" s="179" t="n"/>
      <c r="E40" s="102" t="n"/>
      <c r="F40" s="193" t="n"/>
      <c r="G40" s="104" t="n">
        <v>0</v>
      </c>
      <c r="H40" s="194" t="n">
        <v>0</v>
      </c>
      <c r="I40" s="106" t="n"/>
      <c r="J40" s="104" t="n">
        <v>0</v>
      </c>
    </row>
    <row r="41" ht="15.6" customFormat="1" customHeight="1" s="153">
      <c r="A41" s="179" t="n"/>
      <c r="B41" s="179" t="n"/>
      <c r="C41" s="186" t="inlineStr">
        <is>
          <t>Итого по разделу «Оборудование»</t>
        </is>
      </c>
      <c r="D41" s="179" t="n"/>
      <c r="E41" s="192" t="n"/>
      <c r="F41" s="193" t="n"/>
      <c r="G41" s="104">
        <f>G39+G40</f>
        <v/>
      </c>
      <c r="H41" s="194" t="n">
        <v>0</v>
      </c>
      <c r="I41" s="106" t="n"/>
      <c r="J41" s="104">
        <f>J40+J39</f>
        <v/>
      </c>
    </row>
    <row r="42" ht="31.15" customFormat="1" customHeight="1" s="153">
      <c r="A42" s="179" t="n"/>
      <c r="B42" s="179" t="n"/>
      <c r="C42" s="191" t="inlineStr">
        <is>
          <t>в том числе технологическое оборудование</t>
        </is>
      </c>
      <c r="D42" s="179" t="n"/>
      <c r="E42" s="109" t="n"/>
      <c r="F42" s="193" t="n"/>
      <c r="G42" s="104">
        <f>G41</f>
        <v/>
      </c>
      <c r="H42" s="194" t="n"/>
      <c r="I42" s="106" t="n"/>
      <c r="J42" s="104">
        <f>J41</f>
        <v/>
      </c>
    </row>
    <row r="43" ht="15.6" customFormat="1" customHeight="1" s="153">
      <c r="A43" s="181" t="n"/>
      <c r="B43" s="180" t="inlineStr">
        <is>
          <t>Материалы</t>
        </is>
      </c>
      <c r="C43" s="208" t="n"/>
      <c r="D43" s="208" t="n"/>
      <c r="E43" s="208" t="n"/>
      <c r="F43" s="208" t="n"/>
      <c r="G43" s="208" t="n"/>
      <c r="H43" s="209" t="n"/>
      <c r="I43" s="184" t="n"/>
      <c r="J43" s="184" t="n"/>
    </row>
    <row r="44" ht="15.6" customFormat="1" customHeight="1" s="153">
      <c r="A44" s="181" t="n"/>
      <c r="B44" s="181" t="inlineStr">
        <is>
          <t>Основные Материалы</t>
        </is>
      </c>
      <c r="C44" s="208" t="n"/>
      <c r="D44" s="208" t="n"/>
      <c r="E44" s="208" t="n"/>
      <c r="F44" s="208" t="n"/>
      <c r="G44" s="208" t="n"/>
      <c r="H44" s="209" t="n"/>
      <c r="I44" s="184" t="n"/>
      <c r="J44" s="184" t="n"/>
    </row>
    <row r="45" ht="15.6" customFormat="1" customHeight="1" s="153">
      <c r="A45" s="181" t="n">
        <v>18</v>
      </c>
      <c r="B45" s="185" t="inlineStr">
        <is>
          <t>01.4.03.01-0001</t>
        </is>
      </c>
      <c r="C45" s="202" t="inlineStr">
        <is>
          <t>Бентонит Premium Gel</t>
        </is>
      </c>
      <c r="D45" s="205" t="inlineStr">
        <is>
          <t>кг</t>
        </is>
      </c>
      <c r="E45" s="203" t="n">
        <v>1200</v>
      </c>
      <c r="F45" s="28" t="n">
        <v>9.869999999999999</v>
      </c>
      <c r="G45" s="184">
        <f>ROUND(F45*E45,2)</f>
        <v/>
      </c>
      <c r="H45" s="24">
        <f>G45/G57</f>
        <v/>
      </c>
      <c r="I45" s="184">
        <f>ROUND(F45*Прил.10!$D$12,2)</f>
        <v/>
      </c>
      <c r="J45" s="184">
        <f>ROUND(I45*E45,2)</f>
        <v/>
      </c>
    </row>
    <row r="46" ht="31.15" customFormat="1" customHeight="1" s="153">
      <c r="A46" s="181" t="n">
        <v>19</v>
      </c>
      <c r="B46" s="185" t="inlineStr">
        <is>
          <t>01.4.03.03-0031</t>
        </is>
      </c>
      <c r="C46" s="202" t="inlineStr">
        <is>
          <t>Полимер универсальный для стабилизации буровых скважин</t>
        </is>
      </c>
      <c r="D46" s="205" t="inlineStr">
        <is>
          <t>кг</t>
        </is>
      </c>
      <c r="E46" s="203" t="n">
        <v>57.96</v>
      </c>
      <c r="F46" s="28" t="n">
        <v>69.28</v>
      </c>
      <c r="G46" s="184">
        <f>ROUND(F46*E46,2)</f>
        <v/>
      </c>
      <c r="H46" s="24">
        <f>G46/G57</f>
        <v/>
      </c>
      <c r="I46" s="184">
        <f>ROUND(F46*Прил.10!$D$12,2)</f>
        <v/>
      </c>
      <c r="J46" s="184">
        <f>ROUND(I46*E46,2)</f>
        <v/>
      </c>
    </row>
    <row r="47" ht="15.6" customFormat="1" customHeight="1" s="153">
      <c r="A47" s="181" t="n">
        <v>20</v>
      </c>
      <c r="B47" s="185" t="inlineStr">
        <is>
          <t>16.2.01.01-0031</t>
        </is>
      </c>
      <c r="C47" s="202" t="inlineStr">
        <is>
          <t>Почво-грунт садовый</t>
        </is>
      </c>
      <c r="D47" s="205" t="inlineStr">
        <is>
          <t>м3</t>
        </is>
      </c>
      <c r="E47" s="203" t="n">
        <v>33</v>
      </c>
      <c r="F47" s="28" t="n">
        <v>241.11</v>
      </c>
      <c r="G47" s="184">
        <f>ROUND(F47*E47,2)</f>
        <v/>
      </c>
      <c r="H47" s="24">
        <f>G47/G57</f>
        <v/>
      </c>
      <c r="I47" s="184">
        <f>ROUND(F47*Прил.10!$D$12,2)</f>
        <v/>
      </c>
      <c r="J47" s="184">
        <f>ROUND(I47*E47,2)</f>
        <v/>
      </c>
    </row>
    <row r="48" ht="15.6" customFormat="1" customHeight="1" s="153">
      <c r="A48" s="181" t="n"/>
      <c r="B48" s="185" t="inlineStr">
        <is>
          <t>Итого основные Материалы</t>
        </is>
      </c>
      <c r="C48" s="208" t="n"/>
      <c r="D48" s="208" t="n"/>
      <c r="E48" s="208" t="n"/>
      <c r="F48" s="209" t="n"/>
      <c r="G48" s="28">
        <f>SUM(G45:G47)</f>
        <v/>
      </c>
      <c r="H48" s="24">
        <f>SUM(H45:H47)</f>
        <v/>
      </c>
      <c r="I48" s="184" t="n"/>
      <c r="J48" s="184">
        <f>SUM(J45:J47)</f>
        <v/>
      </c>
    </row>
    <row r="49" hidden="1" outlineLevel="1" ht="31.15" customFormat="1" customHeight="1" s="153">
      <c r="A49" s="181" t="n">
        <v>21</v>
      </c>
      <c r="B49" s="185" t="inlineStr">
        <is>
          <t>24.3.03.13-0195</t>
        </is>
      </c>
      <c r="C49" s="202" t="inlineStr">
        <is>
          <t>Трубы полиэтиленовые ПЭ80, SDR17,6, диаметр 110 мм</t>
        </is>
      </c>
      <c r="D49" s="205" t="inlineStr">
        <is>
          <t>м</t>
        </is>
      </c>
      <c r="E49" s="203" t="n">
        <v>82.5</v>
      </c>
      <c r="F49" s="28" t="n">
        <v>43.86</v>
      </c>
      <c r="G49" s="184">
        <f>ROUND(F49*E49,2)</f>
        <v/>
      </c>
      <c r="H49" s="24">
        <f>G49/G57</f>
        <v/>
      </c>
      <c r="I49" s="184">
        <f>ROUND(F49*Прил.10!$D$12,2)</f>
        <v/>
      </c>
      <c r="J49" s="184">
        <f>ROUND(I49*E49,2)</f>
        <v/>
      </c>
    </row>
    <row r="50" hidden="1" outlineLevel="1" ht="15.6" customFormat="1" customHeight="1" s="153">
      <c r="A50" s="181" t="n">
        <v>22</v>
      </c>
      <c r="B50" s="185" t="inlineStr">
        <is>
          <t>01.7.03.01-0001</t>
        </is>
      </c>
      <c r="C50" s="202" t="inlineStr">
        <is>
          <t>Вода</t>
        </is>
      </c>
      <c r="D50" s="205" t="inlineStr">
        <is>
          <t>м3</t>
        </is>
      </c>
      <c r="E50" s="203" t="n">
        <v>47.5</v>
      </c>
      <c r="F50" s="28" t="n">
        <v>2.44</v>
      </c>
      <c r="G50" s="184">
        <f>ROUND(F50*E50,2)</f>
        <v/>
      </c>
      <c r="H50" s="24">
        <f>G50/G57</f>
        <v/>
      </c>
      <c r="I50" s="184">
        <f>ROUND(F50*Прил.10!$D$12,2)</f>
        <v/>
      </c>
      <c r="J50" s="184">
        <f>ROUND(I50*E50,2)</f>
        <v/>
      </c>
    </row>
    <row r="51" hidden="1" outlineLevel="1" ht="31.15" customFormat="1" customHeight="1" s="153">
      <c r="A51" s="181" t="n">
        <v>23</v>
      </c>
      <c r="B51" s="185" t="inlineStr">
        <is>
          <t>01.3.05.23-0171</t>
        </is>
      </c>
      <c r="C51" s="202" t="inlineStr">
        <is>
          <t>Сода кальцинированная (натрий углекислый) техническая</t>
        </is>
      </c>
      <c r="D51" s="205" t="inlineStr">
        <is>
          <t>т</t>
        </is>
      </c>
      <c r="E51" s="203" t="n">
        <v>0.0375</v>
      </c>
      <c r="F51" s="28" t="n">
        <v>1865</v>
      </c>
      <c r="G51" s="184">
        <f>ROUND(F51*E51,2)</f>
        <v/>
      </c>
      <c r="H51" s="24">
        <f>G51/G57</f>
        <v/>
      </c>
      <c r="I51" s="184">
        <f>ROUND(F51*Прил.10!$D$12,2)</f>
        <v/>
      </c>
      <c r="J51" s="184">
        <f>ROUND(I51*E51,2)</f>
        <v/>
      </c>
    </row>
    <row r="52" hidden="1" outlineLevel="1" ht="15.6" customFormat="1" customHeight="1" s="153">
      <c r="A52" s="181" t="n">
        <v>24</v>
      </c>
      <c r="B52" s="185" t="inlineStr">
        <is>
          <t>01.3.01.06-0034</t>
        </is>
      </c>
      <c r="C52" s="202" t="inlineStr">
        <is>
          <t>Смазка графитомедистая</t>
        </is>
      </c>
      <c r="D52" s="205" t="inlineStr">
        <is>
          <t>кг</t>
        </is>
      </c>
      <c r="E52" s="203" t="n">
        <v>1.08</v>
      </c>
      <c r="F52" s="28" t="n">
        <v>12.8</v>
      </c>
      <c r="G52" s="184">
        <f>ROUND(F52*E52,2)</f>
        <v/>
      </c>
      <c r="H52" s="24">
        <f>G52/G57</f>
        <v/>
      </c>
      <c r="I52" s="184">
        <f>ROUND(F52*Прил.10!$D$12,2)</f>
        <v/>
      </c>
      <c r="J52" s="184">
        <f>ROUND(I52*E52,2)</f>
        <v/>
      </c>
    </row>
    <row r="53" hidden="1" outlineLevel="1" ht="31.15" customFormat="1" customHeight="1" s="153">
      <c r="A53" s="181" t="n">
        <v>25</v>
      </c>
      <c r="B53" s="185" t="inlineStr">
        <is>
          <t>02.2.05.04-1777</t>
        </is>
      </c>
      <c r="C53" s="202" t="inlineStr">
        <is>
          <t>Щебень М 800, фракция 20-40 мм, группа 2</t>
        </is>
      </c>
      <c r="D53" s="205" t="inlineStr">
        <is>
          <t>м3</t>
        </is>
      </c>
      <c r="E53" s="203" t="n">
        <v>0.01632</v>
      </c>
      <c r="F53" s="28" t="n">
        <v>108.4</v>
      </c>
      <c r="G53" s="184">
        <f>ROUND(F53*E53,2)</f>
        <v/>
      </c>
      <c r="H53" s="24">
        <f>G53/G57</f>
        <v/>
      </c>
      <c r="I53" s="184">
        <f>ROUND(F53*Прил.10!$D$12,2)</f>
        <v/>
      </c>
      <c r="J53" s="184">
        <f>ROUND(I53*E53,2)</f>
        <v/>
      </c>
    </row>
    <row r="54" hidden="1" outlineLevel="1" ht="31.15" customFormat="1" customHeight="1" s="153">
      <c r="A54" s="181" t="n">
        <v>26</v>
      </c>
      <c r="B54" s="185" t="inlineStr">
        <is>
          <t>01.3.01.07-0009</t>
        </is>
      </c>
      <c r="C54" s="202" t="inlineStr">
        <is>
          <t>Спирт этиловый ректификованный технический, сорт I</t>
        </is>
      </c>
      <c r="D54" s="205" t="inlineStr">
        <is>
          <t>кг</t>
        </is>
      </c>
      <c r="E54" s="203" t="n">
        <v>0.018</v>
      </c>
      <c r="F54" s="28" t="n">
        <v>38.89</v>
      </c>
      <c r="G54" s="184">
        <f>ROUND(F54*E54,2)</f>
        <v/>
      </c>
      <c r="H54" s="24">
        <f>G54/G57</f>
        <v/>
      </c>
      <c r="I54" s="184">
        <f>ROUND(F54*Прил.10!$D$12,2)</f>
        <v/>
      </c>
      <c r="J54" s="184">
        <f>ROUND(I54*E54,2)</f>
        <v/>
      </c>
    </row>
    <row r="55" hidden="1" outlineLevel="1" ht="15.6" customFormat="1" customHeight="1" s="153">
      <c r="A55" s="181" t="n">
        <v>27</v>
      </c>
      <c r="B55" s="185" t="inlineStr">
        <is>
          <t>01.7.20.08-0051</t>
        </is>
      </c>
      <c r="C55" s="202" t="inlineStr">
        <is>
          <t>Ветошь</t>
        </is>
      </c>
      <c r="D55" s="205" t="inlineStr">
        <is>
          <t>кг</t>
        </is>
      </c>
      <c r="E55" s="203" t="n">
        <v>0.003</v>
      </c>
      <c r="F55" s="28" t="n">
        <v>1.82</v>
      </c>
      <c r="G55" s="184">
        <f>ROUND(F55*E55,2)</f>
        <v/>
      </c>
      <c r="H55" s="24">
        <f>G55/G57</f>
        <v/>
      </c>
      <c r="I55" s="184">
        <f>ROUND(F55*Прил.10!$D$12,2)</f>
        <v/>
      </c>
      <c r="J55" s="184">
        <f>ROUND(I55*E55,2)</f>
        <v/>
      </c>
    </row>
    <row r="56" collapsed="1" ht="15.6" customFormat="1" customHeight="1" s="153">
      <c r="A56" s="181" t="n"/>
      <c r="B56" s="181" t="inlineStr">
        <is>
          <t>Итого прочие Материалы</t>
        </is>
      </c>
      <c r="C56" s="208" t="n"/>
      <c r="D56" s="208" t="n"/>
      <c r="E56" s="208" t="n"/>
      <c r="F56" s="209" t="n"/>
      <c r="G56" s="184">
        <f>SUM(G49:G55)</f>
        <v/>
      </c>
      <c r="H56" s="24">
        <f>SUM(H49:H55)</f>
        <v/>
      </c>
      <c r="I56" s="184" t="n"/>
      <c r="J56" s="184">
        <f>SUM(J49:J55)</f>
        <v/>
      </c>
    </row>
    <row r="57" ht="15.6" customFormat="1" customHeight="1" s="153">
      <c r="A57" s="181" t="n"/>
      <c r="B57" s="181" t="inlineStr">
        <is>
          <t>Итого по разделу "Материалы"</t>
        </is>
      </c>
      <c r="C57" s="208" t="n"/>
      <c r="D57" s="208" t="n"/>
      <c r="E57" s="208" t="n"/>
      <c r="F57" s="209" t="n"/>
      <c r="G57" s="184">
        <f>G48+G56</f>
        <v/>
      </c>
      <c r="H57" s="24">
        <f>H48+H56</f>
        <v/>
      </c>
      <c r="I57" s="184" t="n"/>
      <c r="J57" s="184">
        <f>J48+J56</f>
        <v/>
      </c>
    </row>
    <row r="58" ht="15.6" customFormat="1" customHeight="1" s="153">
      <c r="A58" s="182" t="n"/>
      <c r="B58" s="205" t="n"/>
      <c r="C58" s="202" t="inlineStr">
        <is>
          <t>ИТОГО ПО РМ</t>
        </is>
      </c>
      <c r="D58" s="205" t="n"/>
      <c r="E58" s="205" t="n"/>
      <c r="F58" s="204" t="n"/>
      <c r="G58" s="204">
        <f>+G14+G36+G57</f>
        <v/>
      </c>
      <c r="H58" s="34" t="n"/>
      <c r="I58" s="184" t="n"/>
      <c r="J58" s="204">
        <f>+J14+J36+J57</f>
        <v/>
      </c>
    </row>
    <row r="59" ht="15.6" customFormat="1" customHeight="1" s="153">
      <c r="A59" s="182" t="n"/>
      <c r="B59" s="205" t="n"/>
      <c r="C59" s="202" t="inlineStr">
        <is>
          <t>Накладные расходы</t>
        </is>
      </c>
      <c r="D59" s="37" t="n">
        <v>1.6229125552227</v>
      </c>
      <c r="E59" s="205" t="n"/>
      <c r="F59" s="204" t="n"/>
      <c r="G59" s="204">
        <f>(G14+G16)*D59</f>
        <v/>
      </c>
      <c r="H59" s="34" t="n"/>
      <c r="I59" s="184" t="n"/>
      <c r="J59" s="184">
        <f>(J14+J16)*D59</f>
        <v/>
      </c>
    </row>
    <row r="60" ht="15.6" customFormat="1" customHeight="1" s="153">
      <c r="A60" s="182" t="n"/>
      <c r="B60" s="205" t="n"/>
      <c r="C60" s="202" t="inlineStr">
        <is>
          <t>Сметная прибыль</t>
        </is>
      </c>
      <c r="D60" s="37" t="n">
        <v>0.7506386303757701</v>
      </c>
      <c r="E60" s="205" t="n"/>
      <c r="F60" s="204" t="n"/>
      <c r="G60" s="204">
        <f>(G14+G16)*D60</f>
        <v/>
      </c>
      <c r="H60" s="34" t="n"/>
      <c r="I60" s="184" t="n"/>
      <c r="J60" s="184">
        <f>(J14+J16)*D60</f>
        <v/>
      </c>
    </row>
    <row r="61" ht="15.6" customFormat="1" customHeight="1" s="153">
      <c r="A61" s="182" t="n"/>
      <c r="B61" s="205" t="n"/>
      <c r="C61" s="202" t="inlineStr">
        <is>
          <t>Итого СМР (с НР и СП)</t>
        </is>
      </c>
      <c r="D61" s="205" t="n"/>
      <c r="E61" s="205" t="n"/>
      <c r="F61" s="204" t="n"/>
      <c r="G61" s="204">
        <f>G58+G59+G60</f>
        <v/>
      </c>
      <c r="H61" s="34" t="n"/>
      <c r="I61" s="184" t="n"/>
      <c r="J61" s="204">
        <f>J58+J59+J60</f>
        <v/>
      </c>
    </row>
    <row r="62" ht="15.6" customFormat="1" customHeight="1" s="153">
      <c r="A62" s="182" t="n"/>
      <c r="B62" s="205" t="n"/>
      <c r="C62" s="202" t="inlineStr">
        <is>
          <t>ВСЕГО СМР + ОБОРУДОВАНИЕ</t>
        </is>
      </c>
      <c r="D62" s="205" t="n"/>
      <c r="E62" s="205" t="n"/>
      <c r="F62" s="204" t="n"/>
      <c r="G62" s="204">
        <f>G61</f>
        <v/>
      </c>
      <c r="H62" s="34" t="n"/>
      <c r="I62" s="184" t="n"/>
      <c r="J62" s="184">
        <f>J61</f>
        <v/>
      </c>
    </row>
    <row r="63" ht="15.6" customFormat="1" customHeight="1" s="153">
      <c r="A63" s="182" t="n"/>
      <c r="B63" s="205" t="n"/>
      <c r="C63" s="202" t="inlineStr">
        <is>
          <t>ИТОГО ПОКАЗАТЕЛЬ НА ЕД. ИЗМ.</t>
        </is>
      </c>
      <c r="D63" s="205" t="inlineStr">
        <is>
          <t>км</t>
        </is>
      </c>
      <c r="E63" s="205" t="n">
        <v>0.025</v>
      </c>
      <c r="F63" s="204" t="n"/>
      <c r="G63" s="204">
        <f>G62/E63</f>
        <v/>
      </c>
      <c r="H63" s="34" t="n"/>
      <c r="I63" s="184" t="n"/>
      <c r="J63" s="204">
        <f>J62/E63</f>
        <v/>
      </c>
    </row>
    <row r="64" ht="15.6" customFormat="1" customHeight="1" s="153">
      <c r="A64" s="153" t="n"/>
      <c r="B64" s="153" t="n"/>
      <c r="E64" s="153" t="n"/>
      <c r="F64" s="67" t="n"/>
      <c r="G64" s="67" t="n"/>
      <c r="I64" s="67" t="n"/>
      <c r="J64" s="67" t="n"/>
    </row>
    <row r="65" ht="15.6" customFormat="1" customHeight="1" s="153">
      <c r="A65" s="153" t="inlineStr">
        <is>
          <t>Составил ______________________        М.С. Колотиевская</t>
        </is>
      </c>
      <c r="B65" s="153" t="n"/>
      <c r="E65" s="153" t="n"/>
      <c r="F65" s="67" t="n"/>
      <c r="G65" s="67" t="n"/>
      <c r="I65" s="67" t="n"/>
      <c r="J65" s="67" t="n"/>
    </row>
    <row r="66" ht="15.6" customFormat="1" customHeight="1" s="153">
      <c r="A66" s="86" t="inlineStr">
        <is>
          <t xml:space="preserve">                         (подпись, инициалы, фамилия)</t>
        </is>
      </c>
      <c r="B66" s="153" t="n"/>
      <c r="E66" s="153" t="n"/>
      <c r="F66" s="67" t="n"/>
      <c r="G66" s="67" t="n"/>
      <c r="I66" s="67" t="n"/>
      <c r="J66" s="67" t="n"/>
    </row>
    <row r="67" ht="15.6" customFormat="1" customHeight="1" s="153">
      <c r="A67" s="153" t="n"/>
      <c r="B67" s="153" t="n"/>
      <c r="E67" s="153" t="n"/>
      <c r="F67" s="67" t="n"/>
      <c r="G67" s="67" t="n"/>
      <c r="I67" s="67" t="n"/>
      <c r="J67" s="67" t="n"/>
    </row>
    <row r="68" ht="15.6" customFormat="1" customHeight="1" s="153">
      <c r="A68" s="153" t="inlineStr">
        <is>
          <t>Проверил ______________________      А.В. Костянецкая</t>
        </is>
      </c>
      <c r="B68" s="153" t="n"/>
      <c r="E68" s="153" t="n"/>
      <c r="F68" s="67" t="n"/>
      <c r="G68" s="67" t="n"/>
      <c r="I68" s="67" t="n"/>
      <c r="J68" s="67" t="n"/>
    </row>
    <row r="69" ht="15.6" customFormat="1" customHeight="1" s="153">
      <c r="A69" s="86" t="inlineStr">
        <is>
          <t xml:space="preserve">                        (подпись, инициалы, фамилия)</t>
        </is>
      </c>
      <c r="B69" s="153" t="n"/>
      <c r="E69" s="153" t="n"/>
      <c r="F69" s="67" t="n"/>
      <c r="G69" s="67" t="n"/>
      <c r="I69" s="67" t="n"/>
      <c r="J69" s="67" t="n"/>
    </row>
    <row r="70" ht="15.6" customFormat="1" customHeight="1" s="153">
      <c r="A70" s="153" t="n"/>
      <c r="B70" s="153" t="n"/>
      <c r="E70" s="153" t="n"/>
      <c r="F70" s="67" t="n"/>
      <c r="G70" s="67" t="n"/>
      <c r="I70" s="67" t="n"/>
      <c r="J70" s="67" t="n"/>
    </row>
  </sheetData>
  <mergeCells count="26">
    <mergeCell ref="H9:H10"/>
    <mergeCell ref="B15:H15"/>
    <mergeCell ref="H2:J2"/>
    <mergeCell ref="B56:F56"/>
    <mergeCell ref="B21:F21"/>
    <mergeCell ref="C9:C10"/>
    <mergeCell ref="E9:E10"/>
    <mergeCell ref="A7:H7"/>
    <mergeCell ref="B48:F48"/>
    <mergeCell ref="B57:F57"/>
    <mergeCell ref="B9:B10"/>
    <mergeCell ref="D9:D10"/>
    <mergeCell ref="B18:H18"/>
    <mergeCell ref="B43:H43"/>
    <mergeCell ref="B12:H12"/>
    <mergeCell ref="F9:G9"/>
    <mergeCell ref="A4:H4"/>
    <mergeCell ref="B17:H17"/>
    <mergeCell ref="A9:A10"/>
    <mergeCell ref="B44:H44"/>
    <mergeCell ref="A6:C6"/>
    <mergeCell ref="B38:H38"/>
    <mergeCell ref="B36:F36"/>
    <mergeCell ref="B37:H37"/>
    <mergeCell ref="I9:J9"/>
    <mergeCell ref="B35:F35"/>
  </mergeCells>
  <conditionalFormatting sqref="E13:E36">
    <cfRule type="expression" priority="1" dxfId="0" stopIfTrue="1">
      <formula>E13&gt;=1/10000</formula>
    </cfRule>
  </conditionalFormatting>
  <conditionalFormatting sqref="E43:E70">
    <cfRule type="expression" priority="2" dxfId="0" stopIfTrue="1">
      <formula>E13&gt;=1/10000</formula>
    </cfRule>
  </conditionalFormatting>
  <conditionalFormatting sqref="E37:E42">
    <cfRule type="expression" priority="3" dxfId="0" stopIfTrue="1">
      <formula>E37&gt;=1/10000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7" sqref="C17"/>
    </sheetView>
  </sheetViews>
  <sheetFormatPr baseColWidth="8" defaultColWidth="9.140625" defaultRowHeight="15"/>
  <cols>
    <col width="5.7109375" customWidth="1" style="151" min="1" max="1"/>
    <col width="14.85546875" customWidth="1" style="151" min="2" max="2"/>
    <col width="39.140625" customWidth="1" style="151" min="3" max="3"/>
    <col width="8.28515625" customWidth="1" style="151" min="4" max="4"/>
    <col width="13.5703125" customWidth="1" style="151" min="5" max="5"/>
    <col width="12.42578125" customWidth="1" style="151" min="6" max="6"/>
    <col width="14.140625" customWidth="1" style="151" min="7" max="7"/>
    <col width="9.140625" customWidth="1" style="151" min="8" max="8"/>
  </cols>
  <sheetData>
    <row r="1" ht="15.6" customHeight="1" s="151">
      <c r="A1" s="196" t="inlineStr">
        <is>
          <t>Приложение №6</t>
        </is>
      </c>
    </row>
    <row r="2" ht="21.75" customHeight="1" s="151">
      <c r="A2" s="196" t="n"/>
      <c r="B2" s="196" t="n"/>
      <c r="C2" s="196" t="n"/>
      <c r="D2" s="196" t="n"/>
      <c r="E2" s="196" t="n"/>
      <c r="F2" s="196" t="n"/>
      <c r="G2" s="196" t="n"/>
    </row>
    <row r="3" ht="15.6" customHeight="1" s="151">
      <c r="A3" s="178" t="inlineStr">
        <is>
          <t>Расчет стоимости оборудования</t>
        </is>
      </c>
    </row>
    <row r="4" ht="25.5" customHeight="1" s="151">
      <c r="A4" s="195" t="inlineStr">
        <is>
          <t>Наименование разрабатываемого показателя УНЦ —   Н1-01-3___3 трубы 110 до 400 м_ФСЭМ</t>
        </is>
      </c>
    </row>
    <row r="5" ht="15.6" customHeight="1" s="151">
      <c r="A5" s="153" t="n"/>
      <c r="B5" s="153" t="n"/>
      <c r="C5" s="153" t="n"/>
      <c r="D5" s="153" t="n"/>
      <c r="E5" s="153" t="n"/>
      <c r="F5" s="153" t="n"/>
      <c r="G5" s="153" t="n"/>
    </row>
    <row r="6" ht="30" customFormat="1" customHeight="1" s="153">
      <c r="A6" s="205" t="inlineStr">
        <is>
          <t>№ пп.</t>
        </is>
      </c>
      <c r="B6" s="205" t="inlineStr">
        <is>
          <t>Код ресурса</t>
        </is>
      </c>
      <c r="C6" s="205" t="inlineStr">
        <is>
          <t>Наименование</t>
        </is>
      </c>
      <c r="D6" s="205" t="inlineStr">
        <is>
          <t>Ед. изм.</t>
        </is>
      </c>
      <c r="E6" s="179" t="inlineStr">
        <is>
          <t>Кол-во единиц по проектным данным</t>
        </is>
      </c>
      <c r="F6" s="205" t="inlineStr">
        <is>
          <t>Сметная стоимость в ценах на 01.01.2000 (руб.)</t>
        </is>
      </c>
      <c r="G6" s="209" t="n"/>
    </row>
    <row r="7" ht="15.6" customFormat="1" customHeight="1" s="153">
      <c r="A7" s="211" t="n"/>
      <c r="B7" s="211" t="n"/>
      <c r="C7" s="211" t="n"/>
      <c r="D7" s="211" t="n"/>
      <c r="E7" s="211" t="n"/>
      <c r="F7" s="179" t="inlineStr">
        <is>
          <t>на ед. изм.</t>
        </is>
      </c>
      <c r="G7" s="179" t="inlineStr">
        <is>
          <t>общая</t>
        </is>
      </c>
    </row>
    <row r="8" ht="15.6" customFormat="1" customHeight="1" s="153">
      <c r="A8" s="179" t="n">
        <v>1</v>
      </c>
      <c r="B8" s="179" t="n">
        <v>2</v>
      </c>
      <c r="C8" s="179" t="n">
        <v>3</v>
      </c>
      <c r="D8" s="179" t="n">
        <v>4</v>
      </c>
      <c r="E8" s="179" t="n">
        <v>5</v>
      </c>
      <c r="F8" s="179" t="n">
        <v>6</v>
      </c>
      <c r="G8" s="179" t="n">
        <v>7</v>
      </c>
    </row>
    <row r="9" ht="15.6" customFormat="1" customHeight="1" s="153">
      <c r="A9" s="182" t="n"/>
      <c r="B9" s="202" t="inlineStr">
        <is>
          <t>ИНЖЕНЕРНОЕ ОБОРУДОВАНИЕ</t>
        </is>
      </c>
      <c r="C9" s="208" t="n"/>
      <c r="D9" s="208" t="n"/>
      <c r="E9" s="208" t="n"/>
      <c r="F9" s="208" t="n"/>
      <c r="G9" s="209" t="n"/>
    </row>
    <row r="10" ht="31.15" customFormat="1" customHeight="1" s="153">
      <c r="A10" s="205" t="n"/>
      <c r="B10" s="91" t="n"/>
      <c r="C10" s="202" t="inlineStr">
        <is>
          <t>ИТОГО ИНЖЕНЕРНОЕ ОБОРУДОВАНИЕ</t>
        </is>
      </c>
      <c r="D10" s="91" t="n"/>
      <c r="E10" s="92" t="n"/>
      <c r="F10" s="204" t="n"/>
      <c r="G10" s="204" t="n">
        <v>0</v>
      </c>
    </row>
    <row r="11" ht="15.6" customFormat="1" customHeight="1" s="153">
      <c r="A11" s="205" t="n"/>
      <c r="B11" s="202" t="inlineStr">
        <is>
          <t>ТЕХНОЛОГИЧЕСКОЕ ОБОРУДОВАНИЕ</t>
        </is>
      </c>
      <c r="C11" s="208" t="n"/>
      <c r="D11" s="208" t="n"/>
      <c r="E11" s="208" t="n"/>
      <c r="F11" s="208" t="n"/>
      <c r="G11" s="209" t="n"/>
    </row>
    <row r="12" ht="31.15" customFormat="1" customHeight="1" s="153">
      <c r="A12" s="205" t="n"/>
      <c r="B12" s="202" t="n"/>
      <c r="C12" s="202" t="inlineStr">
        <is>
          <t>ИТОГО ТЕХНОЛОГИЧЕСКОЕ ОБОРУДОВАНИЕ</t>
        </is>
      </c>
      <c r="D12" s="202" t="n"/>
      <c r="E12" s="203" t="n"/>
      <c r="F12" s="204" t="n"/>
      <c r="G12" s="204" t="n">
        <v>0</v>
      </c>
    </row>
    <row r="13" ht="15.6" customFormat="1" customHeight="1" s="153">
      <c r="A13" s="205" t="n"/>
      <c r="B13" s="202" t="n"/>
      <c r="C13" s="202" t="inlineStr">
        <is>
          <t>Итого по разделу "Оборудование"</t>
        </is>
      </c>
      <c r="D13" s="202" t="n"/>
      <c r="E13" s="203" t="n"/>
      <c r="F13" s="204" t="n"/>
      <c r="G13" s="204">
        <f>G12</f>
        <v/>
      </c>
    </row>
    <row r="14" ht="15.6" customFormat="1" customHeight="1" s="153">
      <c r="A14" s="153" t="n"/>
      <c r="B14" s="153" t="n"/>
    </row>
    <row r="15" ht="15.6" customFormat="1" customHeight="1" s="153">
      <c r="A15" s="153" t="inlineStr">
        <is>
          <t>Составил ______________________        М.С. Колотиевская</t>
        </is>
      </c>
      <c r="B15" s="153" t="n"/>
      <c r="C15" s="153" t="n"/>
    </row>
    <row r="16" ht="15.6" customFormat="1" customHeight="1" s="153">
      <c r="A16" s="86" t="inlineStr">
        <is>
          <t xml:space="preserve">                         (подпись, инициалы, фамилия)</t>
        </is>
      </c>
      <c r="B16" s="153" t="n"/>
      <c r="C16" s="153" t="n"/>
    </row>
    <row r="17" ht="15.6" customFormat="1" customHeight="1" s="153">
      <c r="A17" s="153" t="n"/>
      <c r="B17" s="153" t="n"/>
      <c r="C17" s="153" t="n"/>
    </row>
    <row r="18" ht="15.6" customFormat="1" customHeight="1" s="153">
      <c r="A18" s="153" t="inlineStr">
        <is>
          <t>Проверил ______________________      А.В. Костянецкая</t>
        </is>
      </c>
      <c r="B18" s="153" t="n"/>
      <c r="C18" s="153" t="n"/>
    </row>
    <row r="19" ht="15.6" customFormat="1" customHeight="1" s="153">
      <c r="A19" s="86" t="inlineStr">
        <is>
          <t xml:space="preserve">                        (подпись, инициалы, фамилия)</t>
        </is>
      </c>
      <c r="B19" s="153" t="n"/>
      <c r="C19" s="153" t="n"/>
    </row>
    <row r="20" ht="15.6" customFormat="1" customHeight="1" s="153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2" sqref="A12:B17"/>
    </sheetView>
  </sheetViews>
  <sheetFormatPr baseColWidth="8" defaultRowHeight="15"/>
  <cols>
    <col width="12.7109375" customWidth="1" style="151" min="1" max="1"/>
    <col width="22.42578125" customWidth="1" style="151" min="2" max="2"/>
    <col width="37.140625" customWidth="1" style="151" min="3" max="3"/>
    <col width="49" customWidth="1" style="151" min="4" max="4"/>
    <col width="9.140625" customWidth="1" style="151" min="5" max="5"/>
  </cols>
  <sheetData>
    <row r="1" ht="15.75" customHeight="1" s="151">
      <c r="A1" s="153" t="n"/>
      <c r="B1" s="153" t="n"/>
      <c r="C1" s="153" t="n"/>
      <c r="D1" s="153" t="inlineStr">
        <is>
          <t>Приложение №7</t>
        </is>
      </c>
    </row>
    <row r="2" ht="15.75" customHeight="1" s="151">
      <c r="A2" s="153" t="n"/>
      <c r="B2" s="153" t="n"/>
      <c r="C2" s="153" t="n"/>
      <c r="D2" s="153" t="n"/>
    </row>
    <row r="3" ht="15.75" customHeight="1" s="151">
      <c r="A3" s="153" t="n"/>
      <c r="B3" s="121" t="inlineStr">
        <is>
          <t>Расчет показателя УНЦ</t>
        </is>
      </c>
      <c r="C3" s="153" t="n"/>
      <c r="D3" s="153" t="n"/>
    </row>
    <row r="4" ht="15.75" customHeight="1" s="151">
      <c r="A4" s="153" t="n"/>
      <c r="B4" s="153" t="n"/>
      <c r="C4" s="153" t="n"/>
      <c r="D4" s="153" t="n"/>
    </row>
    <row r="5" ht="15.75" customHeight="1" s="151">
      <c r="A5" s="195" t="inlineStr">
        <is>
          <t xml:space="preserve">Наименование разрабатываемого показателя УНЦ - </t>
        </is>
      </c>
      <c r="D5" s="195">
        <f>'Прил.5 Расчет СМР и ОБ'!D6:J6</f>
        <v/>
      </c>
    </row>
    <row r="6" ht="15.75" customHeight="1" s="151">
      <c r="A6" s="153" t="inlineStr">
        <is>
          <t>Единица измерения  — 1 км</t>
        </is>
      </c>
      <c r="B6" s="153" t="n"/>
      <c r="C6" s="153" t="n"/>
      <c r="D6" s="153" t="n"/>
    </row>
    <row r="7" ht="15.75" customHeight="1" s="151">
      <c r="A7" s="153" t="n"/>
      <c r="B7" s="153" t="n"/>
      <c r="C7" s="153" t="n"/>
      <c r="D7" s="153" t="n"/>
    </row>
    <row r="8">
      <c r="A8" s="179" t="inlineStr">
        <is>
          <t>Код показателя</t>
        </is>
      </c>
      <c r="B8" s="179" t="inlineStr">
        <is>
          <t>Наименование показателя</t>
        </is>
      </c>
      <c r="C8" s="179" t="inlineStr">
        <is>
          <t>Наименование РМ, входящих в состав показателя</t>
        </is>
      </c>
      <c r="D8" s="179" t="inlineStr">
        <is>
          <t>Норматив цены на 01.01.2023, тыс.руб.</t>
        </is>
      </c>
    </row>
    <row r="9">
      <c r="A9" s="211" t="n"/>
      <c r="B9" s="211" t="n"/>
      <c r="C9" s="211" t="n"/>
      <c r="D9" s="211" t="n"/>
    </row>
    <row r="10" ht="15.75" customHeight="1" s="151">
      <c r="A10" s="179" t="n">
        <v>1</v>
      </c>
      <c r="B10" s="179" t="n">
        <v>2</v>
      </c>
      <c r="C10" s="179" t="n">
        <v>3</v>
      </c>
      <c r="D10" s="179" t="n">
        <v>4</v>
      </c>
    </row>
    <row r="11" ht="63" customHeight="1" s="151">
      <c r="A11" s="179" t="inlineStr">
        <is>
          <t>Н1-01-3</t>
        </is>
      </c>
      <c r="B11" s="179" t="inlineStr">
        <is>
          <t>УНЦ выполнения специального перехода кабельной линии методом ГНБ</t>
        </is>
      </c>
      <c r="C11" s="125">
        <f>D5</f>
        <v/>
      </c>
      <c r="D11" s="159">
        <f>'Прил.4 РМ'!C41/1000</f>
        <v/>
      </c>
    </row>
    <row r="12" ht="15.75" customHeight="1" s="151">
      <c r="A12" s="153" t="n"/>
      <c r="B12" s="153" t="n"/>
    </row>
    <row r="13" ht="15.75" customHeight="1" s="151">
      <c r="A13" s="153" t="inlineStr">
        <is>
          <t>Составил ______________________        М.С. Колотиевская</t>
        </is>
      </c>
      <c r="B13" s="153" t="n"/>
      <c r="C13" s="127" t="n"/>
      <c r="D13" s="128" t="n"/>
    </row>
    <row r="14" ht="15.75" customHeight="1" s="151">
      <c r="A14" s="86" t="inlineStr">
        <is>
          <t xml:space="preserve">                         (подпись, инициалы, фамилия)</t>
        </is>
      </c>
      <c r="B14" s="153" t="n"/>
      <c r="C14" s="127" t="n"/>
      <c r="D14" s="128" t="n"/>
    </row>
    <row r="15" ht="15.75" customHeight="1" s="151">
      <c r="A15" s="153" t="n"/>
      <c r="B15" s="153" t="n"/>
      <c r="C15" s="127" t="n"/>
      <c r="D15" s="128" t="n"/>
    </row>
    <row r="16" ht="15.75" customHeight="1" s="151">
      <c r="A16" s="153" t="inlineStr">
        <is>
          <t>Проверил ______________________      А.В. Костянецкая</t>
        </is>
      </c>
      <c r="B16" s="153" t="n"/>
      <c r="C16" s="127" t="n"/>
      <c r="D16" s="128" t="n"/>
    </row>
    <row r="17" ht="20.25" customHeight="1" s="151">
      <c r="A17" s="86" t="inlineStr">
        <is>
          <t xml:space="preserve">                        (подпись, инициалы, фамилия)</t>
        </is>
      </c>
      <c r="B17" s="153" t="n"/>
      <c r="C17" s="127" t="n"/>
      <c r="D17" s="12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D19" sqref="D19"/>
    </sheetView>
  </sheetViews>
  <sheetFormatPr baseColWidth="8" defaultColWidth="9.140625" defaultRowHeight="15"/>
  <cols>
    <col width="9.140625" customWidth="1" style="151" min="1" max="1"/>
    <col width="40.7109375" customWidth="1" style="151" min="2" max="2"/>
    <col width="37" customWidth="1" style="151" min="3" max="3"/>
    <col width="32" customWidth="1" style="151" min="4" max="4"/>
    <col width="9.140625" customWidth="1" style="151" min="5" max="5"/>
  </cols>
  <sheetData>
    <row r="4" ht="15.6" customHeight="1" s="151">
      <c r="B4" s="174" t="inlineStr">
        <is>
          <t>Приложение № 10</t>
        </is>
      </c>
    </row>
    <row r="5" ht="18" customHeight="1" s="151">
      <c r="B5" s="47" t="n"/>
    </row>
    <row r="6" ht="15.6" customHeight="1" s="151">
      <c r="B6" s="178" t="inlineStr">
        <is>
          <t>Используемые индексы изменений сметной стоимости и нормы сопутствующих затрат</t>
        </is>
      </c>
    </row>
    <row r="7" ht="18" customHeight="1" s="151">
      <c r="B7" s="114" t="n"/>
    </row>
    <row r="8" ht="46.9" customFormat="1" customHeight="1" s="153">
      <c r="B8" s="179" t="inlineStr">
        <is>
          <t>Наименование индекса / норм сопутствующих затрат</t>
        </is>
      </c>
      <c r="C8" s="179" t="inlineStr">
        <is>
          <t>Дата применения и обоснование индекса / норм сопутствующих затрат</t>
        </is>
      </c>
      <c r="D8" s="179" t="inlineStr">
        <is>
          <t>Размер индекса / норма сопутствующих затрат</t>
        </is>
      </c>
    </row>
    <row r="9" ht="15.6" customFormat="1" customHeight="1" s="153">
      <c r="B9" s="179" t="n">
        <v>1</v>
      </c>
      <c r="C9" s="179" t="n">
        <v>2</v>
      </c>
      <c r="D9" s="179" t="n">
        <v>3</v>
      </c>
    </row>
    <row r="10" ht="45" customFormat="1" customHeight="1" s="153">
      <c r="B10" s="179" t="inlineStr">
        <is>
          <t xml:space="preserve">Индекс изменения сметной стоимости на 1 квартал 2023 года. ОЗП </t>
        </is>
      </c>
      <c r="C10" s="179" t="inlineStr">
        <is>
          <t>Письмо Минстроя России от 30.03.2023г. №17106-ИФ/09  прил.1</t>
        </is>
      </c>
      <c r="D10" s="179" t="n">
        <v>44.29</v>
      </c>
    </row>
    <row r="11" ht="29.25" customFormat="1" customHeight="1" s="153">
      <c r="B11" s="179" t="inlineStr">
        <is>
          <t>Индекс изменения сметной стоимости на 1 квартал 2023 года. ЭМ</t>
        </is>
      </c>
      <c r="C11" s="179" t="inlineStr">
        <is>
          <t>Письмо Минстроя России от 30.03.2023г. №17106-ИФ/09  прил.1</t>
        </is>
      </c>
      <c r="D11" s="179" t="n">
        <v>10.84</v>
      </c>
    </row>
    <row r="12" ht="29.25" customFormat="1" customHeight="1" s="153">
      <c r="B12" s="179" t="inlineStr">
        <is>
          <t>Индекс изменения сметной стоимости на 1 квартал 2023 года. МАТ</t>
        </is>
      </c>
      <c r="C12" s="179" t="inlineStr">
        <is>
          <t>Письмо Минстроя России от 30.03.2023г. №17106-ИФ/09  прил.1</t>
        </is>
      </c>
      <c r="D12" s="179" t="n">
        <v>5.34</v>
      </c>
    </row>
    <row r="13" ht="30.75" customFormat="1" customHeight="1" s="153">
      <c r="B13" s="179" t="inlineStr">
        <is>
          <t>Индекс изменения сметной стоимости на 1 квартал 2023 года. ОБ</t>
        </is>
      </c>
      <c r="C13" s="85" t="inlineStr">
        <is>
          <t>Письмо Минстроя России от 23.02.2023г. №9791-ИФ/09 прил.6</t>
        </is>
      </c>
      <c r="D13" s="179" t="n">
        <v>6.26</v>
      </c>
    </row>
    <row r="14" ht="89.25" customFormat="1" customHeight="1" s="153">
      <c r="B14" s="179" t="inlineStr">
        <is>
          <t>Временные здания и сооружения</t>
        </is>
      </c>
      <c r="C14" s="17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34" t="n">
        <v>0.039</v>
      </c>
    </row>
    <row r="15" ht="78" customFormat="1" customHeight="1" s="153">
      <c r="B15" s="179" t="inlineStr">
        <is>
          <t>Дополнительные затраты при производстве строительно-монтажных работ в зимнее время</t>
        </is>
      </c>
      <c r="C15" s="17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34" t="n">
        <v>0.021</v>
      </c>
      <c r="E15" s="41" t="n"/>
    </row>
    <row r="16" ht="34.5" customFormat="1" customHeight="1" s="153">
      <c r="B16" s="179" t="inlineStr">
        <is>
          <t>Пусконаладочные работы</t>
        </is>
      </c>
      <c r="C16" s="179" t="n"/>
      <c r="D16" s="179" t="inlineStr">
        <is>
          <t>Расчет</t>
        </is>
      </c>
    </row>
    <row r="17" ht="31.5" customFormat="1" customHeight="1" s="153">
      <c r="B17" s="179" t="inlineStr">
        <is>
          <t>Строительный контроль</t>
        </is>
      </c>
      <c r="C17" s="179" t="inlineStr">
        <is>
          <t>Постановление Правительства РФ от 21.06.10 г. № 468</t>
        </is>
      </c>
      <c r="D17" s="134" t="n">
        <v>0.0214</v>
      </c>
    </row>
    <row r="18" ht="31.5" customFormat="1" customHeight="1" s="153">
      <c r="B18" s="179" t="inlineStr">
        <is>
          <t>Авторский надзор</t>
        </is>
      </c>
      <c r="C18" s="179" t="inlineStr">
        <is>
          <t>Приказ от 4.08.2020 № 421/пр п.173</t>
        </is>
      </c>
      <c r="D18" s="134" t="n">
        <v>0.002</v>
      </c>
    </row>
    <row r="19" ht="24" customFormat="1" customHeight="1" s="153">
      <c r="B19" s="179" t="inlineStr">
        <is>
          <t>Непредвиденные расходы</t>
        </is>
      </c>
      <c r="C19" s="179" t="inlineStr">
        <is>
          <t>Приказ от 4.08.2020 № 421/пр п.179</t>
        </is>
      </c>
      <c r="D19" s="134" t="n">
        <v>0.03</v>
      </c>
    </row>
    <row r="20" ht="15.6" customFormat="1" customHeight="1" s="153">
      <c r="B20" s="173" t="n"/>
    </row>
    <row r="21" ht="15.6" customFormat="1" customHeight="1" s="153">
      <c r="B21" s="173" t="n"/>
    </row>
    <row r="22" ht="15.6" customFormat="1" customHeight="1" s="153">
      <c r="B22" s="173" t="n"/>
    </row>
    <row r="23" ht="15.6" customFormat="1" customHeight="1" s="153">
      <c r="B23" s="173" t="n"/>
    </row>
    <row r="24" ht="15.6" customFormat="1" customHeight="1" s="153"/>
    <row r="25" ht="15.6" customFormat="1" customHeight="1" s="153">
      <c r="B25" s="153" t="n"/>
      <c r="C25" s="153" t="n"/>
    </row>
    <row r="26" ht="15.6" customFormat="1" customHeight="1" s="153">
      <c r="B26" s="153" t="inlineStr">
        <is>
          <t>Составил ______________________        М.С. Колотиевская</t>
        </is>
      </c>
      <c r="C26" s="153" t="n"/>
    </row>
    <row r="27" ht="15.6" customFormat="1" customHeight="1" s="153">
      <c r="B27" s="86" t="inlineStr">
        <is>
          <t xml:space="preserve">                         (подпись, инициалы, фамилия)</t>
        </is>
      </c>
      <c r="C27" s="153" t="n"/>
    </row>
    <row r="28" ht="15.6" customFormat="1" customHeight="1" s="153">
      <c r="B28" s="153" t="n"/>
      <c r="C28" s="153" t="n"/>
    </row>
    <row r="29" ht="15.6" customFormat="1" customHeight="1" s="153">
      <c r="B29" s="153" t="inlineStr">
        <is>
          <t>Проверил ______________________      А.В. Костянецкая</t>
        </is>
      </c>
      <c r="C29" s="153" t="n"/>
    </row>
    <row r="30" ht="15.6" customFormat="1" customHeight="1" s="153">
      <c r="B30" s="86" t="inlineStr">
        <is>
          <t xml:space="preserve">                        (подпись, инициалы, фамилия)</t>
        </is>
      </c>
      <c r="C30" s="153" t="n"/>
    </row>
    <row r="31" ht="15.6" customFormat="1" customHeight="1" s="153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151" min="2" max="2"/>
    <col width="13" customWidth="1" style="151" min="3" max="3"/>
    <col width="22.85546875" customWidth="1" style="151" min="4" max="4"/>
    <col width="21.5703125" customWidth="1" style="151" min="5" max="5"/>
    <col width="43.85546875" customWidth="1" style="151" min="6" max="6"/>
  </cols>
  <sheetData>
    <row r="1" s="151"/>
    <row r="2" ht="17.25" customHeight="1" s="151">
      <c r="A2" s="178" t="inlineStr">
        <is>
          <t>Расчет размера средств на оплату труда рабочих-строителей в текущем уровне цен (ФОТр.тек.)</t>
        </is>
      </c>
    </row>
    <row r="3" s="151"/>
    <row r="4" ht="18" customHeight="1" s="151">
      <c r="A4" s="152" t="inlineStr">
        <is>
          <t>Составлен в уровне цен на 01.01.2023 г.</t>
        </is>
      </c>
      <c r="B4" s="153" t="n"/>
      <c r="C4" s="153" t="n"/>
      <c r="D4" s="153" t="n"/>
      <c r="E4" s="153" t="n"/>
      <c r="F4" s="153" t="n"/>
      <c r="G4" s="153" t="n"/>
    </row>
    <row r="5" ht="15.75" customHeight="1" s="151">
      <c r="A5" s="154" t="inlineStr">
        <is>
          <t>№ пп.</t>
        </is>
      </c>
      <c r="B5" s="154" t="inlineStr">
        <is>
          <t>Наименование элемента</t>
        </is>
      </c>
      <c r="C5" s="154" t="inlineStr">
        <is>
          <t>Обозначение</t>
        </is>
      </c>
      <c r="D5" s="154" t="inlineStr">
        <is>
          <t>Формула</t>
        </is>
      </c>
      <c r="E5" s="154" t="inlineStr">
        <is>
          <t>Величина элемента</t>
        </is>
      </c>
      <c r="F5" s="154" t="inlineStr">
        <is>
          <t>Наименования обосновывающих документов</t>
        </is>
      </c>
      <c r="G5" s="153" t="n"/>
    </row>
    <row r="6" ht="15.75" customHeight="1" s="151">
      <c r="A6" s="154" t="n">
        <v>1</v>
      </c>
      <c r="B6" s="154" t="n">
        <v>2</v>
      </c>
      <c r="C6" s="154" t="n">
        <v>3</v>
      </c>
      <c r="D6" s="154" t="n">
        <v>4</v>
      </c>
      <c r="E6" s="154" t="n">
        <v>5</v>
      </c>
      <c r="F6" s="154" t="n">
        <v>6</v>
      </c>
      <c r="G6" s="153" t="n"/>
    </row>
    <row r="7" ht="110.25" customHeight="1" s="151">
      <c r="A7" s="155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9" t="inlineStr">
        <is>
          <t>С1ср</t>
        </is>
      </c>
      <c r="D7" s="179" t="inlineStr">
        <is>
          <t>-</t>
        </is>
      </c>
      <c r="E7" s="158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3" t="n"/>
    </row>
    <row r="8" ht="31.5" customHeight="1" s="151">
      <c r="A8" s="155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179" t="inlineStr">
        <is>
          <t>tср</t>
        </is>
      </c>
      <c r="D8" s="179" t="inlineStr">
        <is>
          <t>1973ч/12мес.</t>
        </is>
      </c>
      <c r="E8" s="159">
        <f>1973/12</f>
        <v/>
      </c>
      <c r="F8" s="191" t="inlineStr">
        <is>
          <t>Производственный календарь 2023 год
(40-часов.неделя)</t>
        </is>
      </c>
      <c r="G8" s="162" t="n"/>
    </row>
    <row r="9" ht="15.75" customHeight="1" s="151">
      <c r="A9" s="155" t="inlineStr">
        <is>
          <t>1.3</t>
        </is>
      </c>
      <c r="B9" s="191" t="inlineStr">
        <is>
          <t>Коэффициент увеличения</t>
        </is>
      </c>
      <c r="C9" s="179" t="inlineStr">
        <is>
          <t>Кув</t>
        </is>
      </c>
      <c r="D9" s="179" t="inlineStr">
        <is>
          <t>-</t>
        </is>
      </c>
      <c r="E9" s="159" t="n">
        <v>1</v>
      </c>
      <c r="F9" s="191" t="n"/>
      <c r="G9" s="162" t="n"/>
    </row>
    <row r="10" ht="15.75" customHeight="1" s="151">
      <c r="A10" s="155" t="inlineStr">
        <is>
          <t>1.4</t>
        </is>
      </c>
      <c r="B10" s="191" t="inlineStr">
        <is>
          <t>Средний разряд работ</t>
        </is>
      </c>
      <c r="C10" s="179" t="n"/>
      <c r="D10" s="179" t="n"/>
      <c r="E10" s="163" t="n">
        <v>4.3</v>
      </c>
      <c r="F10" s="191" t="inlineStr">
        <is>
          <t>РТМ</t>
        </is>
      </c>
      <c r="G10" s="162" t="n"/>
    </row>
    <row r="11" ht="78.75" customHeight="1" s="151">
      <c r="A11" s="155" t="inlineStr">
        <is>
          <t>1.5</t>
        </is>
      </c>
      <c r="B11" s="191" t="inlineStr">
        <is>
          <t>Тарифный коэффициент среднего разряда работ</t>
        </is>
      </c>
      <c r="C11" s="179" t="inlineStr">
        <is>
          <t>КТ</t>
        </is>
      </c>
      <c r="D11" s="179" t="inlineStr">
        <is>
          <t>-</t>
        </is>
      </c>
      <c r="E11" s="164" t="n">
        <v>1.4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3" t="n"/>
    </row>
    <row r="12" ht="78.75" customHeight="1" s="151">
      <c r="A12" s="155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179" t="inlineStr">
        <is>
          <t>Кинф</t>
        </is>
      </c>
      <c r="D12" s="179" t="inlineStr">
        <is>
          <t>-</t>
        </is>
      </c>
      <c r="E12" s="166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2" t="n"/>
    </row>
    <row r="13" ht="63" customHeight="1" s="151">
      <c r="A13" s="168" t="inlineStr">
        <is>
          <t>1.7</t>
        </is>
      </c>
      <c r="B13" s="169" t="inlineStr">
        <is>
          <t>Размер средств на оплату труда рабочих-строителей в текущем уровне цен (ФОТр.тек.), руб/чел.-ч</t>
        </is>
      </c>
      <c r="C13" s="206" t="inlineStr">
        <is>
          <t>ФОТр.тек.</t>
        </is>
      </c>
      <c r="D13" s="206" t="inlineStr">
        <is>
          <t>(С1ср/tср*КТ*Т*Кув)*Кинф</t>
        </is>
      </c>
      <c r="E13" s="171">
        <f>((E7*E9/E8)*E11)*E12</f>
        <v/>
      </c>
      <c r="F13" s="1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2023-06-21T13:08:37Z</dcterms:created>
  <dcterms:modified xsi:type="dcterms:W3CDTF">2025-01-24T12:12:23Z</dcterms:modified>
  <cp:lastModifiedBy>REDMIBOOK</cp:lastModifiedBy>
  <cp:lastPrinted>2023-12-01T07:36:02Z</cp:lastPrinted>
</cp:coreProperties>
</file>