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79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'Прил.3'!$A$1:$H$117</definedName>
    <definedName name="_xlnm.Print_Titles" localSheetId="4">'Прил.5 Расчет СМР и ОБ'!$9:$11</definedName>
    <definedName name="_xlnm.Print_Area" localSheetId="4">'Прил.5 Расчет СМР и ОБ'!$A$1:$J$127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#,##0.0"/>
    <numFmt numFmtId="168" formatCode="#,##0.000"/>
    <numFmt numFmtId="169" formatCode="_-* #,##0.00_-;\-* #,##0.00_-;_-* &quot;-&quot;??_-;_-@_-"/>
    <numFmt numFmtId="170" formatCode="_-* #,##0.00\ _₽_-;\-* #,##0.00\ _₽_-;_-* &quot;-&quot;??\ _₽_-;_-@_-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Calibri"/>
      <color rgb="FF000000"/>
      <sz val="12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9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0" fontId="3" fillId="0" borderId="0" pivotButton="0" quotePrefix="0" xfId="0"/>
    <xf numFmtId="0" fontId="3" fillId="0" borderId="1" applyAlignment="1" pivotButton="0" quotePrefix="0" xfId="0">
      <alignment vertical="top"/>
    </xf>
    <xf numFmtId="0" fontId="2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9" fillId="0" borderId="0" pivotButton="0" quotePrefix="0" xfId="0"/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16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justify" vertical="center" wrapText="1"/>
    </xf>
    <xf numFmtId="4" fontId="3" fillId="0" borderId="1" applyAlignment="1" pivotButton="0" quotePrefix="0" xfId="0">
      <alignment horizontal="center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170" fontId="3" fillId="0" borderId="1" applyAlignment="1" pivotButton="0" quotePrefix="0" xfId="0">
      <alignment vertical="center" wrapText="1"/>
    </xf>
    <xf numFmtId="170" fontId="3" fillId="0" borderId="0" pivotButton="0" quotePrefix="0" xfId="0"/>
    <xf numFmtId="170" fontId="5" fillId="0" borderId="3" applyAlignment="1" pivotButton="0" quotePrefix="0" xfId="0">
      <alignment vertical="center" wrapText="1"/>
    </xf>
    <xf numFmtId="170" fontId="5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4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170" fontId="3" fillId="0" borderId="1" applyAlignment="1" pivotButton="0" quotePrefix="0" xfId="0">
      <alignment vertical="center" wrapText="1"/>
    </xf>
    <xf numFmtId="170" fontId="3" fillId="0" borderId="0" pivotButton="0" quotePrefix="0" xfId="0"/>
    <xf numFmtId="170" fontId="5" fillId="0" borderId="3" applyAlignment="1" pivotButton="0" quotePrefix="0" xfId="0">
      <alignment vertical="center" wrapText="1"/>
    </xf>
    <xf numFmtId="170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9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F32"/>
  <sheetViews>
    <sheetView view="pageBreakPreview" topLeftCell="A22" zoomScale="60" zoomScaleNormal="100" workbookViewId="0">
      <selection activeCell="B26" sqref="B26:D31"/>
    </sheetView>
  </sheetViews>
  <sheetFormatPr baseColWidth="8" defaultRowHeight="15"/>
  <cols>
    <col width="36.85546875" customWidth="1" style="128" min="3" max="3"/>
    <col width="39.42578125" customWidth="1" style="128" min="4" max="4"/>
  </cols>
  <sheetData>
    <row r="3" ht="15.6" customHeight="1" s="128">
      <c r="B3" s="167" t="inlineStr">
        <is>
          <t>Приложение № 1</t>
        </is>
      </c>
    </row>
    <row r="4" ht="17.45" customHeight="1" s="128">
      <c r="B4" s="168" t="inlineStr">
        <is>
          <t>Сравнительная таблица отбора объекта-представителя</t>
        </is>
      </c>
    </row>
    <row r="5" ht="81" customHeight="1" s="128">
      <c r="B5" s="1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128">
      <c r="B6" s="81" t="n"/>
      <c r="C6" s="81" t="n"/>
      <c r="D6" s="81" t="n"/>
    </row>
    <row r="7" ht="15.6" customHeight="1" s="128">
      <c r="B7" s="166" t="inlineStr">
        <is>
          <t>Наименование разрабатываемого показателя УНЦ — Н2-02 БРТМ ж.б.лотки</t>
        </is>
      </c>
    </row>
    <row r="8" ht="15.6" customHeight="1" s="128">
      <c r="B8" s="166" t="inlineStr">
        <is>
          <t>Сопоставимый уровень цен: 3 кв. 2016</t>
        </is>
      </c>
    </row>
    <row r="9" ht="15.6" customHeight="1" s="128">
      <c r="B9" s="166" t="inlineStr">
        <is>
          <t>Единица измерения  —  м</t>
        </is>
      </c>
    </row>
    <row r="10" ht="18" customHeight="1" s="128">
      <c r="B10" s="150" t="n"/>
    </row>
    <row r="11" ht="15.6" customHeight="1" s="128">
      <c r="B11" s="172" t="inlineStr">
        <is>
          <t>№ п/п</t>
        </is>
      </c>
      <c r="C11" s="172" t="inlineStr">
        <is>
          <t>Параметр</t>
        </is>
      </c>
      <c r="D11" s="172" t="inlineStr">
        <is>
          <t>Объект-представитель</t>
        </is>
      </c>
    </row>
    <row r="12" ht="46.9" customHeight="1" s="128">
      <c r="B12" s="172" t="n">
        <v>1</v>
      </c>
      <c r="C12" s="190" t="inlineStr">
        <is>
          <t>Наименование объекта-представителя</t>
        </is>
      </c>
      <c r="D12" s="172" t="inlineStr">
        <is>
          <t xml:space="preserve"> Строительство КРУЭ на ПС 220/110/10/6 кВ Бутырки
Ж.б кабельные лотки</t>
        </is>
      </c>
    </row>
    <row r="13" ht="31.15" customHeight="1" s="128">
      <c r="B13" s="172" t="n">
        <v>2</v>
      </c>
      <c r="C13" s="190" t="inlineStr">
        <is>
          <t>Наименование субъекта Российской Федерации</t>
        </is>
      </c>
      <c r="D13" s="172" t="inlineStr">
        <is>
          <t>г. Москва</t>
        </is>
      </c>
    </row>
    <row r="14" ht="15.6" customHeight="1" s="128">
      <c r="B14" s="172" t="n">
        <v>3</v>
      </c>
      <c r="C14" s="190" t="inlineStr">
        <is>
          <t>Климатический район и подрайон</t>
        </is>
      </c>
      <c r="D14" s="172" t="inlineStr">
        <is>
          <t>IIВ</t>
        </is>
      </c>
    </row>
    <row r="15" ht="15.6" customHeight="1" s="128">
      <c r="B15" s="172" t="n">
        <v>4</v>
      </c>
      <c r="C15" s="190" t="inlineStr">
        <is>
          <t>Мощность объекта</t>
        </is>
      </c>
      <c r="D15" s="154" t="n">
        <v>1150.22</v>
      </c>
    </row>
    <row r="16" ht="93.59999999999999" customHeight="1" s="128">
      <c r="B16" s="172" t="n">
        <v>5</v>
      </c>
      <c r="C16" s="1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2" t="inlineStr">
        <is>
          <t>Лотки железобетонные ЛК 300.60.45-1, плиты перекрытия лотков и каналов ПЛ-1</t>
        </is>
      </c>
    </row>
    <row r="17" ht="78" customHeight="1" s="128">
      <c r="B17" s="172" t="n">
        <v>6</v>
      </c>
      <c r="C17" s="1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6">
        <f>SUM(D18:D21)</f>
        <v/>
      </c>
    </row>
    <row r="18" ht="15.6" customHeight="1" s="128">
      <c r="B18" s="160" t="inlineStr">
        <is>
          <t>6.1</t>
        </is>
      </c>
      <c r="C18" s="190" t="inlineStr">
        <is>
          <t>строительно-монтажные работы</t>
        </is>
      </c>
      <c r="D18" s="156" t="n">
        <v>8147.99207</v>
      </c>
    </row>
    <row r="19" ht="15.6" customHeight="1" s="128">
      <c r="B19" s="160" t="inlineStr">
        <is>
          <t>6.2</t>
        </is>
      </c>
      <c r="C19" s="190" t="inlineStr">
        <is>
          <t>оборудование и инвентарь</t>
        </is>
      </c>
      <c r="D19" s="156" t="n"/>
    </row>
    <row r="20" ht="15.6" customHeight="1" s="128">
      <c r="B20" s="160" t="inlineStr">
        <is>
          <t>6.3</t>
        </is>
      </c>
      <c r="C20" s="190" t="inlineStr">
        <is>
          <t>пусконаладочные работы</t>
        </is>
      </c>
      <c r="D20" s="156" t="n"/>
    </row>
    <row r="21" ht="15.6" customHeight="1" s="128">
      <c r="B21" s="160" t="inlineStr">
        <is>
          <t>6.4</t>
        </is>
      </c>
      <c r="C21" s="190" t="inlineStr">
        <is>
          <t>прочие и лимитированные затраты</t>
        </is>
      </c>
      <c r="D21" s="156">
        <f>D18*3%+(D18+D18*3%)*0</f>
        <v/>
      </c>
    </row>
    <row r="22" ht="15.6" customHeight="1" s="128">
      <c r="B22" s="172" t="n">
        <v>7</v>
      </c>
      <c r="C22" s="190" t="inlineStr">
        <is>
          <t>Сопоставимый уровень цен</t>
        </is>
      </c>
      <c r="D22" s="158" t="inlineStr">
        <is>
          <t>3 кв. 2016</t>
        </is>
      </c>
    </row>
    <row r="23" ht="109.15" customHeight="1" s="128">
      <c r="B23" s="172" t="n">
        <v>8</v>
      </c>
      <c r="C23" s="15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6">
        <f>D17</f>
        <v/>
      </c>
    </row>
    <row r="24" ht="46.9" customHeight="1" s="128">
      <c r="B24" s="172" t="n">
        <v>9</v>
      </c>
      <c r="C24" s="155" t="inlineStr">
        <is>
          <t>Приведенная сметная стоимость на единицу мощности, тыс. руб. (строка 8/строку 4)</t>
        </is>
      </c>
      <c r="D24" s="156">
        <f>D23/D15</f>
        <v/>
      </c>
    </row>
    <row r="25" ht="48.2" customHeight="1" s="128">
      <c r="A25" s="159" t="n"/>
      <c r="B25" s="172" t="n">
        <v>10</v>
      </c>
      <c r="C25" s="190" t="inlineStr">
        <is>
          <t>Примечание</t>
        </is>
      </c>
      <c r="D25" s="172" t="n"/>
      <c r="E25" s="159" t="n"/>
      <c r="F25" s="159" t="n"/>
    </row>
    <row r="26" ht="48.2" customHeight="1" s="128">
      <c r="A26" s="159" t="n"/>
      <c r="B26" s="159" t="n"/>
      <c r="C26" s="159" t="n"/>
      <c r="D26" s="159" t="n"/>
      <c r="E26" s="159" t="n"/>
      <c r="F26" s="159" t="n"/>
    </row>
    <row r="27" ht="15.6" customFormat="1" customHeight="1" s="159">
      <c r="B27" s="159" t="inlineStr">
        <is>
          <t>Составил ______________________        М.С. Колотиевская</t>
        </is>
      </c>
      <c r="C27" s="159" t="n"/>
      <c r="D27" s="159" t="n"/>
    </row>
    <row r="28" ht="15.6" customFormat="1" customHeight="1" s="159">
      <c r="B28" s="74" t="inlineStr">
        <is>
          <t xml:space="preserve">                         (подпись, инициалы, фамилия)</t>
        </is>
      </c>
      <c r="C28" s="159" t="n"/>
      <c r="D28" s="159" t="n"/>
    </row>
    <row r="29" ht="15.6" customFormat="1" customHeight="1" s="159">
      <c r="B29" s="159" t="n"/>
      <c r="C29" s="159" t="n"/>
      <c r="D29" s="159" t="n"/>
    </row>
    <row r="30" ht="15.6" customFormat="1" customHeight="1" s="159">
      <c r="B30" s="159" t="inlineStr">
        <is>
          <t>Проверил ______________________      А.В. Костянецкая</t>
        </is>
      </c>
      <c r="C30" s="159" t="n"/>
      <c r="D30" s="159" t="n"/>
    </row>
    <row r="31" ht="15.6" customFormat="1" customHeight="1" s="159">
      <c r="B31" s="74" t="inlineStr">
        <is>
          <t xml:space="preserve">                        (подпись, инициалы, фамилия)</t>
        </is>
      </c>
      <c r="C31" s="159" t="n"/>
      <c r="D31" s="159" t="n"/>
    </row>
    <row r="32" ht="15.6" customHeight="1" s="128">
      <c r="B32" s="82" t="n"/>
      <c r="C32" s="82" t="n"/>
      <c r="D32" s="82" t="n"/>
    </row>
  </sheetData>
  <mergeCells count="6">
    <mergeCell ref="B3:D3"/>
    <mergeCell ref="B5:D5"/>
    <mergeCell ref="B8:D8"/>
    <mergeCell ref="B4:D4"/>
    <mergeCell ref="B9:D9"/>
    <mergeCell ref="B7:D7"/>
  </mergeCells>
  <conditionalFormatting sqref="D15">
    <cfRule type="expression" priority="1" dxfId="0" stopIfTrue="1">
      <formula>D15&gt;=1/10000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3"/>
  <sheetViews>
    <sheetView view="pageBreakPreview" zoomScale="60" zoomScaleNormal="70" workbookViewId="0">
      <selection activeCell="H21" sqref="H20:H21"/>
    </sheetView>
  </sheetViews>
  <sheetFormatPr baseColWidth="8" defaultColWidth="9.140625" defaultRowHeight="15"/>
  <cols>
    <col width="5.5703125" customWidth="1" style="128" min="1" max="1"/>
    <col width="9.140625" customWidth="1" style="128" min="2" max="2"/>
    <col width="35.28515625" customWidth="1" style="128" min="3" max="3"/>
    <col width="13.85546875" customWidth="1" style="128" min="4" max="4"/>
    <col width="26" customWidth="1" style="128" min="5" max="5"/>
    <col width="12.7109375" customWidth="1" style="128" min="6" max="6"/>
    <col width="14.85546875" customWidth="1" style="128" min="7" max="7"/>
    <col width="16.7109375" customWidth="1" style="128" min="8" max="8"/>
    <col width="13" customWidth="1" style="128" min="9" max="10"/>
    <col width="18" customWidth="1" style="128" min="11" max="11"/>
    <col width="9.140625" customWidth="1" style="128" min="12" max="12"/>
  </cols>
  <sheetData>
    <row r="3" ht="15.6" customHeight="1" s="128">
      <c r="B3" s="167" t="inlineStr">
        <is>
          <t>Приложение № 2</t>
        </is>
      </c>
    </row>
    <row r="4" ht="15.6" customHeight="1" s="128">
      <c r="B4" s="171" t="inlineStr">
        <is>
          <t>Расчет стоимости основных видов работ для выбора объекта-представителя</t>
        </is>
      </c>
    </row>
    <row r="5" ht="15.6" customHeight="1" s="128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</row>
    <row r="6" ht="15.6" customHeight="1" s="128">
      <c r="B6" s="166" t="inlineStr">
        <is>
          <t>Наименование разрабатываемого показателя УНЦ -  Н2-02 БРТМ Ж.б.лотки  Без ПИР</t>
        </is>
      </c>
      <c r="L6" s="2" t="n"/>
    </row>
    <row r="7" ht="15.6" customHeight="1" s="128">
      <c r="B7" s="166" t="inlineStr">
        <is>
          <t>Единица измерения  —  м</t>
        </is>
      </c>
    </row>
    <row r="8" ht="18" customHeight="1" s="128">
      <c r="B8" s="150" t="n"/>
    </row>
    <row r="9" ht="15.75" customFormat="1" customHeight="1" s="159">
      <c r="B9" s="172" t="inlineStr">
        <is>
          <t>№ п/п</t>
        </is>
      </c>
      <c r="C9" s="17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2" t="inlineStr">
        <is>
          <t>Объект-представитель 1</t>
        </is>
      </c>
      <c r="E9" s="201" t="n"/>
      <c r="F9" s="201" t="n"/>
      <c r="G9" s="201" t="n"/>
      <c r="H9" s="201" t="n"/>
      <c r="I9" s="201" t="n"/>
      <c r="J9" s="202" t="n"/>
    </row>
    <row r="10" ht="15.75" customFormat="1" customHeight="1" s="159">
      <c r="B10" s="203" t="n"/>
      <c r="C10" s="203" t="n"/>
      <c r="D10" s="172" t="inlineStr">
        <is>
          <t>Номер сметы</t>
        </is>
      </c>
      <c r="E10" s="172" t="inlineStr">
        <is>
          <t>Наименование сметы</t>
        </is>
      </c>
      <c r="F10" s="172" t="inlineStr">
        <is>
          <t>Сметная стоимость в уровне цен 3 кв. 2016 г., тыс. руб.</t>
        </is>
      </c>
      <c r="G10" s="201" t="n"/>
      <c r="H10" s="201" t="n"/>
      <c r="I10" s="201" t="n"/>
      <c r="J10" s="202" t="n"/>
    </row>
    <row r="11" ht="31.5" customFormat="1" customHeight="1" s="159">
      <c r="B11" s="204" t="n"/>
      <c r="C11" s="204" t="n"/>
      <c r="D11" s="204" t="n"/>
      <c r="E11" s="204" t="n"/>
      <c r="F11" s="172" t="inlineStr">
        <is>
          <t>Строительные работы</t>
        </is>
      </c>
      <c r="G11" s="172" t="inlineStr">
        <is>
          <t>Монтажные работы</t>
        </is>
      </c>
      <c r="H11" s="172" t="inlineStr">
        <is>
          <t>Оборудование</t>
        </is>
      </c>
      <c r="I11" s="172" t="inlineStr">
        <is>
          <t>Прочее</t>
        </is>
      </c>
      <c r="J11" s="172" t="inlineStr">
        <is>
          <t>Всего</t>
        </is>
      </c>
    </row>
    <row r="12" ht="94.5" customFormat="1" customHeight="1" s="159">
      <c r="B12" s="172" t="n">
        <v>1</v>
      </c>
      <c r="C12" s="172" t="inlineStr">
        <is>
          <t>Лотки железобетонные ЛК 300.60.45-1, плиты перекрытия лотков и каналов ПЛ-1</t>
        </is>
      </c>
      <c r="D12" s="160" t="inlineStr">
        <is>
          <t>01-01-09</t>
        </is>
      </c>
      <c r="E12" s="190" t="inlineStr">
        <is>
          <t>Вынос кабельных лотков с площадки строительства здания КРУЭ 220/110 кв. Конструкции железобетонные.</t>
        </is>
      </c>
      <c r="F12" s="205">
        <f>318411.23/1000</f>
        <v/>
      </c>
      <c r="G12" s="205" t="n"/>
      <c r="H12" s="205" t="n"/>
      <c r="I12" s="205" t="n"/>
      <c r="J12" s="205">
        <f>SUM(F12:I12)</f>
        <v/>
      </c>
      <c r="K12" s="206" t="n"/>
      <c r="L12" s="206" t="n"/>
      <c r="M12" s="206" t="n"/>
    </row>
    <row r="13" ht="31.5" customFormat="1" customHeight="1" s="159">
      <c r="B13" s="204" t="n"/>
      <c r="C13" s="204" t="n"/>
      <c r="D13" s="160" t="inlineStr">
        <is>
          <t xml:space="preserve">02-04-02  </t>
        </is>
      </c>
      <c r="E13" s="190" t="inlineStr">
        <is>
          <t>Кабельные лотки. Строительные решения.</t>
        </is>
      </c>
      <c r="F13" s="205">
        <f>7829580.84/1000</f>
        <v/>
      </c>
      <c r="G13" s="205" t="n"/>
      <c r="H13" s="205" t="n"/>
      <c r="I13" s="205" t="n"/>
      <c r="J13" s="205">
        <f>SUM(F13:I13)</f>
        <v/>
      </c>
      <c r="K13" s="206" t="n"/>
    </row>
    <row r="14" ht="15.6" customFormat="1" customHeight="1" s="159">
      <c r="B14" s="170" t="inlineStr">
        <is>
          <t>Всего по объекту:</t>
        </is>
      </c>
      <c r="C14" s="201" t="n"/>
      <c r="D14" s="201" t="n"/>
      <c r="E14" s="202" t="n"/>
      <c r="F14" s="207">
        <f>SUM(F12:F13)</f>
        <v/>
      </c>
      <c r="G14" s="207">
        <f>SUM(G12:G13)</f>
        <v/>
      </c>
      <c r="H14" s="207">
        <f>SUM(H12:H13)</f>
        <v/>
      </c>
      <c r="I14" s="207">
        <f>SUM(I12:I13)</f>
        <v/>
      </c>
      <c r="J14" s="207">
        <f>SUM(F14:I14)</f>
        <v/>
      </c>
    </row>
    <row r="15" ht="28.5" customFormat="1" customHeight="1" s="159">
      <c r="B15" s="170" t="inlineStr">
        <is>
          <t>Всего по объекту в сопоставимом уровне цен 3 кв. 2016 г:</t>
        </is>
      </c>
      <c r="C15" s="201" t="n"/>
      <c r="D15" s="201" t="n"/>
      <c r="E15" s="202" t="n"/>
      <c r="F15" s="208">
        <f>F14</f>
        <v/>
      </c>
      <c r="G15" s="208">
        <f>G14</f>
        <v/>
      </c>
      <c r="H15" s="208">
        <f>H14</f>
        <v/>
      </c>
      <c r="I15" s="208">
        <f>I14</f>
        <v/>
      </c>
      <c r="J15" s="208">
        <f>SUM(F15:I15)</f>
        <v/>
      </c>
    </row>
    <row r="16" ht="15.6" customFormat="1" customHeight="1" s="159">
      <c r="B16" s="166" t="n"/>
    </row>
    <row r="17" ht="15.6" customFormat="1" customHeight="1" s="159"/>
    <row r="18" ht="15.6" customFormat="1" customHeight="1" s="159">
      <c r="C18" s="159" t="n"/>
      <c r="D18" s="159" t="n"/>
      <c r="E18" s="159" t="n"/>
    </row>
    <row r="19" ht="15.6" customFormat="1" customHeight="1" s="159">
      <c r="C19" s="159" t="inlineStr">
        <is>
          <t>Составил ______________________        М.С. Колотиевская</t>
        </is>
      </c>
      <c r="D19" s="159" t="n"/>
      <c r="E19" s="159" t="n"/>
    </row>
    <row r="20" ht="15.6" customFormat="1" customHeight="1" s="159">
      <c r="C20" s="74" t="inlineStr">
        <is>
          <t xml:space="preserve">                         (подпись, инициалы, фамилия)</t>
        </is>
      </c>
      <c r="D20" s="159" t="n"/>
      <c r="E20" s="159" t="n"/>
    </row>
    <row r="21" ht="15.6" customFormat="1" customHeight="1" s="159">
      <c r="C21" s="159" t="n"/>
      <c r="D21" s="159" t="n"/>
      <c r="E21" s="159" t="n"/>
    </row>
    <row r="22" ht="15.6" customFormat="1" customHeight="1" s="159">
      <c r="C22" s="159" t="inlineStr">
        <is>
          <t>Проверил ______________________      А.В. Костянецкая</t>
        </is>
      </c>
      <c r="D22" s="159" t="n"/>
      <c r="E22" s="159" t="n"/>
    </row>
    <row r="23" ht="15.6" customFormat="1" customHeight="1" s="159">
      <c r="C23" s="74" t="inlineStr">
        <is>
          <t xml:space="preserve">                        (подпись, инициалы, фамилия)</t>
        </is>
      </c>
      <c r="D23" s="159" t="n"/>
      <c r="E23" s="159" t="n"/>
    </row>
    <row r="24" ht="15.6" customFormat="1" customHeight="1" s="159"/>
  </sheetData>
  <mergeCells count="14">
    <mergeCell ref="D10:D11"/>
    <mergeCell ref="B4:K4"/>
    <mergeCell ref="D9:J9"/>
    <mergeCell ref="B12:B13"/>
    <mergeCell ref="C12:C13"/>
    <mergeCell ref="F10:J10"/>
    <mergeCell ref="B15:E15"/>
    <mergeCell ref="B9:B11"/>
    <mergeCell ref="B6:K6"/>
    <mergeCell ref="B7:D7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J118"/>
  <sheetViews>
    <sheetView view="pageBreakPreview" topLeftCell="A83" zoomScale="40" zoomScaleNormal="100" zoomScaleSheetLayoutView="40" workbookViewId="0">
      <selection activeCell="E178" sqref="E178"/>
    </sheetView>
  </sheetViews>
  <sheetFormatPr baseColWidth="8" defaultColWidth="9.140625" defaultRowHeight="15"/>
  <cols>
    <col width="9.140625" customWidth="1" style="128" min="1" max="2"/>
    <col width="17" customWidth="1" style="128" min="3" max="3"/>
    <col width="49.7109375" customWidth="1" style="128" min="4" max="4"/>
    <col width="16.28515625" customWidth="1" style="128" min="5" max="5"/>
    <col width="20.7109375" customWidth="1" style="128" min="6" max="6"/>
    <col width="16.140625" customWidth="1" style="128" min="7" max="7"/>
    <col width="16.7109375" customWidth="1" style="128" min="8" max="8"/>
    <col width="9.140625" customWidth="1" style="128" min="9" max="9"/>
  </cols>
  <sheetData>
    <row r="2" s="128"/>
    <row r="3" s="128"/>
    <row r="4" ht="15.6" customHeight="1" s="128">
      <c r="A4" s="167" t="inlineStr">
        <is>
          <t xml:space="preserve">Приложение № 3 </t>
        </is>
      </c>
    </row>
    <row r="5" ht="17.45" customHeight="1" s="128">
      <c r="A5" s="168" t="inlineStr">
        <is>
          <t>Объектная ресурсная ведомость</t>
        </is>
      </c>
    </row>
    <row r="6" ht="18" customHeight="1" s="128">
      <c r="A6" s="150" t="n"/>
      <c r="B6" s="150" t="n"/>
    </row>
    <row r="7" ht="15.6" customHeight="1" s="128">
      <c r="A7" s="176" t="inlineStr">
        <is>
          <t>Наименование разрабатываемого показателя УНЦ -  Н2-02 БРТМ Ж.б.лотки</t>
        </is>
      </c>
    </row>
    <row r="8" ht="15.6" customHeight="1" s="128">
      <c r="A8" s="176" t="n"/>
      <c r="B8" s="176" t="n"/>
      <c r="C8" s="176" t="n"/>
      <c r="D8" s="176" t="n"/>
      <c r="E8" s="176" t="n"/>
      <c r="F8" s="176" t="n"/>
      <c r="G8" s="176" t="n"/>
      <c r="H8" s="176" t="n"/>
    </row>
    <row r="9" ht="38.25" customFormat="1" customHeight="1" s="159">
      <c r="A9" s="172" t="inlineStr">
        <is>
          <t>п/п</t>
        </is>
      </c>
      <c r="B9" s="172" t="inlineStr">
        <is>
          <t>№ЛСР</t>
        </is>
      </c>
      <c r="C9" s="172" t="inlineStr">
        <is>
          <t>Код ресурса</t>
        </is>
      </c>
      <c r="D9" s="172" t="inlineStr">
        <is>
          <t>Наименование ресурса</t>
        </is>
      </c>
      <c r="E9" s="172" t="inlineStr">
        <is>
          <t>Ед. изм.</t>
        </is>
      </c>
      <c r="F9" s="172" t="inlineStr">
        <is>
          <t>Кол-во единиц по данным объекта-представителя</t>
        </is>
      </c>
      <c r="G9" s="172" t="inlineStr">
        <is>
          <t>Сметная стоимость в ценах на 01.01.2000 (руб.)</t>
        </is>
      </c>
      <c r="H9" s="202" t="n"/>
    </row>
    <row r="10" ht="40.5" customFormat="1" customHeight="1" s="159">
      <c r="A10" s="204" t="n"/>
      <c r="B10" s="204" t="n"/>
      <c r="C10" s="204" t="n"/>
      <c r="D10" s="204" t="n"/>
      <c r="E10" s="204" t="n"/>
      <c r="F10" s="204" t="n"/>
      <c r="G10" s="172" t="inlineStr">
        <is>
          <t>на ед.изм.</t>
        </is>
      </c>
      <c r="H10" s="172" t="inlineStr">
        <is>
          <t>общая</t>
        </is>
      </c>
    </row>
    <row r="11" ht="15.6" customFormat="1" customHeight="1" s="159">
      <c r="A11" s="172" t="n">
        <v>1</v>
      </c>
      <c r="B11" s="172" t="n"/>
      <c r="C11" s="172" t="n">
        <v>2</v>
      </c>
      <c r="D11" s="172" t="inlineStr">
        <is>
          <t>З</t>
        </is>
      </c>
      <c r="E11" s="172" t="n">
        <v>4</v>
      </c>
      <c r="F11" s="172" t="n">
        <v>5</v>
      </c>
      <c r="G11" s="172" t="n">
        <v>6</v>
      </c>
      <c r="H11" s="172" t="n">
        <v>7</v>
      </c>
    </row>
    <row r="12" ht="15.6" customFormat="1" customHeight="1" s="121">
      <c r="A12" s="173" t="inlineStr">
        <is>
          <t>Затраты труда рабочих</t>
        </is>
      </c>
      <c r="B12" s="201" t="n"/>
      <c r="C12" s="201" t="n"/>
      <c r="D12" s="201" t="n"/>
      <c r="E12" s="202" t="n"/>
      <c r="F12" s="173" t="n">
        <v>5038.4165278</v>
      </c>
      <c r="G12" s="12" t="n"/>
      <c r="H12" s="12">
        <f>SUM(H13:H24)</f>
        <v/>
      </c>
    </row>
    <row r="13" ht="15.6" customFormat="1" customHeight="1" s="159">
      <c r="A13" s="175" t="n">
        <v>1</v>
      </c>
      <c r="B13" s="175" t="n"/>
      <c r="C13" s="174" t="inlineStr">
        <is>
          <t>1-100-35</t>
        </is>
      </c>
      <c r="D13" s="174" t="inlineStr">
        <is>
          <t>Затраты труда рабочих (ср 3,5)</t>
        </is>
      </c>
      <c r="E13" s="175" t="inlineStr">
        <is>
          <t>чел.-ч</t>
        </is>
      </c>
      <c r="F13" s="175" t="n">
        <v>3801.4912608</v>
      </c>
      <c r="G13" s="177" t="n">
        <v>9.07</v>
      </c>
      <c r="H13" s="177">
        <f>ROUND(F13*G13,2)</f>
        <v/>
      </c>
    </row>
    <row r="14" ht="15.6" customFormat="1" customHeight="1" s="159">
      <c r="A14" s="175" t="n">
        <v>2</v>
      </c>
      <c r="B14" s="175" t="n"/>
      <c r="C14" s="174" t="inlineStr">
        <is>
          <t>1-100-32</t>
        </is>
      </c>
      <c r="D14" s="174" t="inlineStr">
        <is>
          <t>Затраты труда рабочих (ср 3,2)</t>
        </is>
      </c>
      <c r="E14" s="175" t="inlineStr">
        <is>
          <t>чел.-ч</t>
        </is>
      </c>
      <c r="F14" s="175" t="n">
        <v>462.992</v>
      </c>
      <c r="G14" s="177" t="n">
        <v>8.74</v>
      </c>
      <c r="H14" s="177">
        <f>ROUND(F14*G14,2)</f>
        <v/>
      </c>
    </row>
    <row r="15" ht="15.6" customFormat="1" customHeight="1" s="159">
      <c r="A15" s="175" t="n">
        <v>3</v>
      </c>
      <c r="B15" s="175" t="n"/>
      <c r="C15" s="174" t="inlineStr">
        <is>
          <t>1-100-38</t>
        </is>
      </c>
      <c r="D15" s="174" t="inlineStr">
        <is>
          <t>Затраты труда рабочих (ср 3,8)</t>
        </is>
      </c>
      <c r="E15" s="175" t="inlineStr">
        <is>
          <t>чел.-ч</t>
        </is>
      </c>
      <c r="F15" s="175" t="n">
        <v>303.68251</v>
      </c>
      <c r="G15" s="177" t="n">
        <v>9.4</v>
      </c>
      <c r="H15" s="177">
        <f>ROUND(F15*G15,2)</f>
        <v/>
      </c>
    </row>
    <row r="16" ht="15.6" customFormat="1" customHeight="1" s="159">
      <c r="A16" s="175" t="n">
        <v>4</v>
      </c>
      <c r="B16" s="175" t="n"/>
      <c r="C16" s="174" t="inlineStr">
        <is>
          <t>1-100-39</t>
        </is>
      </c>
      <c r="D16" s="174" t="inlineStr">
        <is>
          <t>Затраты труда рабочих (ср 3,9)</t>
        </is>
      </c>
      <c r="E16" s="175" t="inlineStr">
        <is>
          <t>чел.-ч</t>
        </is>
      </c>
      <c r="F16" s="175" t="n">
        <v>185.06196</v>
      </c>
      <c r="G16" s="177" t="n">
        <v>9.51</v>
      </c>
      <c r="H16" s="177">
        <f>ROUND(F16*G16,2)</f>
        <v/>
      </c>
    </row>
    <row r="17" ht="15.6" customFormat="1" customHeight="1" s="159">
      <c r="A17" s="175" t="n">
        <v>5</v>
      </c>
      <c r="B17" s="175" t="n"/>
      <c r="C17" s="174" t="inlineStr">
        <is>
          <t>1-100-30</t>
        </is>
      </c>
      <c r="D17" s="174" t="inlineStr">
        <is>
          <t>Затраты труда рабочих (ср 3)</t>
        </is>
      </c>
      <c r="E17" s="175" t="inlineStr">
        <is>
          <t>чел.-ч</t>
        </is>
      </c>
      <c r="F17" s="175" t="n">
        <v>133.2815</v>
      </c>
      <c r="G17" s="177" t="n">
        <v>8.529999999999999</v>
      </c>
      <c r="H17" s="177">
        <f>ROUND(F17*G17,2)</f>
        <v/>
      </c>
    </row>
    <row r="18" ht="15.6" customFormat="1" customHeight="1" s="159">
      <c r="A18" s="175" t="n">
        <v>6</v>
      </c>
      <c r="B18" s="175" t="n"/>
      <c r="C18" s="174" t="inlineStr">
        <is>
          <t>1-100-33</t>
        </is>
      </c>
      <c r="D18" s="174" t="inlineStr">
        <is>
          <t>Затраты труда рабочих (ср 3,3)</t>
        </is>
      </c>
      <c r="E18" s="175" t="inlineStr">
        <is>
          <t>чел.-ч</t>
        </is>
      </c>
      <c r="F18" s="175" t="n">
        <v>68.15508</v>
      </c>
      <c r="G18" s="177" t="n">
        <v>8.859999999999999</v>
      </c>
      <c r="H18" s="177">
        <f>ROUND(F18*G18,2)</f>
        <v/>
      </c>
    </row>
    <row r="19" ht="15.6" customFormat="1" customHeight="1" s="159">
      <c r="A19" s="175" t="n">
        <v>7</v>
      </c>
      <c r="B19" s="175" t="n"/>
      <c r="C19" s="174" t="inlineStr">
        <is>
          <t>1-100-20</t>
        </is>
      </c>
      <c r="D19" s="174" t="inlineStr">
        <is>
          <t>Затраты труда рабочих (ср 2)</t>
        </is>
      </c>
      <c r="E19" s="175" t="inlineStr">
        <is>
          <t>чел.-ч</t>
        </is>
      </c>
      <c r="F19" s="175" t="n">
        <v>29.93466</v>
      </c>
      <c r="G19" s="177" t="n">
        <v>7.8</v>
      </c>
      <c r="H19" s="177">
        <f>ROUND(F19*G19,2)</f>
        <v/>
      </c>
    </row>
    <row r="20" ht="15.6" customFormat="1" customHeight="1" s="159">
      <c r="A20" s="175" t="n">
        <v>8</v>
      </c>
      <c r="B20" s="175" t="n"/>
      <c r="C20" s="174" t="inlineStr">
        <is>
          <t>1-100-15</t>
        </is>
      </c>
      <c r="D20" s="174" t="inlineStr">
        <is>
          <t>Затраты труда рабочих (ср 1,5)</t>
        </is>
      </c>
      <c r="E20" s="175" t="inlineStr">
        <is>
          <t>чел.-ч</t>
        </is>
      </c>
      <c r="F20" s="175" t="n">
        <v>25.8335</v>
      </c>
      <c r="G20" s="177" t="n">
        <v>7.5</v>
      </c>
      <c r="H20" s="177">
        <f>ROUND(F20*G20,2)</f>
        <v/>
      </c>
    </row>
    <row r="21" ht="15.6" customFormat="1" customHeight="1" s="159">
      <c r="A21" s="175" t="n">
        <v>9</v>
      </c>
      <c r="B21" s="175" t="n"/>
      <c r="C21" s="174" t="inlineStr">
        <is>
          <t>1-100-27</t>
        </is>
      </c>
      <c r="D21" s="174" t="inlineStr">
        <is>
          <t>Затраты труда рабочих (ср 2,7)</t>
        </is>
      </c>
      <c r="E21" s="175" t="inlineStr">
        <is>
          <t>чел.-ч</t>
        </is>
      </c>
      <c r="F21" s="175" t="n">
        <v>11.94116</v>
      </c>
      <c r="G21" s="177" t="n">
        <v>8.31</v>
      </c>
      <c r="H21" s="177">
        <f>ROUND(F21*G21,2)</f>
        <v/>
      </c>
    </row>
    <row r="22" ht="15.6" customFormat="1" customHeight="1" s="159">
      <c r="A22" s="175" t="n">
        <v>10</v>
      </c>
      <c r="B22" s="175" t="n"/>
      <c r="C22" s="174" t="inlineStr">
        <is>
          <t>1-100-22</t>
        </is>
      </c>
      <c r="D22" s="174" t="inlineStr">
        <is>
          <t>Затраты труда рабочих (ср 2,2)</t>
        </is>
      </c>
      <c r="E22" s="175" t="inlineStr">
        <is>
          <t>чел.-ч</t>
        </is>
      </c>
      <c r="F22" s="175" t="n">
        <v>8.544</v>
      </c>
      <c r="G22" s="177" t="n">
        <v>7.94</v>
      </c>
      <c r="H22" s="177">
        <f>ROUND(F22*G22,2)</f>
        <v/>
      </c>
    </row>
    <row r="23" ht="15.6" customFormat="1" customHeight="1" s="159">
      <c r="A23" s="175" t="n">
        <v>11</v>
      </c>
      <c r="B23" s="175" t="n"/>
      <c r="C23" s="174" t="inlineStr">
        <is>
          <t>1-100-31</t>
        </is>
      </c>
      <c r="D23" s="174" t="inlineStr">
        <is>
          <t>Затраты труда рабочих (ср 3,1)</t>
        </is>
      </c>
      <c r="E23" s="175" t="inlineStr">
        <is>
          <t>чел.-ч</t>
        </is>
      </c>
      <c r="F23" s="175" t="n">
        <v>6.90494</v>
      </c>
      <c r="G23" s="177" t="n">
        <v>8.640000000000001</v>
      </c>
      <c r="H23" s="177">
        <f>ROUND(F23*G23,2)</f>
        <v/>
      </c>
    </row>
    <row r="24" ht="15.6" customFormat="1" customHeight="1" s="159">
      <c r="A24" s="175" t="n">
        <v>12</v>
      </c>
      <c r="B24" s="175" t="n"/>
      <c r="C24" s="174" t="inlineStr">
        <is>
          <t>1-100-10</t>
        </is>
      </c>
      <c r="D24" s="174" t="inlineStr">
        <is>
          <t>Затраты труда рабочих (ср 1)</t>
        </is>
      </c>
      <c r="E24" s="175" t="inlineStr">
        <is>
          <t>чел.-ч</t>
        </is>
      </c>
      <c r="F24" s="175" t="n">
        <v>0.593957</v>
      </c>
      <c r="G24" s="177" t="n">
        <v>7.19</v>
      </c>
      <c r="H24" s="177">
        <f>ROUND(F24*G24,2)</f>
        <v/>
      </c>
      <c r="J24" s="159" t="n"/>
    </row>
    <row r="25" ht="15.6" customFormat="1" customHeight="1" s="121">
      <c r="A25" s="173" t="inlineStr">
        <is>
          <t>Затраты труда машинистов</t>
        </is>
      </c>
      <c r="B25" s="201" t="n"/>
      <c r="C25" s="201" t="n"/>
      <c r="D25" s="201" t="n"/>
      <c r="E25" s="202" t="n"/>
      <c r="F25" s="173" t="n">
        <v>1106.2209864</v>
      </c>
      <c r="G25" s="12" t="n"/>
      <c r="H25" s="12" t="n">
        <v>14900.8</v>
      </c>
    </row>
    <row r="26" ht="15.6" customFormat="1" customHeight="1" s="159">
      <c r="A26" s="175" t="n">
        <v>13</v>
      </c>
      <c r="B26" s="175" t="n"/>
      <c r="C26" s="174" t="n">
        <v>2</v>
      </c>
      <c r="D26" s="174" t="inlineStr">
        <is>
          <t>Затраты труда машинистов</t>
        </is>
      </c>
      <c r="E26" s="175" t="inlineStr">
        <is>
          <t>чел.-ч</t>
        </is>
      </c>
      <c r="F26" s="175" t="n">
        <v>1106.2209864</v>
      </c>
      <c r="G26" s="177" t="n">
        <v>13.47</v>
      </c>
      <c r="H26" s="177">
        <f>ROUND(F26*G26,2)</f>
        <v/>
      </c>
    </row>
    <row r="27" ht="15.6" customFormat="1" customHeight="1" s="121">
      <c r="A27" s="173" t="inlineStr">
        <is>
          <t>Машины и механизмы</t>
        </is>
      </c>
      <c r="B27" s="201" t="n"/>
      <c r="C27" s="201" t="n"/>
      <c r="D27" s="201" t="n"/>
      <c r="E27" s="202" t="n"/>
      <c r="F27" s="173" t="n"/>
      <c r="G27" s="12" t="n"/>
      <c r="H27" s="12">
        <f>SUM(H28:H56)</f>
        <v/>
      </c>
    </row>
    <row r="28" ht="31.15" customFormat="1" customHeight="1" s="159">
      <c r="A28" s="175" t="n">
        <v>14</v>
      </c>
      <c r="B28" s="175" t="n"/>
      <c r="C28" s="174" t="inlineStr">
        <is>
          <t>91.05.06-007</t>
        </is>
      </c>
      <c r="D28" s="174" t="inlineStr">
        <is>
          <t>Краны на гусеничном ходу, грузоподъемность 25 т</t>
        </is>
      </c>
      <c r="E28" s="175" t="inlineStr">
        <is>
          <t>маш.час</t>
        </is>
      </c>
      <c r="F28" s="195" t="n">
        <v>258</v>
      </c>
      <c r="G28" s="177" t="n">
        <v>120.04</v>
      </c>
      <c r="H28" s="177">
        <f>ROUND(F28*G28,2)</f>
        <v/>
      </c>
    </row>
    <row r="29" ht="31.15" customFormat="1" customHeight="1" s="159">
      <c r="A29" s="175" t="n">
        <v>15</v>
      </c>
      <c r="B29" s="175" t="n"/>
      <c r="C29" s="174" t="inlineStr">
        <is>
          <t>91.05.06-012</t>
        </is>
      </c>
      <c r="D29" s="174" t="inlineStr">
        <is>
          <t>Краны на гусеничном ходу, грузоподъемность до 16 т</t>
        </is>
      </c>
      <c r="E29" s="175" t="inlineStr">
        <is>
          <t>маш.час</t>
        </is>
      </c>
      <c r="F29" s="195" t="n">
        <v>98.12</v>
      </c>
      <c r="G29" s="177" t="n">
        <v>96.89</v>
      </c>
      <c r="H29" s="177">
        <f>ROUND(F29*G29,2)</f>
        <v/>
      </c>
    </row>
    <row r="30" ht="15.6" customFormat="1" customHeight="1" s="159">
      <c r="A30" s="175" t="n">
        <v>16</v>
      </c>
      <c r="B30" s="175" t="n"/>
      <c r="C30" s="174" t="inlineStr">
        <is>
          <t>91.05.01-017</t>
        </is>
      </c>
      <c r="D30" s="174" t="inlineStr">
        <is>
          <t>Краны башенные, грузоподъемность 8 т</t>
        </is>
      </c>
      <c r="E30" s="175" t="inlineStr">
        <is>
          <t>маш.час</t>
        </is>
      </c>
      <c r="F30" s="175" t="n">
        <v>75.953568</v>
      </c>
      <c r="G30" s="177" t="n">
        <v>86.40000000000001</v>
      </c>
      <c r="H30" s="177">
        <f>ROUND(F30*G30,2)</f>
        <v/>
      </c>
    </row>
    <row r="31" ht="15.6" customFormat="1" customHeight="1" s="159">
      <c r="A31" s="175" t="n">
        <v>17</v>
      </c>
      <c r="B31" s="175" t="n"/>
      <c r="C31" s="174" t="inlineStr">
        <is>
          <t>91.17.04-031</t>
        </is>
      </c>
      <c r="D31" s="174" t="inlineStr">
        <is>
          <t>Агрегаты для сварки полиэтиленовых труб</t>
        </is>
      </c>
      <c r="E31" s="175" t="inlineStr">
        <is>
          <t>маш.час</t>
        </is>
      </c>
      <c r="F31" s="175" t="n">
        <v>54.8093</v>
      </c>
      <c r="G31" s="177" t="n">
        <v>100.1</v>
      </c>
      <c r="H31" s="177">
        <f>ROUND(F31*G31,2)</f>
        <v/>
      </c>
    </row>
    <row r="32" ht="31.15" customFormat="1" customHeight="1" s="159">
      <c r="A32" s="175" t="n">
        <v>18</v>
      </c>
      <c r="B32" s="175" t="n"/>
      <c r="C32" s="174" t="inlineStr">
        <is>
          <t>91.01.05-106</t>
        </is>
      </c>
      <c r="D32" s="174" t="inlineStr">
        <is>
          <t>Экскаваторы одноковшовые дизельные на пневмоколесном ходу, емкость ковша 0,25 м3</t>
        </is>
      </c>
      <c r="E32" s="175" t="inlineStr">
        <is>
          <t>маш.час</t>
        </is>
      </c>
      <c r="F32" s="175" t="n">
        <v>41.29842</v>
      </c>
      <c r="G32" s="177" t="n">
        <v>70.01000000000001</v>
      </c>
      <c r="H32" s="177">
        <f>ROUND(F32*G32,2)</f>
        <v/>
      </c>
    </row>
    <row r="33" ht="15.6" customFormat="1" customHeight="1" s="159">
      <c r="A33" s="175" t="n">
        <v>19</v>
      </c>
      <c r="B33" s="175" t="n"/>
      <c r="C33" s="174" t="inlineStr">
        <is>
          <t>91.14.02-001</t>
        </is>
      </c>
      <c r="D33" s="174" t="inlineStr">
        <is>
          <t>Автомобили бортовые, грузоподъемность до 5 т</t>
        </is>
      </c>
      <c r="E33" s="175" t="inlineStr">
        <is>
          <t>маш.час</t>
        </is>
      </c>
      <c r="F33" s="175" t="n">
        <v>33.7617225</v>
      </c>
      <c r="G33" s="177" t="n">
        <v>65.70999999999999</v>
      </c>
      <c r="H33" s="177">
        <f>ROUND(F33*G33,2)</f>
        <v/>
      </c>
    </row>
    <row r="34" ht="31.15" customFormat="1" customHeight="1" s="159">
      <c r="A34" s="175" t="n">
        <v>20</v>
      </c>
      <c r="B34" s="175" t="n"/>
      <c r="C34" s="174" t="inlineStr">
        <is>
          <t>91.10.05-007</t>
        </is>
      </c>
      <c r="D34" s="174" t="inlineStr">
        <is>
          <t>Трубоукладчики, номинальная грузоподъемность 12,5 т</t>
        </is>
      </c>
      <c r="E34" s="175" t="inlineStr">
        <is>
          <t>маш.час</t>
        </is>
      </c>
      <c r="F34" s="175" t="n">
        <v>8.191280000000001</v>
      </c>
      <c r="G34" s="177" t="n">
        <v>239.44</v>
      </c>
      <c r="H34" s="177">
        <f>ROUND(F34*G34,2)</f>
        <v/>
      </c>
    </row>
    <row r="35" ht="31.15" customFormat="1" customHeight="1" s="159">
      <c r="A35" s="175" t="n">
        <v>21</v>
      </c>
      <c r="B35" s="175" t="n"/>
      <c r="C35" s="174" t="inlineStr">
        <is>
          <t>91.17.04-233</t>
        </is>
      </c>
      <c r="D35" s="174" t="inlineStr">
        <is>
          <t>Установки для сварки ручной дуговой (постоянного тока)</t>
        </is>
      </c>
      <c r="E35" s="175" t="inlineStr">
        <is>
          <t>маш.час</t>
        </is>
      </c>
      <c r="F35" s="175" t="n">
        <v>198.42304</v>
      </c>
      <c r="G35" s="177" t="n">
        <v>8.1</v>
      </c>
      <c r="H35" s="177">
        <f>ROUND(F35*G35,2)</f>
        <v/>
      </c>
    </row>
    <row r="36" ht="15.6" customFormat="1" customHeight="1" s="159">
      <c r="A36" s="175" t="n">
        <v>22</v>
      </c>
      <c r="B36" s="175" t="n"/>
      <c r="C36" s="174" t="inlineStr">
        <is>
          <t>91.05.14-025</t>
        </is>
      </c>
      <c r="D36" s="174" t="inlineStr">
        <is>
          <t>Краны переносные 1 т</t>
        </is>
      </c>
      <c r="E36" s="175" t="inlineStr">
        <is>
          <t>маш.час</t>
        </is>
      </c>
      <c r="F36" s="175" t="n">
        <v>38.316</v>
      </c>
      <c r="G36" s="177" t="n">
        <v>27.2</v>
      </c>
      <c r="H36" s="177">
        <f>ROUND(F36*G36,2)</f>
        <v/>
      </c>
    </row>
    <row r="37" ht="15.6" customFormat="1" customHeight="1" s="159">
      <c r="A37" s="175" t="n">
        <v>23</v>
      </c>
      <c r="B37" s="175" t="n"/>
      <c r="C37" s="174" t="inlineStr">
        <is>
          <t>91.08.09-022</t>
        </is>
      </c>
      <c r="D37" s="174" t="inlineStr">
        <is>
          <t>Трамбовки на базе трактора, 118 кВт (160 л.с.)</t>
        </is>
      </c>
      <c r="E37" s="175" t="inlineStr">
        <is>
          <t>маш.час</t>
        </is>
      </c>
      <c r="F37" s="175" t="n">
        <v>4.4616</v>
      </c>
      <c r="G37" s="177" t="n">
        <v>182.81</v>
      </c>
      <c r="H37" s="177">
        <f>ROUND(F37*G37,2)</f>
        <v/>
      </c>
    </row>
    <row r="38" ht="15.6" customFormat="1" customHeight="1" s="159">
      <c r="A38" s="175" t="n">
        <v>24</v>
      </c>
      <c r="B38" s="175" t="n"/>
      <c r="C38" s="174" t="inlineStr">
        <is>
          <t>91.01.01-034</t>
        </is>
      </c>
      <c r="D38" s="174" t="inlineStr">
        <is>
          <t>Бульдозеры, мощность 59 кВт (80 л.с.)</t>
        </is>
      </c>
      <c r="E38" s="175" t="inlineStr">
        <is>
          <t>маш.час</t>
        </is>
      </c>
      <c r="F38" s="175" t="n">
        <v>10.7688134</v>
      </c>
      <c r="G38" s="177" t="n">
        <v>59.47</v>
      </c>
      <c r="H38" s="177">
        <f>ROUND(F38*G38,2)</f>
        <v/>
      </c>
    </row>
    <row r="39" ht="31.15" customFormat="1" customHeight="1" s="159">
      <c r="A39" s="175" t="n">
        <v>25</v>
      </c>
      <c r="B39" s="175" t="n"/>
      <c r="C39" s="174" t="inlineStr">
        <is>
          <t>91.05.05-015</t>
        </is>
      </c>
      <c r="D39" s="174" t="inlineStr">
        <is>
          <t>Краны на автомобильном ходу, грузоподъемность 16 т</t>
        </is>
      </c>
      <c r="E39" s="175" t="inlineStr">
        <is>
          <t>маш.час</t>
        </is>
      </c>
      <c r="F39" s="175" t="n">
        <v>4.946128</v>
      </c>
      <c r="G39" s="177" t="n">
        <v>115.4</v>
      </c>
      <c r="H39" s="177">
        <f>ROUND(F39*G39,2)</f>
        <v/>
      </c>
    </row>
    <row r="40" ht="15.6" customFormat="1" customHeight="1" s="159">
      <c r="A40" s="175" t="n">
        <v>26</v>
      </c>
      <c r="B40" s="175" t="n"/>
      <c r="C40" s="174" t="inlineStr">
        <is>
          <t>91.06.05-011</t>
        </is>
      </c>
      <c r="D40" s="174" t="inlineStr">
        <is>
          <t>Погрузчики, грузоподъемность 5 т</t>
        </is>
      </c>
      <c r="E40" s="175" t="inlineStr">
        <is>
          <t>маш.час</t>
        </is>
      </c>
      <c r="F40" s="175" t="n">
        <v>5.6705425</v>
      </c>
      <c r="G40" s="177" t="n">
        <v>89.98999999999999</v>
      </c>
      <c r="H40" s="177">
        <f>ROUND(F40*G40,2)</f>
        <v/>
      </c>
    </row>
    <row r="41" ht="15.6" customFormat="1" customHeight="1" s="159">
      <c r="A41" s="175" t="n">
        <v>27</v>
      </c>
      <c r="B41" s="175" t="n"/>
      <c r="C41" s="174" t="inlineStr">
        <is>
          <t>91.07.02-011</t>
        </is>
      </c>
      <c r="D41" s="174" t="inlineStr">
        <is>
          <t>Автобетононасосы, производительность 65 м3/ч</t>
        </is>
      </c>
      <c r="E41" s="175" t="inlineStr">
        <is>
          <t>маш.час</t>
        </is>
      </c>
      <c r="F41" s="175" t="n">
        <v>1.683579</v>
      </c>
      <c r="G41" s="177" t="n">
        <v>283.4</v>
      </c>
      <c r="H41" s="177">
        <f>ROUND(F41*G41,2)</f>
        <v/>
      </c>
    </row>
    <row r="42" ht="31.15" customFormat="1" customHeight="1" s="159">
      <c r="A42" s="175" t="n">
        <v>28</v>
      </c>
      <c r="B42" s="175" t="n"/>
      <c r="C42" s="174" t="inlineStr">
        <is>
          <t>91.18.01-508</t>
        </is>
      </c>
      <c r="D42" s="174" t="inlineStr">
        <is>
          <t>Компрессоры передвижные с электродвигателем, производительность до 5,0 м3/мин</t>
        </is>
      </c>
      <c r="E42" s="175" t="inlineStr">
        <is>
          <t>маш.час</t>
        </is>
      </c>
      <c r="F42" s="175" t="n">
        <v>6.7626</v>
      </c>
      <c r="G42" s="177" t="n">
        <v>48.81</v>
      </c>
      <c r="H42" s="177">
        <f>ROUND(F42*G42,2)</f>
        <v/>
      </c>
    </row>
    <row r="43" ht="15.6" customFormat="1" customHeight="1" s="159">
      <c r="A43" s="175" t="n">
        <v>29</v>
      </c>
      <c r="B43" s="175" t="n"/>
      <c r="C43" s="174" t="inlineStr">
        <is>
          <t>91.01.01-035</t>
        </is>
      </c>
      <c r="D43" s="174" t="inlineStr">
        <is>
          <t>Бульдозеры, мощность 79 кВт (108 л.с.)</t>
        </is>
      </c>
      <c r="E43" s="175" t="inlineStr">
        <is>
          <t>маш.час</t>
        </is>
      </c>
      <c r="F43" s="175" t="n">
        <v>2.3318</v>
      </c>
      <c r="G43" s="177" t="n">
        <v>79.06999999999999</v>
      </c>
      <c r="H43" s="177">
        <f>ROUND(F43*G43,2)</f>
        <v/>
      </c>
    </row>
    <row r="44" ht="15.6" customFormat="1" customHeight="1" s="159">
      <c r="A44" s="175" t="n">
        <v>30</v>
      </c>
      <c r="B44" s="175" t="n"/>
      <c r="C44" s="174" t="inlineStr">
        <is>
          <t>91.08.04-021</t>
        </is>
      </c>
      <c r="D44" s="174" t="inlineStr">
        <is>
          <t>Котлы битумные передвижные 400 л</t>
        </is>
      </c>
      <c r="E44" s="175" t="inlineStr">
        <is>
          <t>маш.час</t>
        </is>
      </c>
      <c r="F44" s="175" t="n">
        <v>6.08634</v>
      </c>
      <c r="G44" s="177" t="n">
        <v>30</v>
      </c>
      <c r="H44" s="177">
        <f>ROUND(F44*G44,2)</f>
        <v/>
      </c>
    </row>
    <row r="45" ht="15.6" customFormat="1" customHeight="1" s="159">
      <c r="A45" s="175" t="n">
        <v>31</v>
      </c>
      <c r="B45" s="175" t="n"/>
      <c r="C45" s="174" t="inlineStr">
        <is>
          <t>91.13.01-038</t>
        </is>
      </c>
      <c r="D45" s="174" t="inlineStr">
        <is>
          <t>Машины поливомоечные 6000 л</t>
        </is>
      </c>
      <c r="E45" s="175" t="inlineStr">
        <is>
          <t>маш.час</t>
        </is>
      </c>
      <c r="F45" s="175" t="n">
        <v>0.52094</v>
      </c>
      <c r="G45" s="177" t="n">
        <v>110</v>
      </c>
      <c r="H45" s="177">
        <f>ROUND(F45*G45,2)</f>
        <v/>
      </c>
    </row>
    <row r="46" ht="31.15" customFormat="1" customHeight="1" s="159">
      <c r="A46" s="175" t="n">
        <v>32</v>
      </c>
      <c r="B46" s="175" t="n"/>
      <c r="C46" s="174" t="inlineStr">
        <is>
          <t>91.08.03-009</t>
        </is>
      </c>
      <c r="D46" s="174" t="inlineStr">
        <is>
          <t>Катки самоходные гладкие вибрационные, масса 2,2 т</t>
        </is>
      </c>
      <c r="E46" s="175" t="inlineStr">
        <is>
          <t>маш.час</t>
        </is>
      </c>
      <c r="F46" s="175" t="n">
        <v>0.2</v>
      </c>
      <c r="G46" s="177" t="n">
        <v>103.16</v>
      </c>
      <c r="H46" s="177">
        <f>ROUND(F46*G46,2)</f>
        <v/>
      </c>
    </row>
    <row r="47" ht="46.9" customFormat="1" customHeight="1" s="159">
      <c r="A47" s="175" t="n">
        <v>33</v>
      </c>
      <c r="B47" s="175" t="n"/>
      <c r="C47" s="174" t="inlineStr">
        <is>
          <t>91.18.01-007</t>
        </is>
      </c>
      <c r="D47" s="17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7" s="175" t="inlineStr">
        <is>
          <t>маш.час</t>
        </is>
      </c>
      <c r="F47" s="175" t="n">
        <v>0.185136</v>
      </c>
      <c r="G47" s="177" t="n">
        <v>90</v>
      </c>
      <c r="H47" s="177">
        <f>ROUND(F47*G47,2)</f>
        <v/>
      </c>
    </row>
    <row r="48" ht="15.6" customFormat="1" customHeight="1" s="159">
      <c r="A48" s="175" t="n">
        <v>34</v>
      </c>
      <c r="B48" s="175" t="n"/>
      <c r="C48" s="174" t="inlineStr">
        <is>
          <t>91.07.04-001</t>
        </is>
      </c>
      <c r="D48" s="174" t="inlineStr">
        <is>
          <t>Вибраторы глубинные</t>
        </is>
      </c>
      <c r="E48" s="175" t="inlineStr">
        <is>
          <t>маш.час</t>
        </is>
      </c>
      <c r="F48" s="175" t="n">
        <v>7.563948</v>
      </c>
      <c r="G48" s="177" t="n">
        <v>1.9</v>
      </c>
      <c r="H48" s="177">
        <f>ROUND(F48*G48,2)</f>
        <v/>
      </c>
    </row>
    <row r="49" ht="31.15" customFormat="1" customHeight="1" s="159">
      <c r="A49" s="175" t="n">
        <v>35</v>
      </c>
      <c r="B49" s="175" t="n"/>
      <c r="C49" s="174" t="inlineStr">
        <is>
          <t>91.06.06-048</t>
        </is>
      </c>
      <c r="D49" s="174" t="inlineStr">
        <is>
          <t>Подъемники одномачтовые, грузоподъемность до 500 кг, высота подъема 45 м</t>
        </is>
      </c>
      <c r="E49" s="175" t="inlineStr">
        <is>
          <t>маш.час</t>
        </is>
      </c>
      <c r="F49" s="175" t="n">
        <v>0.3048</v>
      </c>
      <c r="G49" s="177" t="n">
        <v>31.26</v>
      </c>
      <c r="H49" s="177">
        <f>ROUND(F49*G49,2)</f>
        <v/>
      </c>
    </row>
    <row r="50" ht="31.15" customFormat="1" customHeight="1" s="159">
      <c r="A50" s="175" t="n">
        <v>36</v>
      </c>
      <c r="B50" s="175" t="n"/>
      <c r="C50" s="174" t="inlineStr">
        <is>
          <t>91.08.09-023</t>
        </is>
      </c>
      <c r="D50" s="174" t="inlineStr">
        <is>
          <t>Трамбовки пневматические при работе от передвижных компрессорных станций</t>
        </is>
      </c>
      <c r="E50" s="175" t="inlineStr">
        <is>
          <t>маш.час</t>
        </is>
      </c>
      <c r="F50" s="175" t="n">
        <v>6.7626</v>
      </c>
      <c r="G50" s="177" t="n">
        <v>0.55</v>
      </c>
      <c r="H50" s="177">
        <f>ROUND(F50*G50,2)</f>
        <v/>
      </c>
    </row>
    <row r="51" ht="15.6" customFormat="1" customHeight="1" s="159">
      <c r="A51" s="175" t="n">
        <v>37</v>
      </c>
      <c r="B51" s="175" t="n"/>
      <c r="C51" s="174" t="inlineStr">
        <is>
          <t>91.07.04-002</t>
        </is>
      </c>
      <c r="D51" s="174" t="inlineStr">
        <is>
          <t>Вибраторы поверхностные</t>
        </is>
      </c>
      <c r="E51" s="175" t="inlineStr">
        <is>
          <t>маш.час</t>
        </is>
      </c>
      <c r="F51" s="175" t="n">
        <v>2.400419</v>
      </c>
      <c r="G51" s="177" t="n">
        <v>0.5</v>
      </c>
      <c r="H51" s="177">
        <f>ROUND(F51*G51,2)</f>
        <v/>
      </c>
    </row>
    <row r="52" ht="31.15" customFormat="1" customHeight="1" s="159">
      <c r="A52" s="175" t="n">
        <v>38</v>
      </c>
      <c r="B52" s="175" t="n"/>
      <c r="C52" s="174" t="inlineStr">
        <is>
          <t>91.01.02-004</t>
        </is>
      </c>
      <c r="D52" s="174" t="inlineStr">
        <is>
          <t>Автогрейдеры среднего типа, мощность 99 кВт (135 л.с.)</t>
        </is>
      </c>
      <c r="E52" s="175" t="inlineStr">
        <is>
          <t>маш.час</t>
        </is>
      </c>
      <c r="F52" s="175" t="n">
        <v>0.00651</v>
      </c>
      <c r="G52" s="177" t="n">
        <v>123</v>
      </c>
      <c r="H52" s="177">
        <f>ROUND(F52*G52,2)</f>
        <v/>
      </c>
    </row>
    <row r="53" ht="46.9" customFormat="1" customHeight="1" s="159">
      <c r="A53" s="175" t="n">
        <v>39</v>
      </c>
      <c r="B53" s="175" t="n"/>
      <c r="C53" s="174" t="inlineStr">
        <is>
          <t>91.21.10-003</t>
        </is>
      </c>
      <c r="D53" s="174" t="inlineStr">
        <is>
          <t>Молотки при работе от передвижных компрессорных станций отбойные пневматические</t>
        </is>
      </c>
      <c r="E53" s="175" t="inlineStr">
        <is>
          <t>маш.час</t>
        </is>
      </c>
      <c r="F53" s="175" t="n">
        <v>0.370272</v>
      </c>
      <c r="G53" s="177" t="n">
        <v>1.53</v>
      </c>
      <c r="H53" s="177">
        <f>ROUND(F53*G53,2)</f>
        <v/>
      </c>
    </row>
    <row r="54" ht="31.15" customFormat="1" customHeight="1" s="159">
      <c r="A54" s="175" t="n">
        <v>40</v>
      </c>
      <c r="B54" s="175" t="n"/>
      <c r="C54" s="174" t="inlineStr">
        <is>
          <t>91.07.03-010</t>
        </is>
      </c>
      <c r="D54" s="174" t="inlineStr">
        <is>
          <t>Бетоносмесители принудительного действия передвижные 250 л</t>
        </is>
      </c>
      <c r="E54" s="175" t="inlineStr">
        <is>
          <t>маш.час</t>
        </is>
      </c>
      <c r="F54" s="175" t="n">
        <v>0.025327</v>
      </c>
      <c r="G54" s="177" t="n">
        <v>21.64</v>
      </c>
      <c r="H54" s="177">
        <f>ROUND(F54*G54,2)</f>
        <v/>
      </c>
    </row>
    <row r="55" ht="46.9" customFormat="1" customHeight="1" s="159">
      <c r="A55" s="175" t="n">
        <v>41</v>
      </c>
      <c r="B55" s="175" t="n"/>
      <c r="C55" s="174" t="inlineStr">
        <is>
          <t>91.21.01-012</t>
        </is>
      </c>
      <c r="D55" s="174" t="inlineStr">
        <is>
          <t>Агрегаты окрасочные высокого давления для окраски поверхностей конструкций, мощность 1 кВт</t>
        </is>
      </c>
      <c r="E55" s="175" t="inlineStr">
        <is>
          <t>маш.час</t>
        </is>
      </c>
      <c r="F55" s="175" t="n">
        <v>0.0097838</v>
      </c>
      <c r="G55" s="177" t="n">
        <v>6.82</v>
      </c>
      <c r="H55" s="177">
        <f>ROUND(F55*G55,2)</f>
        <v/>
      </c>
    </row>
    <row r="56" ht="31.15" customFormat="1" customHeight="1" s="159">
      <c r="A56" s="175" t="n">
        <v>42</v>
      </c>
      <c r="B56" s="175" t="n"/>
      <c r="C56" s="174" t="inlineStr">
        <is>
          <t>91.06.03-060</t>
        </is>
      </c>
      <c r="D56" s="174" t="inlineStr">
        <is>
          <t>Лебедки электрические тяговым усилием до 5,79 кН (0,59 т)</t>
        </is>
      </c>
      <c r="E56" s="175" t="inlineStr">
        <is>
          <t>маш.час</t>
        </is>
      </c>
      <c r="F56" s="175" t="n">
        <v>0.0001505</v>
      </c>
      <c r="G56" s="177" t="n">
        <v>1.7</v>
      </c>
      <c r="H56" s="177">
        <f>ROUND(F56*G56,2)</f>
        <v/>
      </c>
    </row>
    <row r="57" ht="15.6" customFormat="1" customHeight="1" s="121">
      <c r="A57" s="173" t="inlineStr">
        <is>
          <t>Материалы</t>
        </is>
      </c>
      <c r="B57" s="201" t="n"/>
      <c r="C57" s="201" t="n"/>
      <c r="D57" s="201" t="n"/>
      <c r="E57" s="202" t="n"/>
      <c r="F57" s="173" t="n"/>
      <c r="G57" s="12" t="n"/>
      <c r="H57" s="12">
        <f>SUM(H58:H110)</f>
        <v/>
      </c>
    </row>
    <row r="58" ht="46.9" customFormat="1" customHeight="1" s="159">
      <c r="A58" s="175" t="n">
        <v>43</v>
      </c>
      <c r="B58" s="175" t="n"/>
      <c r="C58" s="178" t="inlineStr">
        <is>
          <t>05.1.01.12-0007</t>
        </is>
      </c>
      <c r="D58" s="194" t="inlineStr">
        <is>
          <t>Плита перекрытия лотков и каналов ПЛ-1, бетон B15 (М200), объем 0,18 м3, расход арматуры 17,37 кг</t>
        </is>
      </c>
      <c r="E58" s="198" t="inlineStr">
        <is>
          <t>шт</t>
        </is>
      </c>
      <c r="F58" s="195" t="n">
        <v>1150</v>
      </c>
      <c r="G58" s="29" t="n">
        <v>381.18</v>
      </c>
      <c r="H58" s="177">
        <f>ROUND(G58*F58,2)</f>
        <v/>
      </c>
    </row>
    <row r="59" ht="31.15" customFormat="1" customHeight="1" s="159">
      <c r="A59" s="175" t="n">
        <v>44</v>
      </c>
      <c r="B59" s="175" t="n"/>
      <c r="C59" s="174" t="inlineStr">
        <is>
          <t>05.1.01.10-0145</t>
        </is>
      </c>
      <c r="D59" s="194" t="inlineStr">
        <is>
          <t>Лоток ЛК 300.60.45-1, бетон B15 (М200), объем 0,27 м3, расход арматуры 5,5 кг</t>
        </is>
      </c>
      <c r="E59" s="198" t="inlineStr">
        <is>
          <t>шт</t>
        </is>
      </c>
      <c r="F59" s="195" t="n">
        <v>575</v>
      </c>
      <c r="G59" s="29" t="n">
        <v>307</v>
      </c>
      <c r="H59" s="177">
        <f>ROUND(G59*F59,2)</f>
        <v/>
      </c>
    </row>
    <row r="60" ht="15.6" customFormat="1" customHeight="1" s="159">
      <c r="A60" s="175" t="n">
        <v>45</v>
      </c>
      <c r="B60" s="175" t="n"/>
      <c r="C60" s="174" t="inlineStr">
        <is>
          <t>Прайс из СД ОП</t>
        </is>
      </c>
      <c r="D60" s="174" t="inlineStr">
        <is>
          <t>Бруски Б10</t>
        </is>
      </c>
      <c r="E60" s="175" t="inlineStr">
        <is>
          <t>ШТ</t>
        </is>
      </c>
      <c r="F60" s="175" t="n">
        <v>340</v>
      </c>
      <c r="G60" s="177" t="n">
        <v>137.06</v>
      </c>
      <c r="H60" s="177">
        <f>ROUND(F60*G60,2)</f>
        <v/>
      </c>
    </row>
    <row r="61" ht="31.15" customFormat="1" customHeight="1" s="159">
      <c r="A61" s="175" t="n">
        <v>46</v>
      </c>
      <c r="B61" s="175" t="n"/>
      <c r="C61" s="174" t="inlineStr">
        <is>
          <t>04.1.02.05-0009</t>
        </is>
      </c>
      <c r="D61" s="174" t="inlineStr">
        <is>
          <t>Смеси бетонные тяжелого бетона (БСТ), класс В25 (М350)</t>
        </is>
      </c>
      <c r="E61" s="175" t="inlineStr">
        <is>
          <t>м3</t>
        </is>
      </c>
      <c r="F61" s="175" t="n">
        <v>29.40195</v>
      </c>
      <c r="G61" s="177" t="n">
        <v>725.6900000000001</v>
      </c>
      <c r="H61" s="177">
        <f>ROUND(F61*G61,2)</f>
        <v/>
      </c>
    </row>
    <row r="62" ht="15.6" customFormat="1" customHeight="1" s="159">
      <c r="A62" s="175" t="n">
        <v>47</v>
      </c>
      <c r="B62" s="175" t="n"/>
      <c r="C62" s="174" t="inlineStr">
        <is>
          <t>Прайс из СД ОП</t>
        </is>
      </c>
      <c r="D62" s="174" t="inlineStr">
        <is>
          <t>Бруски Б5</t>
        </is>
      </c>
      <c r="E62" s="175" t="inlineStr">
        <is>
          <t>ШТ</t>
        </is>
      </c>
      <c r="F62" s="175" t="n">
        <v>242</v>
      </c>
      <c r="G62" s="177" t="n">
        <v>87.72</v>
      </c>
      <c r="H62" s="177">
        <f>ROUND(F62*G62,2)</f>
        <v/>
      </c>
    </row>
    <row r="63" ht="78" customFormat="1" customHeight="1" s="159">
      <c r="A63" s="175" t="n">
        <v>48</v>
      </c>
      <c r="B63" s="175" t="n"/>
      <c r="C63" s="174" t="inlineStr">
        <is>
          <t>07.2.07.12-0006</t>
        </is>
      </c>
      <c r="D63" s="174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E63" s="175" t="inlineStr">
        <is>
          <t>т</t>
        </is>
      </c>
      <c r="F63" s="175" t="n">
        <v>1.1096</v>
      </c>
      <c r="G63" s="177" t="n">
        <v>10045</v>
      </c>
      <c r="H63" s="177">
        <f>ROUND(F63*G63,2)</f>
        <v/>
      </c>
    </row>
    <row r="64" ht="31.15" customFormat="1" customHeight="1" s="159">
      <c r="A64" s="175" t="n">
        <v>49</v>
      </c>
      <c r="B64" s="175" t="n"/>
      <c r="C64" s="174" t="inlineStr">
        <is>
          <t>05.1.02.03-0001</t>
        </is>
      </c>
      <c r="D64" s="174" t="inlineStr">
        <is>
          <t>Бруски железобетонные для прокладки лотков (БРУСКИ Б10 (БК12-А)</t>
        </is>
      </c>
      <c r="E64" s="175" t="inlineStr">
        <is>
          <t>м3</t>
        </is>
      </c>
      <c r="F64" s="175" t="n">
        <v>5.1</v>
      </c>
      <c r="G64" s="177" t="n">
        <v>1684.93</v>
      </c>
      <c r="H64" s="177">
        <f>ROUND(F64*G64,2)</f>
        <v/>
      </c>
    </row>
    <row r="65" ht="15.6" customFormat="1" customHeight="1" s="159">
      <c r="A65" s="175" t="n">
        <v>50</v>
      </c>
      <c r="B65" s="175" t="n"/>
      <c r="C65" s="174" t="inlineStr">
        <is>
          <t>12.1.02.06-0042</t>
        </is>
      </c>
      <c r="D65" s="174" t="inlineStr">
        <is>
          <t>Рубероид кровельный РПП-300</t>
        </is>
      </c>
      <c r="E65" s="175" t="inlineStr">
        <is>
          <t>м2</t>
        </is>
      </c>
      <c r="F65" s="175" t="n">
        <v>1036.304</v>
      </c>
      <c r="G65" s="177" t="n">
        <v>6.78</v>
      </c>
      <c r="H65" s="177">
        <f>ROUND(F65*G65,2)</f>
        <v/>
      </c>
    </row>
    <row r="66" ht="15.6" customFormat="1" customHeight="1" s="159">
      <c r="A66" s="175" t="n">
        <v>51</v>
      </c>
      <c r="B66" s="175" t="n"/>
      <c r="C66" s="174" t="inlineStr">
        <is>
          <t>01.7.11.07-0054</t>
        </is>
      </c>
      <c r="D66" s="174" t="inlineStr">
        <is>
          <t>Электроды сварочные Э42, диаметр 6 мм</t>
        </is>
      </c>
      <c r="E66" s="175" t="inlineStr">
        <is>
          <t>т</t>
        </is>
      </c>
      <c r="F66" s="175" t="n">
        <v>0.7419012</v>
      </c>
      <c r="G66" s="177" t="n">
        <v>9424</v>
      </c>
      <c r="H66" s="177">
        <f>ROUND(F66*G66,2)</f>
        <v/>
      </c>
    </row>
    <row r="67" ht="46.9" customFormat="1" customHeight="1" s="159">
      <c r="A67" s="175" t="n">
        <v>52</v>
      </c>
      <c r="B67" s="175" t="n"/>
      <c r="C67" s="174" t="inlineStr">
        <is>
          <t>08.4.02.03-1032</t>
        </is>
      </c>
      <c r="D67" s="174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E67" s="175" t="inlineStr">
        <is>
          <t>т</t>
        </is>
      </c>
      <c r="F67" s="175" t="n">
        <v>1.169776</v>
      </c>
      <c r="G67" s="177" t="n">
        <v>5582.57</v>
      </c>
      <c r="H67" s="177">
        <f>ROUND(F67*G67,2)</f>
        <v/>
      </c>
    </row>
    <row r="68" ht="31.15" customFormat="1" customHeight="1" s="159">
      <c r="A68" s="175" t="n">
        <v>53</v>
      </c>
      <c r="B68" s="175" t="n"/>
      <c r="C68" s="174" t="inlineStr">
        <is>
          <t>04.1.02.01-0009</t>
        </is>
      </c>
      <c r="D68" s="174" t="inlineStr">
        <is>
          <t>Смеси бетонные мелкозернистого бетона (БСМ), класс В25 (М350)</t>
        </is>
      </c>
      <c r="E68" s="175" t="inlineStr">
        <is>
          <t>м3</t>
        </is>
      </c>
      <c r="F68" s="175" t="n">
        <v>9.9876</v>
      </c>
      <c r="G68" s="177" t="n">
        <v>653.3099999999999</v>
      </c>
      <c r="H68" s="177">
        <f>ROUND(F68*G68,2)</f>
        <v/>
      </c>
    </row>
    <row r="69" ht="31.15" customFormat="1" customHeight="1" s="159">
      <c r="A69" s="175" t="n">
        <v>54</v>
      </c>
      <c r="B69" s="175" t="n"/>
      <c r="C69" s="174" t="inlineStr">
        <is>
          <t>08.3.04.02-0063</t>
        </is>
      </c>
      <c r="D69" s="174" t="inlineStr">
        <is>
          <t>Сталь круглая и квадратная, марки Ст1кп-Ст4кп, Ст1пс-Ст6пс, размер 5-12 мм</t>
        </is>
      </c>
      <c r="E69" s="175" t="inlineStr">
        <is>
          <t>т</t>
        </is>
      </c>
      <c r="F69" s="175" t="n">
        <v>0.834552</v>
      </c>
      <c r="G69" s="177" t="n">
        <v>6785.77</v>
      </c>
      <c r="H69" s="177">
        <f>ROUND(F69*G69,2)</f>
        <v/>
      </c>
    </row>
    <row r="70" ht="31.15" customFormat="1" customHeight="1" s="159">
      <c r="A70" s="175" t="n">
        <v>55</v>
      </c>
      <c r="B70" s="175" t="n"/>
      <c r="C70" s="174" t="inlineStr">
        <is>
          <t>11.1.03.06-0092</t>
        </is>
      </c>
      <c r="D70" s="174" t="inlineStr">
        <is>
          <t>Доска обрезная, хвойных пород, ширина 75-150 мм, толщина 32-40 мм, длина 4-6,5 м, сорт IV</t>
        </is>
      </c>
      <c r="E70" s="175" t="inlineStr">
        <is>
          <t>м3</t>
        </is>
      </c>
      <c r="F70" s="175" t="n">
        <v>5.53656</v>
      </c>
      <c r="G70" s="177" t="n">
        <v>1010</v>
      </c>
      <c r="H70" s="177">
        <f>ROUND(F70*G70,2)</f>
        <v/>
      </c>
    </row>
    <row r="71" ht="31.15" customFormat="1" customHeight="1" s="159">
      <c r="A71" s="175" t="n">
        <v>56</v>
      </c>
      <c r="B71" s="175" t="n"/>
      <c r="C71" s="174" t="inlineStr">
        <is>
          <t>04.1.02.05-0003</t>
        </is>
      </c>
      <c r="D71" s="174" t="inlineStr">
        <is>
          <t>Смеси бетонные тяжелого бетона (БСТ), класс В7,5 (М100)</t>
        </is>
      </c>
      <c r="E71" s="175" t="inlineStr">
        <is>
          <t>м3</t>
        </is>
      </c>
      <c r="F71" s="175" t="n">
        <v>9.006600000000001</v>
      </c>
      <c r="G71" s="177" t="n">
        <v>560</v>
      </c>
      <c r="H71" s="177">
        <f>ROUND(F71*G71,2)</f>
        <v/>
      </c>
    </row>
    <row r="72" ht="15.6" customFormat="1" customHeight="1" s="159">
      <c r="A72" s="175" t="n">
        <v>57</v>
      </c>
      <c r="B72" s="175" t="n"/>
      <c r="C72" s="174" t="inlineStr">
        <is>
          <t>01.7.07.12-0024</t>
        </is>
      </c>
      <c r="D72" s="174" t="inlineStr">
        <is>
          <t>Пленка полиэтиленовая, толщина 0,15 мм</t>
        </is>
      </c>
      <c r="E72" s="175" t="inlineStr">
        <is>
          <t>м2</t>
        </is>
      </c>
      <c r="F72" s="175" t="n">
        <v>993.687</v>
      </c>
      <c r="G72" s="177" t="n">
        <v>3.62</v>
      </c>
      <c r="H72" s="177">
        <f>ROUND(F72*G72,2)</f>
        <v/>
      </c>
    </row>
    <row r="73" ht="15.6" customFormat="1" customHeight="1" s="159">
      <c r="A73" s="175" t="n">
        <v>58</v>
      </c>
      <c r="B73" s="175" t="n"/>
      <c r="C73" s="174" t="inlineStr">
        <is>
          <t>14.4.02.04-0006</t>
        </is>
      </c>
      <c r="D73" s="174" t="inlineStr">
        <is>
          <t>Краска для наружных работ, коричневая</t>
        </is>
      </c>
      <c r="E73" s="175" t="inlineStr">
        <is>
          <t>т</t>
        </is>
      </c>
      <c r="F73" s="175" t="n">
        <v>0.1832</v>
      </c>
      <c r="G73" s="177" t="n">
        <v>17796.96</v>
      </c>
      <c r="H73" s="177">
        <f>ROUND(F73*G73,2)</f>
        <v/>
      </c>
    </row>
    <row r="74" ht="31.15" customFormat="1" customHeight="1" s="159">
      <c r="A74" s="175" t="n">
        <v>59</v>
      </c>
      <c r="B74" s="175" t="n"/>
      <c r="C74" s="174" t="inlineStr">
        <is>
          <t>01.2.03.03-0107</t>
        </is>
      </c>
      <c r="D74" s="174" t="inlineStr">
        <is>
          <t>Мастика битумно-масляная морозостойкая горячего применения</t>
        </is>
      </c>
      <c r="E74" s="175" t="inlineStr">
        <is>
          <t>т</t>
        </is>
      </c>
      <c r="F74" s="175" t="n">
        <v>0.749088</v>
      </c>
      <c r="G74" s="177" t="n">
        <v>3960</v>
      </c>
      <c r="H74" s="177">
        <f>ROUND(F74*G74,2)</f>
        <v/>
      </c>
    </row>
    <row r="75" ht="31.15" customFormat="1" customHeight="1" s="159">
      <c r="A75" s="175" t="n">
        <v>60</v>
      </c>
      <c r="B75" s="175" t="n"/>
      <c r="C75" s="174" t="inlineStr">
        <is>
          <t>02.3.01.02-0003</t>
        </is>
      </c>
      <c r="D75" s="174" t="inlineStr">
        <is>
          <t>Песок для строительных работ природный 50%; обогащенный 50%</t>
        </is>
      </c>
      <c r="E75" s="175" t="inlineStr">
        <is>
          <t>м3</t>
        </is>
      </c>
      <c r="F75" s="175" t="n">
        <v>46.97</v>
      </c>
      <c r="G75" s="177" t="n">
        <v>54.95</v>
      </c>
      <c r="H75" s="177">
        <f>ROUND(F75*G75,2)</f>
        <v/>
      </c>
    </row>
    <row r="76" ht="31.15" customFormat="1" customHeight="1" s="159">
      <c r="A76" s="175" t="n">
        <v>61</v>
      </c>
      <c r="B76" s="175" t="n"/>
      <c r="C76" s="174" t="inlineStr">
        <is>
          <t>04.3.01.12-0111</t>
        </is>
      </c>
      <c r="D76" s="174" t="inlineStr">
        <is>
          <t>Раствор готовый отделочный тяжелый, цементно-известковый, состав 1:1:6</t>
        </is>
      </c>
      <c r="E76" s="175" t="inlineStr">
        <is>
          <t>м3</t>
        </is>
      </c>
      <c r="F76" s="175" t="n">
        <v>3.664</v>
      </c>
      <c r="G76" s="177" t="n">
        <v>517.91</v>
      </c>
      <c r="H76" s="177">
        <f>ROUND(F76*G76,2)</f>
        <v/>
      </c>
    </row>
    <row r="77" ht="31.15" customFormat="1" customHeight="1" s="159">
      <c r="A77" s="175" t="n">
        <v>62</v>
      </c>
      <c r="B77" s="175" t="n"/>
      <c r="C77" s="174" t="inlineStr">
        <is>
          <t>06.1.01.05-0015</t>
        </is>
      </c>
      <c r="D77" s="174" t="inlineStr">
        <is>
          <t>Кирпич керамический лицевой, размер 250х120х65 мм, марка 100</t>
        </is>
      </c>
      <c r="E77" s="175" t="inlineStr">
        <is>
          <t>1000 шт</t>
        </is>
      </c>
      <c r="F77" s="175" t="n">
        <v>0.752</v>
      </c>
      <c r="G77" s="177" t="n">
        <v>1740.2</v>
      </c>
      <c r="H77" s="177">
        <f>ROUND(F77*G77,2)</f>
        <v/>
      </c>
    </row>
    <row r="78" ht="31.15" customFormat="1" customHeight="1" s="159">
      <c r="A78" s="175" t="n">
        <v>63</v>
      </c>
      <c r="B78" s="175" t="n"/>
      <c r="C78" s="174" t="inlineStr">
        <is>
          <t>08.3.03.06-0002</t>
        </is>
      </c>
      <c r="D78" s="174" t="inlineStr">
        <is>
          <t>Проволока горячекатаная в мотках, диаметр 6,3-6,5 мм</t>
        </is>
      </c>
      <c r="E78" s="175" t="inlineStr">
        <is>
          <t>т</t>
        </is>
      </c>
      <c r="F78" s="175" t="n">
        <v>0.2907406</v>
      </c>
      <c r="G78" s="177" t="n">
        <v>4455.2</v>
      </c>
      <c r="H78" s="177">
        <f>ROUND(F78*G78,2)</f>
        <v/>
      </c>
    </row>
    <row r="79" ht="31.15" customFormat="1" customHeight="1" s="159">
      <c r="A79" s="175" t="n">
        <v>64</v>
      </c>
      <c r="B79" s="175" t="n"/>
      <c r="C79" s="174" t="inlineStr">
        <is>
          <t>08.3.08.01-0023</t>
        </is>
      </c>
      <c r="D79" s="174" t="inlineStr">
        <is>
          <t>Сталь угловая неравнополочная, марка 18кп, 18 пс, 18гпс, ширина большой полки более 80 мм</t>
        </is>
      </c>
      <c r="E79" s="175" t="inlineStr">
        <is>
          <t>т</t>
        </is>
      </c>
      <c r="F79" s="175" t="n">
        <v>0.16</v>
      </c>
      <c r="G79" s="177" t="n">
        <v>6305.86</v>
      </c>
      <c r="H79" s="177">
        <f>ROUND(F79*G79,2)</f>
        <v/>
      </c>
    </row>
    <row r="80" ht="46.9" customFormat="1" customHeight="1" s="159">
      <c r="A80" s="175" t="n">
        <v>65</v>
      </c>
      <c r="B80" s="175" t="n"/>
      <c r="C80" s="174" t="inlineStr">
        <is>
          <t>08.3.08.02-0058</t>
        </is>
      </c>
      <c r="D80" s="174" t="inlineStr">
        <is>
          <t>Уголок горячекатаный, марка стали Ст1кп-Ст4кп, Ст1пс-Ст6пс, Ст1Гпс-Ст5Гпс, ширина полок 35-70 мм</t>
        </is>
      </c>
      <c r="E80" s="175" t="inlineStr">
        <is>
          <t>т</t>
        </is>
      </c>
      <c r="F80" s="175" t="n">
        <v>0.143244</v>
      </c>
      <c r="G80" s="177" t="n">
        <v>6503.23</v>
      </c>
      <c r="H80" s="177">
        <f>ROUND(F80*G80,2)</f>
        <v/>
      </c>
    </row>
    <row r="81" ht="31.15" customFormat="1" customHeight="1" s="159">
      <c r="A81" s="175" t="n">
        <v>66</v>
      </c>
      <c r="B81" s="175" t="n"/>
      <c r="C81" s="174" t="inlineStr">
        <is>
          <t>11.2.11.05-0011</t>
        </is>
      </c>
      <c r="D81" s="174" t="inlineStr">
        <is>
          <t>Фанера клееная марки ФСФ толщиной 12 мм и более</t>
        </is>
      </c>
      <c r="E81" s="175" t="inlineStr">
        <is>
          <t>м3</t>
        </is>
      </c>
      <c r="F81" s="175" t="n">
        <v>0.149472</v>
      </c>
      <c r="G81" s="177" t="n">
        <v>5197.23</v>
      </c>
      <c r="H81" s="177">
        <f>ROUND(F81*G81,2)</f>
        <v/>
      </c>
    </row>
    <row r="82" ht="15.6" customFormat="1" customHeight="1" s="159">
      <c r="A82" s="175" t="n">
        <v>67</v>
      </c>
      <c r="B82" s="175" t="n"/>
      <c r="C82" s="174" t="inlineStr">
        <is>
          <t>04.3.01.09-0014</t>
        </is>
      </c>
      <c r="D82" s="174" t="inlineStr">
        <is>
          <t>Раствор готовый кладочный, цементный, М100</t>
        </is>
      </c>
      <c r="E82" s="175" t="inlineStr">
        <is>
          <t>м3</t>
        </is>
      </c>
      <c r="F82" s="175" t="n">
        <v>1.455</v>
      </c>
      <c r="G82" s="177" t="n">
        <v>519.8</v>
      </c>
      <c r="H82" s="177">
        <f>ROUND(F82*G82,2)</f>
        <v/>
      </c>
    </row>
    <row r="83" ht="15.6" customFormat="1" customHeight="1" s="159">
      <c r="A83" s="175" t="n">
        <v>68</v>
      </c>
      <c r="B83" s="175" t="n"/>
      <c r="C83" s="174" t="inlineStr">
        <is>
          <t>04.3.01.09-0018</t>
        </is>
      </c>
      <c r="D83" s="174" t="inlineStr">
        <is>
          <t>Раствор готовый кладочный, цементный, М300</t>
        </is>
      </c>
      <c r="E83" s="175" t="inlineStr">
        <is>
          <t>м3</t>
        </is>
      </c>
      <c r="F83" s="175" t="n">
        <v>0.4896</v>
      </c>
      <c r="G83" s="177" t="n">
        <v>711.5</v>
      </c>
      <c r="H83" s="177">
        <f>ROUND(F83*G83,2)</f>
        <v/>
      </c>
    </row>
    <row r="84" ht="31.15" customFormat="1" customHeight="1" s="159">
      <c r="A84" s="175" t="n">
        <v>69</v>
      </c>
      <c r="B84" s="175" t="n"/>
      <c r="C84" s="174" t="inlineStr">
        <is>
          <t>11.1.03.06-0090</t>
        </is>
      </c>
      <c r="D84" s="174" t="inlineStr">
        <is>
          <t>Доска обрезная, хвойных пород, ширина 75-150 мм, толщина 32-40 мм, длина 4-6,5 м, сорт II</t>
        </is>
      </c>
      <c r="E84" s="175" t="inlineStr">
        <is>
          <t>м3</t>
        </is>
      </c>
      <c r="F84" s="175" t="n">
        <v>0.2154888</v>
      </c>
      <c r="G84" s="177" t="n">
        <v>1430</v>
      </c>
      <c r="H84" s="177">
        <f>ROUND(F84*G84,2)</f>
        <v/>
      </c>
    </row>
    <row r="85" ht="15.6" customFormat="1" customHeight="1" s="159">
      <c r="A85" s="175" t="n">
        <v>70</v>
      </c>
      <c r="B85" s="175" t="n"/>
      <c r="C85" s="174" t="inlineStr">
        <is>
          <t>01.7.15.06-0111</t>
        </is>
      </c>
      <c r="D85" s="174" t="inlineStr">
        <is>
          <t>Гвозди строительные</t>
        </is>
      </c>
      <c r="E85" s="175" t="inlineStr">
        <is>
          <t>т</t>
        </is>
      </c>
      <c r="F85" s="175" t="n">
        <v>0.0237024</v>
      </c>
      <c r="G85" s="177" t="n">
        <v>11978</v>
      </c>
      <c r="H85" s="177">
        <f>ROUND(F85*G85,2)</f>
        <v/>
      </c>
    </row>
    <row r="86" ht="46.9" customFormat="1" customHeight="1" s="159">
      <c r="A86" s="175" t="n">
        <v>71</v>
      </c>
      <c r="B86" s="175" t="n"/>
      <c r="C86" s="174" t="inlineStr">
        <is>
          <t>11.3.03.15-1012</t>
        </is>
      </c>
      <c r="D86" s="174" t="inlineStr">
        <is>
          <t>Фиксаторы защитного слоя арматуры пластиковые, форма звездочка, толщина защитного слоя бетона 25 мм</t>
        </is>
      </c>
      <c r="E86" s="175" t="inlineStr">
        <is>
          <t>100 шт</t>
        </is>
      </c>
      <c r="F86" s="175" t="n">
        <v>17.93664</v>
      </c>
      <c r="G86" s="177" t="n">
        <v>15.41</v>
      </c>
      <c r="H86" s="177">
        <f>ROUND(F86*G86,2)</f>
        <v/>
      </c>
    </row>
    <row r="87" ht="15.6" customFormat="1" customHeight="1" s="159">
      <c r="A87" s="175" t="n">
        <v>72</v>
      </c>
      <c r="B87" s="175" t="n"/>
      <c r="C87" s="174" t="inlineStr">
        <is>
          <t>01.2.03.03-0007</t>
        </is>
      </c>
      <c r="D87" s="174" t="inlineStr">
        <is>
          <t>Мастика битумная</t>
        </is>
      </c>
      <c r="E87" s="175" t="inlineStr">
        <is>
          <t>т</t>
        </is>
      </c>
      <c r="F87" s="175" t="n">
        <v>0.08016</v>
      </c>
      <c r="G87" s="177" t="n">
        <v>3316.55</v>
      </c>
      <c r="H87" s="177">
        <f>ROUND(F87*G87,2)</f>
        <v/>
      </c>
    </row>
    <row r="88" ht="15.6" customFormat="1" customHeight="1" s="159">
      <c r="A88" s="175" t="n">
        <v>73</v>
      </c>
      <c r="B88" s="175" t="n"/>
      <c r="C88" s="174" t="inlineStr">
        <is>
          <t>04.3.01.09-0016</t>
        </is>
      </c>
      <c r="D88" s="174" t="inlineStr">
        <is>
          <t>Раствор готовый кладочный, цементный, М200</t>
        </is>
      </c>
      <c r="E88" s="175" t="inlineStr">
        <is>
          <t>м3</t>
        </is>
      </c>
      <c r="F88" s="175" t="n">
        <v>0.43068</v>
      </c>
      <c r="G88" s="177" t="n">
        <v>600</v>
      </c>
      <c r="H88" s="177">
        <f>ROUND(F88*G88,2)</f>
        <v/>
      </c>
    </row>
    <row r="89" ht="15.6" customFormat="1" customHeight="1" s="159">
      <c r="A89" s="175" t="n">
        <v>74</v>
      </c>
      <c r="B89" s="175" t="n"/>
      <c r="C89" s="174" t="inlineStr">
        <is>
          <t>01.3.01.03-0002</t>
        </is>
      </c>
      <c r="D89" s="174" t="inlineStr">
        <is>
          <t>Керосин для технических целей</t>
        </is>
      </c>
      <c r="E89" s="175" t="inlineStr">
        <is>
          <t>т</t>
        </is>
      </c>
      <c r="F89" s="175" t="n">
        <v>0.0749088</v>
      </c>
      <c r="G89" s="177" t="n">
        <v>2606.9</v>
      </c>
      <c r="H89" s="177">
        <f>ROUND(F89*G89,2)</f>
        <v/>
      </c>
    </row>
    <row r="90" ht="15.6" customFormat="1" customHeight="1" s="159">
      <c r="A90" s="175" t="n">
        <v>75</v>
      </c>
      <c r="B90" s="175" t="n"/>
      <c r="C90" s="174" t="inlineStr">
        <is>
          <t>11.2.13.04-0011</t>
        </is>
      </c>
      <c r="D90" s="174" t="inlineStr">
        <is>
          <t>Щиты из досок, толщина 25 мм</t>
        </is>
      </c>
      <c r="E90" s="175" t="inlineStr">
        <is>
          <t>м2</t>
        </is>
      </c>
      <c r="F90" s="175" t="n">
        <v>5.01144</v>
      </c>
      <c r="G90" s="177" t="n">
        <v>35.53</v>
      </c>
      <c r="H90" s="177">
        <f>ROUND(F90*G90,2)</f>
        <v/>
      </c>
    </row>
    <row r="91" ht="46.9" customFormat="1" customHeight="1" s="159">
      <c r="A91" s="175" t="n">
        <v>76</v>
      </c>
      <c r="B91" s="175" t="n"/>
      <c r="C91" s="174" t="inlineStr">
        <is>
          <t>24.3.01.02-1002</t>
        </is>
      </c>
      <c r="D91" s="174" t="inlineStr">
        <is>
          <t>Кольца резиновые уплотнительные для поливинилхлоридных труб канализации, диаметр 110 мм</t>
        </is>
      </c>
      <c r="E91" s="175" t="inlineStr">
        <is>
          <t>шт</t>
        </is>
      </c>
      <c r="F91" s="175" t="n">
        <v>456.5217391</v>
      </c>
      <c r="G91" s="177" t="n">
        <v>0.37</v>
      </c>
      <c r="H91" s="177">
        <f>ROUND(F91*G91,2)</f>
        <v/>
      </c>
    </row>
    <row r="92" ht="46.9" customFormat="1" customHeight="1" s="159">
      <c r="A92" s="175" t="n">
        <v>77</v>
      </c>
      <c r="B92" s="175" t="n"/>
      <c r="C92" s="174" t="inlineStr">
        <is>
          <t>11.1.03.06-0095</t>
        </is>
      </c>
      <c r="D92" s="174" t="inlineStr">
        <is>
          <t>Доска обрезная, хвойных пород, ширина 75-150 мм, толщина 44 мм и более, длина 4-6,5 м, сорт III</t>
        </is>
      </c>
      <c r="E92" s="175" t="inlineStr">
        <is>
          <t>м3</t>
        </is>
      </c>
      <c r="F92" s="175" t="n">
        <v>0.150144</v>
      </c>
      <c r="G92" s="177" t="n">
        <v>1056</v>
      </c>
      <c r="H92" s="177">
        <f>ROUND(F92*G92,2)</f>
        <v/>
      </c>
    </row>
    <row r="93" ht="15.6" customFormat="1" customHeight="1" s="159">
      <c r="A93" s="175" t="n">
        <v>78</v>
      </c>
      <c r="B93" s="175" t="n"/>
      <c r="C93" s="174" t="inlineStr">
        <is>
          <t>01.3.04.08-0012</t>
        </is>
      </c>
      <c r="D93" s="174" t="inlineStr">
        <is>
          <t>Масло антраценовое</t>
        </is>
      </c>
      <c r="E93" s="175" t="inlineStr">
        <is>
          <t>т</t>
        </is>
      </c>
      <c r="F93" s="175" t="n">
        <v>0.0519</v>
      </c>
      <c r="G93" s="177" t="n">
        <v>1696.01</v>
      </c>
      <c r="H93" s="177">
        <f>ROUND(F93*G93,2)</f>
        <v/>
      </c>
    </row>
    <row r="94" ht="15.6" customFormat="1" customHeight="1" s="159">
      <c r="A94" s="175" t="n">
        <v>79</v>
      </c>
      <c r="B94" s="175" t="n"/>
      <c r="C94" s="174" t="inlineStr">
        <is>
          <t>01.7.03.01-0001</t>
        </is>
      </c>
      <c r="D94" s="174" t="inlineStr">
        <is>
          <t>Вода</t>
        </is>
      </c>
      <c r="E94" s="175" t="inlineStr">
        <is>
          <t>м3</t>
        </is>
      </c>
      <c r="F94" s="175" t="n">
        <v>30.3528133</v>
      </c>
      <c r="G94" s="177" t="n">
        <v>2.44</v>
      </c>
      <c r="H94" s="177">
        <f>ROUND(F94*G94,2)</f>
        <v/>
      </c>
    </row>
    <row r="95" ht="31.15" customFormat="1" customHeight="1" s="159">
      <c r="A95" s="175" t="n">
        <v>80</v>
      </c>
      <c r="B95" s="175" t="n"/>
      <c r="C95" s="174" t="inlineStr">
        <is>
          <t>08.3.07.01-0011</t>
        </is>
      </c>
      <c r="D95" s="174" t="inlineStr">
        <is>
          <t>Прокат полосовой, горячекатаный, марка стали Ст6сп, ширина 100-200 мм, толщина 10-75 мм</t>
        </is>
      </c>
      <c r="E95" s="175" t="inlineStr">
        <is>
          <t>т</t>
        </is>
      </c>
      <c r="F95" s="175" t="n">
        <v>0.012456</v>
      </c>
      <c r="G95" s="177" t="n">
        <v>5817.58</v>
      </c>
      <c r="H95" s="177">
        <f>ROUND(F95*G95,2)</f>
        <v/>
      </c>
    </row>
    <row r="96" ht="31.15" customFormat="1" customHeight="1" s="159">
      <c r="A96" s="175" t="n">
        <v>81</v>
      </c>
      <c r="B96" s="175" t="n"/>
      <c r="C96" s="174" t="inlineStr">
        <is>
          <t>01.7.07.12-0011</t>
        </is>
      </c>
      <c r="D96" s="174" t="inlineStr">
        <is>
          <t>Пленка оберточная гидроизоляционная, толщина 0,55 мм</t>
        </is>
      </c>
      <c r="E96" s="175" t="inlineStr">
        <is>
          <t>м2</t>
        </is>
      </c>
      <c r="F96" s="175" t="n">
        <v>2.480713</v>
      </c>
      <c r="G96" s="177" t="n">
        <v>28.72</v>
      </c>
      <c r="H96" s="177">
        <f>ROUND(F96*G96,2)</f>
        <v/>
      </c>
    </row>
    <row r="97" ht="15.6" customFormat="1" customHeight="1" s="159">
      <c r="A97" s="175" t="n">
        <v>82</v>
      </c>
      <c r="B97" s="175" t="n"/>
      <c r="C97" s="174" t="inlineStr">
        <is>
          <t>01.7.11.07-0056</t>
        </is>
      </c>
      <c r="D97" s="174" t="inlineStr">
        <is>
          <t>Электроды сварочные Э46, диаметр 6 мм</t>
        </is>
      </c>
      <c r="E97" s="175" t="inlineStr">
        <is>
          <t>т</t>
        </is>
      </c>
      <c r="F97" s="175" t="n">
        <v>0.0033516</v>
      </c>
      <c r="G97" s="177" t="n">
        <v>9793</v>
      </c>
      <c r="H97" s="177">
        <f>ROUND(F97*G97,2)</f>
        <v/>
      </c>
    </row>
    <row r="98" ht="15.6" customFormat="1" customHeight="1" s="159">
      <c r="A98" s="175" t="n">
        <v>83</v>
      </c>
      <c r="B98" s="175" t="n"/>
      <c r="C98" s="174" t="inlineStr">
        <is>
          <t>01.2.01.02-0001</t>
        </is>
      </c>
      <c r="D98" s="174" t="inlineStr">
        <is>
          <t>Битум горячий</t>
        </is>
      </c>
      <c r="E98" s="175" t="inlineStr">
        <is>
          <t>т</t>
        </is>
      </c>
      <c r="F98" s="175" t="n">
        <v>0.0167232</v>
      </c>
      <c r="G98" s="177" t="n">
        <v>1946.91</v>
      </c>
      <c r="H98" s="177">
        <f>ROUND(F98*G98,2)</f>
        <v/>
      </c>
    </row>
    <row r="99" ht="31.15" customFormat="1" customHeight="1" s="159">
      <c r="A99" s="175" t="n">
        <v>84</v>
      </c>
      <c r="B99" s="175" t="n"/>
      <c r="C99" s="174" t="inlineStr">
        <is>
          <t>11.1.02.04-0031</t>
        </is>
      </c>
      <c r="D99" s="174" t="inlineStr">
        <is>
          <t>Лесоматериалы круглые, хвойных пород, для строительства, диаметр 14-24 см, длина 3-6,5 м</t>
        </is>
      </c>
      <c r="E99" s="175" t="inlineStr">
        <is>
          <t>м3</t>
        </is>
      </c>
      <c r="F99" s="175" t="n">
        <v>0.04788</v>
      </c>
      <c r="G99" s="177" t="n">
        <v>558.33</v>
      </c>
      <c r="H99" s="177">
        <f>ROUND(F99*G99,2)</f>
        <v/>
      </c>
    </row>
    <row r="100" ht="15.6" customFormat="1" customHeight="1" s="159">
      <c r="A100" s="175" t="n">
        <v>85</v>
      </c>
      <c r="B100" s="175" t="n"/>
      <c r="C100" s="174" t="inlineStr">
        <is>
          <t>08.1.02.11-0001</t>
        </is>
      </c>
      <c r="D100" s="174" t="inlineStr">
        <is>
          <t>Поковки из квадратных заготовок, масса 1,8 кг</t>
        </is>
      </c>
      <c r="E100" s="175" t="inlineStr">
        <is>
          <t>т</t>
        </is>
      </c>
      <c r="F100" s="175" t="n">
        <v>0.004324</v>
      </c>
      <c r="G100" s="177" t="n">
        <v>5989</v>
      </c>
      <c r="H100" s="177">
        <f>ROUND(F100*G100,2)</f>
        <v/>
      </c>
    </row>
    <row r="101" ht="15.6" customFormat="1" customHeight="1" s="159">
      <c r="A101" s="175" t="n">
        <v>86</v>
      </c>
      <c r="B101" s="175" t="n"/>
      <c r="C101" s="174" t="inlineStr">
        <is>
          <t>11.2.13.04-0012</t>
        </is>
      </c>
      <c r="D101" s="174" t="inlineStr">
        <is>
          <t>Щиты из досок, толщина 40 мм</t>
        </is>
      </c>
      <c r="E101" s="175" t="inlineStr">
        <is>
          <t>м2</t>
        </is>
      </c>
      <c r="F101" s="175" t="n">
        <v>0.29808</v>
      </c>
      <c r="G101" s="177" t="n">
        <v>57.63</v>
      </c>
      <c r="H101" s="177">
        <f>ROUND(F101*G101,2)</f>
        <v/>
      </c>
    </row>
    <row r="102" ht="46.9" customFormat="1" customHeight="1" s="159">
      <c r="A102" s="175" t="n">
        <v>87</v>
      </c>
      <c r="B102" s="175" t="n"/>
      <c r="C102" s="174" t="inlineStr">
        <is>
          <t>01.7.12.05-0053</t>
        </is>
      </c>
      <c r="D102" s="174" t="inlineStr">
        <is>
          <t>Геотекстиль нетканый из полиэфирного волокна, иглопробивной, поверхностная плотность 200 г/м2</t>
        </is>
      </c>
      <c r="E102" s="175" t="inlineStr">
        <is>
          <t>м2</t>
        </is>
      </c>
      <c r="F102" s="175" t="n">
        <v>2.480713</v>
      </c>
      <c r="G102" s="177" t="n">
        <v>5.46</v>
      </c>
      <c r="H102" s="177">
        <f>ROUND(F102*G102,2)</f>
        <v/>
      </c>
    </row>
    <row r="103" ht="15.6" customFormat="1" customHeight="1" s="159">
      <c r="A103" s="175" t="n">
        <v>88</v>
      </c>
      <c r="B103" s="175" t="n"/>
      <c r="C103" s="174" t="inlineStr">
        <is>
          <t>03.1.02.03-0011</t>
        </is>
      </c>
      <c r="D103" s="174" t="inlineStr">
        <is>
          <t>Известь строительная негашеная комовая, сорт I</t>
        </is>
      </c>
      <c r="E103" s="175" t="inlineStr">
        <is>
          <t>т</t>
        </is>
      </c>
      <c r="F103" s="175" t="n">
        <v>0.0172668</v>
      </c>
      <c r="G103" s="177" t="n">
        <v>734.5</v>
      </c>
      <c r="H103" s="177">
        <f>ROUND(F103*G103,2)</f>
        <v/>
      </c>
    </row>
    <row r="104" ht="15.6" customFormat="1" customHeight="1" s="159">
      <c r="A104" s="175" t="n">
        <v>89</v>
      </c>
      <c r="B104" s="175" t="n"/>
      <c r="C104" s="174" t="inlineStr">
        <is>
          <t>01.7.11.07-0032</t>
        </is>
      </c>
      <c r="D104" s="174" t="inlineStr">
        <is>
          <t>Электроды сварочные Э42, диаметр 4 мм</t>
        </is>
      </c>
      <c r="E104" s="175" t="inlineStr">
        <is>
          <t>т</t>
        </is>
      </c>
      <c r="F104" s="175" t="n">
        <v>0.000414</v>
      </c>
      <c r="G104" s="177" t="n">
        <v>10315.01</v>
      </c>
      <c r="H104" s="177">
        <f>ROUND(F104*G104,2)</f>
        <v/>
      </c>
    </row>
    <row r="105" ht="31.15" customFormat="1" customHeight="1" s="159">
      <c r="A105" s="175" t="n">
        <v>90</v>
      </c>
      <c r="B105" s="175" t="n"/>
      <c r="C105" s="174" t="inlineStr">
        <is>
          <t>03.2.02.11-0001</t>
        </is>
      </c>
      <c r="D105" s="174" t="inlineStr">
        <is>
          <t>Цемент для приготовления раствора в построечных условиях</t>
        </is>
      </c>
      <c r="E105" s="175" t="inlineStr">
        <is>
          <t>т</t>
        </is>
      </c>
      <c r="F105" s="175" t="n">
        <v>0.0131967</v>
      </c>
      <c r="G105" s="177" t="n">
        <v>300</v>
      </c>
      <c r="H105" s="177">
        <f>ROUND(F105*G105,2)</f>
        <v/>
      </c>
    </row>
    <row r="106" ht="15.6" customFormat="1" customHeight="1" s="159">
      <c r="A106" s="175" t="n">
        <v>91</v>
      </c>
      <c r="B106" s="175" t="n"/>
      <c r="C106" s="174" t="inlineStr">
        <is>
          <t>02.2.05.04-1777</t>
        </is>
      </c>
      <c r="D106" s="174" t="inlineStr">
        <is>
          <t>Щебень М 800, фракция 20-40 мм, группа 2</t>
        </is>
      </c>
      <c r="E106" s="175" t="inlineStr">
        <is>
          <t>м3</t>
        </is>
      </c>
      <c r="F106" s="175" t="n">
        <v>0.023955</v>
      </c>
      <c r="G106" s="177" t="n">
        <v>108.4</v>
      </c>
      <c r="H106" s="177">
        <f>ROUND(F106*G106,2)</f>
        <v/>
      </c>
    </row>
    <row r="107" ht="15.6" customFormat="1" customHeight="1" s="159">
      <c r="A107" s="175" t="n">
        <v>92</v>
      </c>
      <c r="B107" s="175" t="n"/>
      <c r="C107" s="174" t="inlineStr">
        <is>
          <t>14.4.04.08-0003</t>
        </is>
      </c>
      <c r="D107" s="174" t="inlineStr">
        <is>
          <t>Эмаль ПФ-115, серая</t>
        </is>
      </c>
      <c r="E107" s="175" t="inlineStr">
        <is>
          <t>т</t>
        </is>
      </c>
      <c r="F107" s="175" t="n">
        <v>0.0001355</v>
      </c>
      <c r="G107" s="177" t="n">
        <v>14312.87</v>
      </c>
      <c r="H107" s="177">
        <f>ROUND(F107*G107,2)</f>
        <v/>
      </c>
    </row>
    <row r="108" ht="15.6" customFormat="1" customHeight="1" s="159">
      <c r="A108" s="175" t="n">
        <v>93</v>
      </c>
      <c r="B108" s="175" t="n"/>
      <c r="C108" s="174" t="inlineStr">
        <is>
          <t>02.3.01.02-1012</t>
        </is>
      </c>
      <c r="D108" s="174" t="inlineStr">
        <is>
          <t>Песок природный II класс, средний, круглые сита</t>
        </is>
      </c>
      <c r="E108" s="175" t="inlineStr">
        <is>
          <t>м3</t>
        </is>
      </c>
      <c r="F108" s="175" t="n">
        <v>0.0211947</v>
      </c>
      <c r="G108" s="177" t="n">
        <v>59.99</v>
      </c>
      <c r="H108" s="177">
        <f>ROUND(F108*G108,2)</f>
        <v/>
      </c>
    </row>
    <row r="109" ht="15.6" customFormat="1" customHeight="1" s="159">
      <c r="A109" s="175" t="n">
        <v>94</v>
      </c>
      <c r="B109" s="175" t="n"/>
      <c r="C109" s="174" t="inlineStr">
        <is>
          <t>01.7.20.08-0051</t>
        </is>
      </c>
      <c r="D109" s="174" t="inlineStr">
        <is>
          <t>Ветошь</t>
        </is>
      </c>
      <c r="E109" s="175" t="inlineStr">
        <is>
          <t>кг</t>
        </is>
      </c>
      <c r="F109" s="175" t="n">
        <v>0.31212</v>
      </c>
      <c r="G109" s="177" t="n">
        <v>1.82</v>
      </c>
      <c r="H109" s="177">
        <f>ROUND(F109*G109,2)</f>
        <v/>
      </c>
    </row>
    <row r="110" ht="15.6" customFormat="1" customHeight="1" s="159">
      <c r="A110" s="175" t="n">
        <v>95</v>
      </c>
      <c r="B110" s="175" t="n"/>
      <c r="C110" s="174" t="inlineStr">
        <is>
          <t>14.5.09.11-0102</t>
        </is>
      </c>
      <c r="D110" s="174" t="inlineStr">
        <is>
          <t>Уайт-спирит</t>
        </is>
      </c>
      <c r="E110" s="175" t="inlineStr">
        <is>
          <t>кг</t>
        </is>
      </c>
      <c r="F110" s="175" t="n">
        <v>0.0210728</v>
      </c>
      <c r="G110" s="177" t="n">
        <v>6.67</v>
      </c>
      <c r="H110" s="177">
        <f>ROUND(F110*G110,2)</f>
        <v/>
      </c>
    </row>
    <row r="111" ht="15.6" customFormat="1" customHeight="1" s="159">
      <c r="D111" s="159" t="n"/>
      <c r="E111" s="159" t="n"/>
      <c r="F111" s="159" t="n"/>
    </row>
    <row r="112" ht="15.6" customFormat="1" customHeight="1" s="159">
      <c r="D112" s="159" t="inlineStr">
        <is>
          <t>Составил ______________________        М.С. Колотиевская</t>
        </is>
      </c>
      <c r="E112" s="159" t="n"/>
      <c r="F112" s="159" t="n"/>
    </row>
    <row r="113" ht="15.6" customFormat="1" customHeight="1" s="159">
      <c r="D113" s="74" t="inlineStr">
        <is>
          <t xml:space="preserve">                         (подпись, инициалы, фамилия)</t>
        </is>
      </c>
      <c r="E113" s="159" t="n"/>
      <c r="F113" s="159" t="n"/>
    </row>
    <row r="114" ht="15.6" customFormat="1" customHeight="1" s="159">
      <c r="D114" s="159" t="n"/>
      <c r="E114" s="159" t="n"/>
      <c r="F114" s="159" t="n"/>
    </row>
    <row r="115" ht="15.6" customFormat="1" customHeight="1" s="159">
      <c r="D115" s="159" t="inlineStr">
        <is>
          <t>Проверил ______________________      А.В. Костянецкая</t>
        </is>
      </c>
      <c r="E115" s="159" t="n"/>
      <c r="F115" s="159" t="n"/>
    </row>
    <row r="116" ht="15.6" customFormat="1" customHeight="1" s="159">
      <c r="D116" s="74" t="inlineStr">
        <is>
          <t xml:space="preserve">                        (подпись, инициалы, фамилия)</t>
        </is>
      </c>
      <c r="E116" s="159" t="n"/>
      <c r="F116" s="159" t="n"/>
    </row>
    <row r="117" ht="15.6" customFormat="1" customHeight="1" s="159">
      <c r="C117" s="159" t="n"/>
    </row>
    <row r="118" ht="15.6" customFormat="1" customHeight="1" s="159">
      <c r="C118" s="159" t="n"/>
    </row>
    <row r="119" ht="15.6" customFormat="1" customHeight="1" s="159"/>
  </sheetData>
  <mergeCells count="14">
    <mergeCell ref="A4:H4"/>
    <mergeCell ref="C9:C10"/>
    <mergeCell ref="A12:E12"/>
    <mergeCell ref="E9:E10"/>
    <mergeCell ref="D9:D10"/>
    <mergeCell ref="A57:E57"/>
    <mergeCell ref="F9:F10"/>
    <mergeCell ref="A7:H7"/>
    <mergeCell ref="A9:A10"/>
    <mergeCell ref="B9:B10"/>
    <mergeCell ref="A25:E25"/>
    <mergeCell ref="A5:H5"/>
    <mergeCell ref="G9:H9"/>
    <mergeCell ref="A27:E27"/>
  </mergeCells>
  <conditionalFormatting sqref="F12:F27">
    <cfRule type="expression" priority="1" dxfId="0" stopIfTrue="1">
      <formula>ROUND(F12*10000,0)/10000=F12</formula>
    </cfRule>
  </conditionalFormatting>
  <conditionalFormatting sqref="F60:F110">
    <cfRule type="expression" priority="2" dxfId="0" stopIfTrue="1">
      <formula>ROUND(F12*10000,0)/10000=F12</formula>
    </cfRule>
  </conditionalFormatting>
  <conditionalFormatting sqref="F30:F57">
    <cfRule type="expression" priority="3" dxfId="0" stopIfTrue="1">
      <formula>ROUND(F12*10000,0)/10000=F12</formula>
    </cfRule>
  </conditionalFormatting>
  <conditionalFormatting sqref="F58">
    <cfRule type="expression" priority="4" dxfId="0" stopIfTrue="1">
      <formula>F58&gt;=1/10000</formula>
    </cfRule>
  </conditionalFormatting>
  <conditionalFormatting sqref="F28:F29">
    <cfRule type="expression" priority="5" dxfId="0" stopIfTrue="1">
      <formula>F28&gt;=1/10000</formula>
    </cfRule>
  </conditionalFormatting>
  <conditionalFormatting sqref="F59">
    <cfRule type="expression" priority="6" dxfId="0" stopIfTrue="1">
      <formula>F59&gt;=1/10000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zoomScale="60" zoomScaleNormal="100" workbookViewId="0">
      <selection activeCell="E46" sqref="E46"/>
    </sheetView>
  </sheetViews>
  <sheetFormatPr baseColWidth="8" defaultColWidth="9.140625" defaultRowHeight="15"/>
  <cols>
    <col width="4.140625" customWidth="1" style="128" min="1" max="1"/>
    <col width="36.28515625" customWidth="1" style="128" min="2" max="2"/>
    <col width="18.85546875" customWidth="1" style="128" min="3" max="3"/>
    <col width="18.28515625" customWidth="1" style="128" min="4" max="4"/>
    <col width="20.85546875" customWidth="1" style="128" min="5" max="5"/>
    <col width="9.140625" customWidth="1" style="128" min="6" max="10"/>
    <col width="13.5703125" customWidth="1" style="128" min="11" max="11"/>
    <col width="9.140625" customWidth="1" style="128" min="12" max="12"/>
  </cols>
  <sheetData>
    <row r="1" ht="15.6" customHeight="1" s="128">
      <c r="A1" s="49" t="n"/>
      <c r="B1" s="159" t="n"/>
      <c r="C1" s="159" t="n"/>
      <c r="D1" s="159" t="n"/>
      <c r="E1" s="159" t="n"/>
    </row>
    <row r="2" ht="15.6" customHeight="1" s="128">
      <c r="B2" s="159" t="n"/>
      <c r="C2" s="159" t="n"/>
      <c r="D2" s="159" t="n"/>
      <c r="E2" s="189" t="inlineStr">
        <is>
          <t>Приложение № 4</t>
        </is>
      </c>
    </row>
    <row r="3" ht="15.6" customHeight="1" s="128">
      <c r="B3" s="159" t="n"/>
      <c r="C3" s="159" t="n"/>
      <c r="D3" s="159" t="n"/>
      <c r="E3" s="159" t="n"/>
    </row>
    <row r="4" ht="15.6" customHeight="1" s="128">
      <c r="B4" s="159" t="n"/>
      <c r="C4" s="159" t="n"/>
      <c r="D4" s="159" t="n"/>
      <c r="E4" s="159" t="n"/>
    </row>
    <row r="5" ht="15.6" customHeight="1" s="128">
      <c r="B5" s="171" t="inlineStr">
        <is>
          <t>Ресурсная модель</t>
        </is>
      </c>
    </row>
    <row r="6" ht="15.6" customHeight="1" s="128">
      <c r="B6" s="166" t="n"/>
      <c r="C6" s="159" t="n"/>
      <c r="D6" s="159" t="n"/>
      <c r="E6" s="159" t="n"/>
    </row>
    <row r="7" ht="15.6" customHeight="1" s="128">
      <c r="B7" s="176" t="inlineStr">
        <is>
          <t>Наименование разрабатываемой расценки УНЦ —  Н2-02 БРТМ Ж.б.лотки  Без ПИР</t>
        </is>
      </c>
    </row>
    <row r="8" ht="15.6" customHeight="1" s="128">
      <c r="B8" s="166" t="inlineStr">
        <is>
          <t>Единица измерения  —  м</t>
        </is>
      </c>
    </row>
    <row r="9">
      <c r="B9" s="54" t="n"/>
      <c r="C9" s="55" t="n"/>
      <c r="D9" s="55" t="n"/>
      <c r="E9" s="55" t="n"/>
    </row>
    <row r="10" ht="62.45" customFormat="1" customHeight="1" s="159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 ht="15" customFormat="1" customHeight="1" s="159">
      <c r="B11" s="190" t="inlineStr">
        <is>
          <t>Оплата труда рабочих</t>
        </is>
      </c>
      <c r="C11" s="125">
        <f>'Прил.5 Расчет СМР и ОБ'!J14</f>
        <v/>
      </c>
      <c r="D11" s="59">
        <f>C11/C24</f>
        <v/>
      </c>
      <c r="E11" s="59">
        <f>C11/C40</f>
        <v/>
      </c>
    </row>
    <row r="12" ht="15" customFormat="1" customHeight="1" s="159">
      <c r="B12" s="190" t="inlineStr">
        <is>
          <t>Эксплуатация машин основных</t>
        </is>
      </c>
      <c r="C12" s="125">
        <f>'Прил.5 Расчет СМР и ОБ'!J23</f>
        <v/>
      </c>
      <c r="D12" s="59">
        <f>C12/C24</f>
        <v/>
      </c>
      <c r="E12" s="59">
        <f>C12/C40</f>
        <v/>
      </c>
    </row>
    <row r="13" ht="15" customFormat="1" customHeight="1" s="159">
      <c r="B13" s="190" t="inlineStr">
        <is>
          <t>Эксплуатация машин прочих</t>
        </is>
      </c>
      <c r="C13" s="125">
        <f>'Прил.5 Расчет СМР и ОБ'!J49</f>
        <v/>
      </c>
      <c r="D13" s="59">
        <f>C13/C24</f>
        <v/>
      </c>
      <c r="E13" s="59">
        <f>C13/C40</f>
        <v/>
      </c>
    </row>
    <row r="14" ht="15" customFormat="1" customHeight="1" s="159">
      <c r="B14" s="190" t="inlineStr">
        <is>
          <t>ЭКСПЛУАТАЦИЯ МАШИН, ВСЕГО:</t>
        </is>
      </c>
      <c r="C14" s="125">
        <f>C13+C12</f>
        <v/>
      </c>
      <c r="D14" s="59">
        <f>C14/C24</f>
        <v/>
      </c>
      <c r="E14" s="59">
        <f>C14/C40</f>
        <v/>
      </c>
    </row>
    <row r="15" ht="15" customFormat="1" customHeight="1" s="159">
      <c r="B15" s="190" t="inlineStr">
        <is>
          <t>в том числе зарплата машинистов</t>
        </is>
      </c>
      <c r="C15" s="125">
        <f>'Прил.5 Расчет СМР и ОБ'!J16</f>
        <v/>
      </c>
      <c r="D15" s="59">
        <f>C15/C24</f>
        <v/>
      </c>
      <c r="E15" s="59">
        <f>C15/C40</f>
        <v/>
      </c>
    </row>
    <row r="16" ht="15" customFormat="1" customHeight="1" s="159">
      <c r="B16" s="190" t="inlineStr">
        <is>
          <t>Материалы основные</t>
        </is>
      </c>
      <c r="C16" s="125">
        <f>'Прил.5 Расчет СМР и ОБ'!J61</f>
        <v/>
      </c>
      <c r="D16" s="59">
        <f>C16/C24</f>
        <v/>
      </c>
      <c r="E16" s="59">
        <f>C16/C40</f>
        <v/>
      </c>
    </row>
    <row r="17" ht="15" customFormat="1" customHeight="1" s="159">
      <c r="B17" s="190" t="inlineStr">
        <is>
          <t>Материалы прочие</t>
        </is>
      </c>
      <c r="C17" s="125">
        <f>'Прил.5 Расчет СМР и ОБ'!J113</f>
        <v/>
      </c>
      <c r="D17" s="59">
        <f>C17/C24</f>
        <v/>
      </c>
      <c r="E17" s="59">
        <f>C17/C40</f>
        <v/>
      </c>
    </row>
    <row r="18" ht="15" customFormat="1" customHeight="1" s="159">
      <c r="B18" s="190" t="inlineStr">
        <is>
          <t>МАТЕРИАЛЫ, ВСЕГО:</t>
        </is>
      </c>
      <c r="C18" s="125">
        <f>C17+C16</f>
        <v/>
      </c>
      <c r="D18" s="59">
        <f>C18/C24</f>
        <v/>
      </c>
      <c r="E18" s="59">
        <f>C18/C40</f>
        <v/>
      </c>
    </row>
    <row r="19" ht="15" customFormat="1" customHeight="1" s="159">
      <c r="B19" s="190" t="inlineStr">
        <is>
          <t>ИТОГО</t>
        </is>
      </c>
      <c r="C19" s="125">
        <f>C18+C14+C11</f>
        <v/>
      </c>
      <c r="D19" s="59">
        <f>C19/C24</f>
        <v/>
      </c>
      <c r="E19" s="60">
        <f>C19/C40</f>
        <v/>
      </c>
    </row>
    <row r="20" ht="15" customFormat="1" customHeight="1" s="159">
      <c r="B20" s="190" t="inlineStr">
        <is>
          <t>Сметная прибыль, руб.</t>
        </is>
      </c>
      <c r="C20" s="125">
        <f>'Прил.5 Расчет СМР и ОБ'!J117</f>
        <v/>
      </c>
      <c r="D20" s="59">
        <f>C20/C24</f>
        <v/>
      </c>
      <c r="E20" s="59">
        <f>C20/C40</f>
        <v/>
      </c>
    </row>
    <row r="21" ht="15" customFormat="1" customHeight="1" s="159">
      <c r="B21" s="190" t="inlineStr">
        <is>
          <t>Сметная прибыль, %</t>
        </is>
      </c>
      <c r="C21" s="61">
        <f>C20/(C11+C15)</f>
        <v/>
      </c>
      <c r="D21" s="59" t="n"/>
      <c r="E21" s="60" t="n"/>
    </row>
    <row r="22" ht="15" customFormat="1" customHeight="1" s="159">
      <c r="B22" s="190" t="inlineStr">
        <is>
          <t>Накладные расходы, руб.</t>
        </is>
      </c>
      <c r="C22" s="125">
        <f>'Прил.5 Расчет СМР и ОБ'!J116</f>
        <v/>
      </c>
      <c r="D22" s="59">
        <f>C22/C24</f>
        <v/>
      </c>
      <c r="E22" s="59">
        <f>C22/C40</f>
        <v/>
      </c>
    </row>
    <row r="23" ht="15" customFormat="1" customHeight="1" s="159">
      <c r="B23" s="190" t="inlineStr">
        <is>
          <t>Накладные расходы, %</t>
        </is>
      </c>
      <c r="C23" s="61">
        <f>C22/(C11+C15)</f>
        <v/>
      </c>
      <c r="D23" s="59" t="n"/>
      <c r="E23" s="60" t="n"/>
    </row>
    <row r="24" ht="15" customFormat="1" customHeight="1" s="159">
      <c r="B24" s="190" t="inlineStr">
        <is>
          <t>ВСЕГО СМР с НР и СП</t>
        </is>
      </c>
      <c r="C24" s="125">
        <f>C19+C20+C22</f>
        <v/>
      </c>
      <c r="D24" s="59">
        <f>C24/C24</f>
        <v/>
      </c>
      <c r="E24" s="59">
        <f>C24/C40</f>
        <v/>
      </c>
    </row>
    <row r="25" ht="31.15" customFormat="1" customHeight="1" s="159">
      <c r="B25" s="190" t="inlineStr">
        <is>
          <t>ВСЕГО стоимость оборудования, в том числе</t>
        </is>
      </c>
      <c r="C25" s="125" t="n"/>
      <c r="D25" s="59" t="n"/>
      <c r="E25" s="59">
        <f>C25/C40</f>
        <v/>
      </c>
    </row>
    <row r="26" ht="31.15" customFormat="1" customHeight="1" s="159">
      <c r="B26" s="190" t="inlineStr">
        <is>
          <t>стоимость оборудования технологического</t>
        </is>
      </c>
      <c r="C26" s="125">
        <f>C25</f>
        <v/>
      </c>
      <c r="D26" s="59" t="n"/>
      <c r="E26" s="59">
        <f>C26/C40</f>
        <v/>
      </c>
    </row>
    <row r="27" ht="15" customFormat="1" customHeight="1" s="159">
      <c r="B27" s="190" t="inlineStr">
        <is>
          <t>ИТОГО (СМР + ОБОРУДОВАНИЕ)</t>
        </is>
      </c>
      <c r="C27" s="62">
        <f>C24+C25</f>
        <v/>
      </c>
      <c r="D27" s="59" t="n"/>
      <c r="E27" s="59">
        <f>C27/C40</f>
        <v/>
      </c>
    </row>
    <row r="28" ht="33" customFormat="1" customHeight="1" s="159">
      <c r="B28" s="190" t="inlineStr">
        <is>
          <t>ПРОЧ. ЗАТР., УЧТЕННЫЕ ПОКАЗАТЕЛЕМ,  в том числе</t>
        </is>
      </c>
      <c r="C28" s="190" t="n"/>
      <c r="D28" s="60" t="n"/>
      <c r="E28" s="60" t="n"/>
    </row>
    <row r="29" ht="31.15" customFormat="1" customHeight="1" s="159">
      <c r="B29" s="190" t="inlineStr">
        <is>
          <t>Временные здания и сооружения - 2,5%</t>
        </is>
      </c>
      <c r="C29" s="62">
        <f>ROUND(C24*0.025,2)</f>
        <v/>
      </c>
      <c r="D29" s="60" t="n"/>
      <c r="E29" s="59">
        <f>C29/C40</f>
        <v/>
      </c>
    </row>
    <row r="30" ht="62.45" customFormat="1" customHeight="1" s="159">
      <c r="B30" s="190" t="inlineStr">
        <is>
          <t>Дополнительные затраты при производстве строительно-монтажных работ в зимнее время - 1,9%</t>
        </is>
      </c>
      <c r="C30" s="62">
        <f>ROUND((C24+C29)*0.019,2)</f>
        <v/>
      </c>
      <c r="D30" s="60" t="n"/>
      <c r="E30" s="59">
        <f>C30/C40</f>
        <v/>
      </c>
    </row>
    <row r="31" ht="15.6" customFormat="1" customHeight="1" s="159">
      <c r="B31" s="190" t="inlineStr">
        <is>
          <t>Пусконаладочные работы</t>
        </is>
      </c>
      <c r="C31" s="62">
        <f>ROUND(C25*80%*7%,2)</f>
        <v/>
      </c>
      <c r="D31" s="60" t="n"/>
      <c r="E31" s="59">
        <f>C31/C40</f>
        <v/>
      </c>
    </row>
    <row r="32" ht="31.15" customFormat="1" customHeight="1" s="159">
      <c r="B32" s="190" t="inlineStr">
        <is>
          <t>Затраты по перевозке работников к месту работы и обратно</t>
        </is>
      </c>
      <c r="C32" s="62" t="n">
        <v>0</v>
      </c>
      <c r="D32" s="60" t="n"/>
      <c r="E32" s="59">
        <f>C32/C40</f>
        <v/>
      </c>
    </row>
    <row r="33" ht="46.9" customFormat="1" customHeight="1" s="159">
      <c r="B33" s="190" t="inlineStr">
        <is>
          <t>Затраты, связанные с осуществлением работ вахтовым методом</t>
        </is>
      </c>
      <c r="C33" s="62" t="n">
        <v>0</v>
      </c>
      <c r="D33" s="60" t="n"/>
      <c r="E33" s="59">
        <f>C33/C40</f>
        <v/>
      </c>
    </row>
    <row r="34" ht="62.45" customFormat="1" customHeight="1" s="159">
      <c r="B34" s="1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2" t="n">
        <v>0</v>
      </c>
      <c r="D34" s="60" t="n"/>
      <c r="E34" s="59">
        <f>C34/C40</f>
        <v/>
      </c>
    </row>
    <row r="35" ht="93.59999999999999" customFormat="1" customHeight="1" s="159">
      <c r="B35" s="1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2" t="n">
        <v>0</v>
      </c>
      <c r="D35" s="60" t="n"/>
      <c r="E35" s="59">
        <f>C35/C40</f>
        <v/>
      </c>
    </row>
    <row r="36" ht="46.9" customFormat="1" customHeight="1" s="159">
      <c r="B36" s="63" t="inlineStr">
        <is>
          <t>Строительный контроль и содержание службы заказчика - 2,14%</t>
        </is>
      </c>
      <c r="C36" s="64">
        <f>ROUND((C27+C29+C31+C30)*0.0214,2)</f>
        <v/>
      </c>
      <c r="D36" s="65" t="n"/>
      <c r="E36" s="66">
        <f>C36/C40</f>
        <v/>
      </c>
      <c r="K36" s="67" t="n"/>
    </row>
    <row r="37" ht="15.6" customFormat="1" customHeight="1" s="159">
      <c r="B37" s="193" t="inlineStr">
        <is>
          <t>Авторский надзор - 0,2%</t>
        </is>
      </c>
      <c r="C37" s="193">
        <f>ROUND((C27+C29+C30+C31)*0.002,2)</f>
        <v/>
      </c>
      <c r="D37" s="69" t="n"/>
      <c r="E37" s="69">
        <f>C37/C40</f>
        <v/>
      </c>
    </row>
    <row r="38" ht="62.45" customFormat="1" customHeight="1" s="159">
      <c r="B38" s="70" t="inlineStr">
        <is>
          <t>ИТОГО (СМР+ОБОРУДОВАНИЕ+ПРОЧ. ЗАТР., УЧТЕННЫЕ ПОКАЗАТЕЛЕМ)</t>
        </is>
      </c>
      <c r="C38" s="71">
        <f>C27+C29+C30+C31+C36+C37</f>
        <v/>
      </c>
      <c r="D38" s="72" t="n"/>
      <c r="E38" s="73">
        <f>C38/C40</f>
        <v/>
      </c>
    </row>
    <row r="39" ht="15.6" customFormat="1" customHeight="1" s="159">
      <c r="B39" s="190" t="inlineStr">
        <is>
          <t>Непредвиденные расходы</t>
        </is>
      </c>
      <c r="C39" s="125">
        <f>ROUND(C38*0.03,2)</f>
        <v/>
      </c>
      <c r="D39" s="60" t="n"/>
      <c r="E39" s="59">
        <f>C39/C40</f>
        <v/>
      </c>
    </row>
    <row r="40" ht="15.6" customFormat="1" customHeight="1" s="159">
      <c r="B40" s="190" t="inlineStr">
        <is>
          <t>ВСЕГО:</t>
        </is>
      </c>
      <c r="C40" s="125">
        <f>C39+C38</f>
        <v/>
      </c>
      <c r="D40" s="60" t="n"/>
      <c r="E40" s="59">
        <f>C40/C40</f>
        <v/>
      </c>
    </row>
    <row r="41" ht="31.15" customFormat="1" customHeight="1" s="159">
      <c r="B41" s="190" t="inlineStr">
        <is>
          <t>ИТОГО ПОКАЗАТЕЛЬ НА ЕД. ИЗМ.</t>
        </is>
      </c>
      <c r="C41" s="125">
        <f>C40/'Прил.5 Расчет СМР и ОБ'!E120</f>
        <v/>
      </c>
      <c r="D41" s="60" t="n"/>
      <c r="E41" s="60" t="n"/>
    </row>
    <row r="42" ht="15.6" customFormat="1" customHeight="1" s="159">
      <c r="B42" s="159" t="n"/>
      <c r="C42" s="159" t="n"/>
      <c r="D42" s="159" t="n"/>
    </row>
    <row r="43" ht="15.6" customFormat="1" customHeight="1" s="159">
      <c r="B43" s="159" t="inlineStr">
        <is>
          <t>Составил ______________________        М.С. Колотиевская</t>
        </is>
      </c>
      <c r="C43" s="159" t="n"/>
      <c r="D43" s="159" t="n"/>
    </row>
    <row r="44" ht="15.6" customFormat="1" customHeight="1" s="159">
      <c r="B44" s="74" t="inlineStr">
        <is>
          <t xml:space="preserve">                         (подпись, инициалы, фамилия)</t>
        </is>
      </c>
      <c r="C44" s="159" t="n"/>
      <c r="D44" s="159" t="n"/>
    </row>
    <row r="45" ht="15.6" customFormat="1" customHeight="1" s="159">
      <c r="B45" s="159" t="n"/>
      <c r="C45" s="159" t="n"/>
      <c r="D45" s="159" t="n"/>
    </row>
    <row r="46" ht="15.6" customFormat="1" customHeight="1" s="159">
      <c r="B46" s="159" t="inlineStr">
        <is>
          <t>Проверил ______________________      А.В. Костянецкая</t>
        </is>
      </c>
      <c r="C46" s="159" t="n"/>
      <c r="D46" s="159" t="n"/>
    </row>
    <row r="47" ht="15.6" customFormat="1" customHeight="1" s="159">
      <c r="B47" s="74" t="inlineStr">
        <is>
          <t xml:space="preserve">                        (подпись, инициалы, фамилия)</t>
        </is>
      </c>
      <c r="C47" s="159" t="n"/>
      <c r="D47" s="159" t="n"/>
    </row>
    <row r="48" ht="15.6" customFormat="1" customHeight="1" s="159"/>
  </sheetData>
  <mergeCells count="3">
    <mergeCell ref="B7:E7"/>
    <mergeCell ref="B8:D8"/>
    <mergeCell ref="B5:E5"/>
  </mergeCells>
  <pageMargins left="0.7" right="0.7" top="0.75" bottom="0.75" header="0.3" footer="0.3"/>
  <pageSetup orientation="portrait" paperSize="9" scale="6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L127"/>
  <sheetViews>
    <sheetView view="pageBreakPreview" zoomScale="55" zoomScaleNormal="100" zoomScaleSheetLayoutView="55" workbookViewId="0">
      <selection activeCell="G141" sqref="G141"/>
    </sheetView>
  </sheetViews>
  <sheetFormatPr baseColWidth="8" defaultColWidth="9.140625" defaultRowHeight="15" outlineLevelRow="1"/>
  <cols>
    <col width="5.7109375" customWidth="1" style="95" min="1" max="1"/>
    <col width="22.5703125" customWidth="1" style="95" min="2" max="2"/>
    <col width="39.140625" customWidth="1" style="95" min="3" max="3"/>
    <col width="10.7109375" customWidth="1" style="95" min="4" max="4"/>
    <col width="12.7109375" customWidth="1" style="95" min="5" max="5"/>
    <col width="14.5703125" customWidth="1" style="95" min="6" max="6"/>
    <col width="13.42578125" customWidth="1" style="95" min="7" max="7"/>
    <col width="12.7109375" customWidth="1" style="95" min="8" max="8"/>
    <col width="14.5703125" customWidth="1" style="95" min="9" max="9"/>
    <col width="15.140625" customWidth="1" style="95" min="10" max="10"/>
    <col width="22.42578125" customWidth="1" style="95" min="11" max="11"/>
    <col width="16.28515625" customWidth="1" style="95" min="12" max="12"/>
    <col width="10.85546875" customWidth="1" style="95" min="13" max="13"/>
    <col width="9.140625" customWidth="1" style="95" min="14" max="14"/>
    <col width="9.140625" customWidth="1" style="128" min="15" max="15"/>
  </cols>
  <sheetData>
    <row r="1">
      <c r="A1" s="55" t="n"/>
    </row>
    <row r="2" ht="15.6" customHeight="1" s="128">
      <c r="A2" s="159" t="n"/>
      <c r="B2" s="159" t="n"/>
      <c r="C2" s="159" t="n"/>
      <c r="D2" s="159" t="n"/>
      <c r="E2" s="159" t="n"/>
      <c r="F2" s="159" t="n"/>
      <c r="G2" s="159" t="n"/>
      <c r="H2" s="189" t="inlineStr">
        <is>
          <t>Приложение №5</t>
        </is>
      </c>
    </row>
    <row r="3" ht="15.6" customHeight="1" s="128">
      <c r="A3" s="159" t="n"/>
      <c r="B3" s="159" t="n"/>
      <c r="C3" s="159" t="n"/>
      <c r="D3" s="159" t="n"/>
      <c r="E3" s="159" t="n"/>
      <c r="F3" s="159" t="n"/>
      <c r="G3" s="159" t="n"/>
      <c r="H3" s="159" t="n"/>
      <c r="I3" s="159" t="n"/>
      <c r="J3" s="159" t="n"/>
    </row>
    <row r="4" ht="15.6" customFormat="1" customHeight="1" s="55">
      <c r="A4" s="171" t="inlineStr">
        <is>
          <t>Расчет стоимости СМР и оборудования</t>
        </is>
      </c>
      <c r="I4" s="171" t="n"/>
      <c r="J4" s="171" t="n"/>
    </row>
    <row r="5" ht="15.6" customFormat="1" customHeight="1" s="55">
      <c r="A5" s="171" t="n"/>
      <c r="B5" s="171" t="n"/>
      <c r="C5" s="171" t="n"/>
      <c r="F5" s="171" t="n"/>
      <c r="G5" s="171" t="n"/>
      <c r="H5" s="171" t="n"/>
      <c r="I5" s="171" t="n"/>
      <c r="J5" s="171" t="n"/>
    </row>
    <row r="6" ht="15.6" customFormat="1" customHeight="1" s="55">
      <c r="A6" s="188" t="inlineStr">
        <is>
          <t xml:space="preserve">Наименование разрабатываемого показателя УНЦ —  </t>
        </is>
      </c>
      <c r="D6" s="176" t="inlineStr">
        <is>
          <t>Н2-02 БРТМ Ж.б.лотки  Без ПИР</t>
        </is>
      </c>
      <c r="E6" s="93" t="n"/>
      <c r="F6" s="93" t="n"/>
      <c r="G6" s="93" t="n"/>
      <c r="H6" s="93" t="n"/>
      <c r="I6" s="188" t="n"/>
      <c r="J6" s="188" t="n"/>
    </row>
    <row r="7" ht="15.6" customHeight="1" s="128">
      <c r="B7" s="166" t="inlineStr">
        <is>
          <t>Единица измерения  —  м</t>
        </is>
      </c>
    </row>
    <row r="8" ht="15.6" customFormat="1" customHeight="1" s="55">
      <c r="A8" s="159" t="n"/>
      <c r="B8" s="159" t="n"/>
      <c r="C8" s="159" t="n"/>
      <c r="D8" s="159" t="n"/>
      <c r="E8" s="159" t="n"/>
      <c r="F8" s="159" t="n"/>
      <c r="G8" s="159" t="n"/>
      <c r="H8" s="159" t="n"/>
      <c r="I8" s="159" t="n"/>
      <c r="J8" s="159" t="n"/>
    </row>
    <row r="9" ht="27" customFormat="1" customHeight="1" s="159">
      <c r="A9" s="190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202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202" t="n"/>
      <c r="K9" s="41" t="n"/>
    </row>
    <row r="10" ht="28.5" customFormat="1" customHeight="1" s="159">
      <c r="A10" s="204" t="n"/>
      <c r="B10" s="204" t="n"/>
      <c r="C10" s="204" t="n"/>
      <c r="D10" s="204" t="n"/>
      <c r="E10" s="204" t="n"/>
      <c r="F10" s="172" t="inlineStr">
        <is>
          <t>на ед. изм.</t>
        </is>
      </c>
      <c r="G10" s="172" t="inlineStr">
        <is>
          <t>общая</t>
        </is>
      </c>
      <c r="H10" s="204" t="n"/>
      <c r="I10" s="172" t="inlineStr">
        <is>
          <t>на ед. изм.</t>
        </is>
      </c>
      <c r="J10" s="172" t="inlineStr">
        <is>
          <t>общая</t>
        </is>
      </c>
    </row>
    <row r="11" ht="15.6" customFormat="1" customHeight="1" s="159">
      <c r="A11" s="190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</row>
    <row r="12" ht="15.6" customFormat="1" customHeight="1" s="159">
      <c r="A12" s="193" t="n"/>
      <c r="B12" s="191" t="inlineStr">
        <is>
          <t>Затраты труда рабочих-строителей</t>
        </is>
      </c>
      <c r="C12" s="201" t="n"/>
      <c r="D12" s="201" t="n"/>
      <c r="E12" s="201" t="n"/>
      <c r="F12" s="201" t="n"/>
      <c r="G12" s="201" t="n"/>
      <c r="H12" s="202" t="n"/>
      <c r="I12" s="193" t="n"/>
      <c r="J12" s="193" t="n"/>
    </row>
    <row r="13" ht="31.15" customFormat="1" customHeight="1" s="159">
      <c r="A13" s="175" t="n">
        <v>1</v>
      </c>
      <c r="B13" s="175" t="inlineStr">
        <is>
          <t>1-100-35</t>
        </is>
      </c>
      <c r="C13" s="174" t="inlineStr">
        <is>
          <t>Затраты труда рабочих (Средний разряд работы 3,5)</t>
        </is>
      </c>
      <c r="D13" s="175" t="inlineStr">
        <is>
          <t>чел.-ч</t>
        </is>
      </c>
      <c r="E13" s="175">
        <f>Прил.3!F12</f>
        <v/>
      </c>
      <c r="F13" s="177">
        <f>G13/E13</f>
        <v/>
      </c>
      <c r="G13" s="177">
        <f>Прил.3!H12</f>
        <v/>
      </c>
      <c r="H13" s="25">
        <f>G13/G14</f>
        <v/>
      </c>
      <c r="I13" s="177">
        <f>ФОТр.тек.!E13</f>
        <v/>
      </c>
      <c r="J13" s="177">
        <f>ROUND(I13*E13,2)</f>
        <v/>
      </c>
    </row>
    <row r="14" ht="31.15" customFormat="1" customHeight="1" s="159">
      <c r="A14" s="175" t="n"/>
      <c r="B14" s="175" t="n"/>
      <c r="C14" s="174" t="inlineStr">
        <is>
          <t>Итого по разделу "Затраты труда рабочих-строителей"</t>
        </is>
      </c>
      <c r="D14" s="175" t="inlineStr">
        <is>
          <t>чел.-ч</t>
        </is>
      </c>
      <c r="E14" s="175">
        <f>SUM(E13:E13)</f>
        <v/>
      </c>
      <c r="F14" s="177" t="n"/>
      <c r="G14" s="177">
        <f>SUM(G13:G13)</f>
        <v/>
      </c>
      <c r="H14" s="25" t="n">
        <v>1</v>
      </c>
      <c r="I14" s="177" t="n"/>
      <c r="J14" s="177">
        <f>SUM(J13:J13)</f>
        <v/>
      </c>
    </row>
    <row r="15" ht="15.6" customFormat="1" customHeight="1" s="159">
      <c r="A15" s="175" t="n"/>
      <c r="B15" s="175" t="inlineStr">
        <is>
          <t>Затраты труда машинистов</t>
        </is>
      </c>
      <c r="C15" s="201" t="n"/>
      <c r="D15" s="201" t="n"/>
      <c r="E15" s="201" t="n"/>
      <c r="F15" s="201" t="n"/>
      <c r="G15" s="201" t="n"/>
      <c r="H15" s="202" t="n"/>
      <c r="I15" s="177" t="n"/>
      <c r="J15" s="177" t="n"/>
    </row>
    <row r="16" ht="15.6" customFormat="1" customHeight="1" s="159">
      <c r="A16" s="175" t="n">
        <v>2</v>
      </c>
      <c r="B16" s="175" t="n">
        <v>2</v>
      </c>
      <c r="C16" s="174" t="inlineStr">
        <is>
          <t>Затраты труда машинистов</t>
        </is>
      </c>
      <c r="D16" s="175" t="inlineStr">
        <is>
          <t>чел.-ч</t>
        </is>
      </c>
      <c r="E16" s="175" t="n">
        <v>1106.2209864</v>
      </c>
      <c r="F16" s="177" t="n">
        <v>13.47</v>
      </c>
      <c r="G16" s="177">
        <f>ROUND(F16*E16,2)</f>
        <v/>
      </c>
      <c r="H16" s="25" t="n">
        <v>1</v>
      </c>
      <c r="I16" s="177">
        <f>ROUND(F16*Прил.10!$D$10,2)</f>
        <v/>
      </c>
      <c r="J16" s="177">
        <f>ROUND(I16*E16,2)</f>
        <v/>
      </c>
    </row>
    <row r="17" ht="15.6" customFormat="1" customHeight="1" s="159">
      <c r="A17" s="175" t="n"/>
      <c r="B17" s="173" t="inlineStr">
        <is>
          <t>Машины и механизмы</t>
        </is>
      </c>
      <c r="C17" s="201" t="n"/>
      <c r="D17" s="201" t="n"/>
      <c r="E17" s="201" t="n"/>
      <c r="F17" s="201" t="n"/>
      <c r="G17" s="201" t="n"/>
      <c r="H17" s="202" t="n"/>
      <c r="I17" s="177" t="n"/>
      <c r="J17" s="177" t="n"/>
    </row>
    <row r="18" ht="15.6" customFormat="1" customHeight="1" s="159">
      <c r="A18" s="175" t="n"/>
      <c r="B18" s="175" t="inlineStr">
        <is>
          <t>Основные Машины и механизмы</t>
        </is>
      </c>
      <c r="C18" s="201" t="n"/>
      <c r="D18" s="201" t="n"/>
      <c r="E18" s="201" t="n"/>
      <c r="F18" s="201" t="n"/>
      <c r="G18" s="201" t="n"/>
      <c r="H18" s="202" t="n"/>
      <c r="I18" s="177" t="n"/>
      <c r="J18" s="177" t="n"/>
    </row>
    <row r="19" ht="31.15" customFormat="1" customHeight="1" s="159">
      <c r="A19" s="175" t="n">
        <v>3</v>
      </c>
      <c r="B19" s="178" t="inlineStr">
        <is>
          <t>91.05.06-007</t>
        </is>
      </c>
      <c r="C19" s="194" t="inlineStr">
        <is>
          <t>Краны на гусеничном ходу, грузоподъемность 25 т</t>
        </is>
      </c>
      <c r="D19" s="198" t="inlineStr">
        <is>
          <t>маш.час</t>
        </is>
      </c>
      <c r="E19" s="195" t="n">
        <v>258</v>
      </c>
      <c r="F19" s="29" t="n">
        <v>120.04</v>
      </c>
      <c r="G19" s="177">
        <f>ROUND(F19*E19,2)</f>
        <v/>
      </c>
      <c r="H19" s="25">
        <f>G19/G50</f>
        <v/>
      </c>
      <c r="I19" s="177">
        <f>ROUND(F19*Прил.10!$D$11,2)</f>
        <v/>
      </c>
      <c r="J19" s="177">
        <f>ROUND(I19*E19,2)</f>
        <v/>
      </c>
    </row>
    <row r="20" ht="31.15" customFormat="1" customHeight="1" s="159">
      <c r="A20" s="175" t="n">
        <v>4</v>
      </c>
      <c r="B20" s="178" t="inlineStr">
        <is>
          <t>91.05.06-012</t>
        </is>
      </c>
      <c r="C20" s="194" t="inlineStr">
        <is>
          <t>Краны на гусеничном ходу, грузоподъемность до 16 т</t>
        </is>
      </c>
      <c r="D20" s="198" t="inlineStr">
        <is>
          <t>маш.час</t>
        </is>
      </c>
      <c r="E20" s="195" t="n">
        <v>98.12</v>
      </c>
      <c r="F20" s="29" t="n">
        <v>96.89</v>
      </c>
      <c r="G20" s="177">
        <f>ROUND(F20*E20,2)</f>
        <v/>
      </c>
      <c r="H20" s="25">
        <f>G20/G50</f>
        <v/>
      </c>
      <c r="I20" s="177">
        <f>ROUND(F20*Прил.10!$D$11,2)</f>
        <v/>
      </c>
      <c r="J20" s="177">
        <f>ROUND(I20*E20,2)</f>
        <v/>
      </c>
    </row>
    <row r="21" ht="31.15" customFormat="1" customHeight="1" s="159">
      <c r="A21" s="175" t="n">
        <v>5</v>
      </c>
      <c r="B21" s="178" t="inlineStr">
        <is>
          <t>91.05.01-017</t>
        </is>
      </c>
      <c r="C21" s="194" t="inlineStr">
        <is>
          <t>Краны башенные, грузоподъемность 8 т</t>
        </is>
      </c>
      <c r="D21" s="198" t="inlineStr">
        <is>
          <t>маш.час</t>
        </is>
      </c>
      <c r="E21" s="195" t="n">
        <v>75.953568</v>
      </c>
      <c r="F21" s="29" t="n">
        <v>86.40000000000001</v>
      </c>
      <c r="G21" s="177">
        <f>ROUND(F21*E21,2)</f>
        <v/>
      </c>
      <c r="H21" s="25">
        <f>G21/G50</f>
        <v/>
      </c>
      <c r="I21" s="177">
        <f>ROUND(F21*Прил.10!$D$11,2)</f>
        <v/>
      </c>
      <c r="J21" s="177">
        <f>ROUND(I21*E21,2)</f>
        <v/>
      </c>
    </row>
    <row r="22" ht="31.15" customFormat="1" customHeight="1" s="159">
      <c r="A22" s="175" t="n">
        <v>6</v>
      </c>
      <c r="B22" s="178" t="inlineStr">
        <is>
          <t>91.17.04-031</t>
        </is>
      </c>
      <c r="C22" s="194" t="inlineStr">
        <is>
          <t>Агрегаты для сварки полиэтиленовых труб</t>
        </is>
      </c>
      <c r="D22" s="198" t="inlineStr">
        <is>
          <t>маш.час</t>
        </is>
      </c>
      <c r="E22" s="195" t="n">
        <v>54.8093</v>
      </c>
      <c r="F22" s="29" t="n">
        <v>100.1</v>
      </c>
      <c r="G22" s="177">
        <f>ROUND(F22*E22,2)</f>
        <v/>
      </c>
      <c r="H22" s="25">
        <f>G22/G50</f>
        <v/>
      </c>
      <c r="I22" s="177">
        <f>ROUND(F22*Прил.10!$D$11,2)</f>
        <v/>
      </c>
      <c r="J22" s="177">
        <f>ROUND(I22*E22,2)</f>
        <v/>
      </c>
    </row>
    <row r="23" ht="15.6" customFormat="1" customHeight="1" s="159">
      <c r="A23" s="175" t="n"/>
      <c r="B23" s="178" t="inlineStr">
        <is>
          <t>Итого основные Машины и механизмы</t>
        </is>
      </c>
      <c r="C23" s="201" t="n"/>
      <c r="D23" s="201" t="n"/>
      <c r="E23" s="201" t="n"/>
      <c r="F23" s="202" t="n"/>
      <c r="G23" s="29">
        <f>SUM(G19:G22)</f>
        <v/>
      </c>
      <c r="H23" s="25">
        <f>SUM(H19:H22)</f>
        <v/>
      </c>
      <c r="I23" s="177" t="n"/>
      <c r="J23" s="177">
        <f>SUM(J19:J22)</f>
        <v/>
      </c>
    </row>
    <row r="24" hidden="1" outlineLevel="1" ht="46.9" customFormat="1" customHeight="1" s="159">
      <c r="A24" s="175" t="n">
        <v>7</v>
      </c>
      <c r="B24" s="178" t="inlineStr">
        <is>
          <t>91.01.05-106</t>
        </is>
      </c>
      <c r="C24" s="194" t="inlineStr">
        <is>
          <t>Экскаваторы одноковшовые дизельные на пневмоколесном ходу, емкость ковша 0,25 м3</t>
        </is>
      </c>
      <c r="D24" s="198" t="inlineStr">
        <is>
          <t>маш.час</t>
        </is>
      </c>
      <c r="E24" s="195" t="n">
        <v>41.29842</v>
      </c>
      <c r="F24" s="29" t="n">
        <v>70.01000000000001</v>
      </c>
      <c r="G24" s="177">
        <f>ROUND(F24*E24,2)</f>
        <v/>
      </c>
      <c r="H24" s="25">
        <f>G24/G50</f>
        <v/>
      </c>
      <c r="I24" s="177">
        <f>ROUND(F24*Прил.10!$D$11,2)</f>
        <v/>
      </c>
      <c r="J24" s="177">
        <f>ROUND(I24*E24,2)</f>
        <v/>
      </c>
    </row>
    <row r="25" hidden="1" outlineLevel="1" ht="31.15" customFormat="1" customHeight="1" s="159">
      <c r="A25" s="175" t="n">
        <v>8</v>
      </c>
      <c r="B25" s="178" t="inlineStr">
        <is>
          <t>91.14.02-001</t>
        </is>
      </c>
      <c r="C25" s="194" t="inlineStr">
        <is>
          <t>Автомобили бортовые, грузоподъемность до 5 т</t>
        </is>
      </c>
      <c r="D25" s="198" t="inlineStr">
        <is>
          <t>маш.час</t>
        </is>
      </c>
      <c r="E25" s="195" t="n">
        <v>33.7617225</v>
      </c>
      <c r="F25" s="29" t="n">
        <v>65.70999999999999</v>
      </c>
      <c r="G25" s="177">
        <f>ROUND(F25*E25,2)</f>
        <v/>
      </c>
      <c r="H25" s="25">
        <f>G25/G50</f>
        <v/>
      </c>
      <c r="I25" s="177">
        <f>ROUND(F25*Прил.10!$D$11,2)</f>
        <v/>
      </c>
      <c r="J25" s="177">
        <f>ROUND(I25*E25,2)</f>
        <v/>
      </c>
    </row>
    <row r="26" hidden="1" outlineLevel="1" ht="31.15" customFormat="1" customHeight="1" s="159">
      <c r="A26" s="175" t="n">
        <v>9</v>
      </c>
      <c r="B26" s="178" t="inlineStr">
        <is>
          <t>91.10.05-007</t>
        </is>
      </c>
      <c r="C26" s="194" t="inlineStr">
        <is>
          <t>Трубоукладчики, номинальная грузоподъемность 12,5 т</t>
        </is>
      </c>
      <c r="D26" s="198" t="inlineStr">
        <is>
          <t>маш.час</t>
        </is>
      </c>
      <c r="E26" s="195" t="n">
        <v>8.191280000000001</v>
      </c>
      <c r="F26" s="29" t="n">
        <v>239.44</v>
      </c>
      <c r="G26" s="177">
        <f>ROUND(F26*E26,2)</f>
        <v/>
      </c>
      <c r="H26" s="25">
        <f>G26/G50</f>
        <v/>
      </c>
      <c r="I26" s="177">
        <f>ROUND(F26*Прил.10!$D$11,2)</f>
        <v/>
      </c>
      <c r="J26" s="177">
        <f>ROUND(I26*E26,2)</f>
        <v/>
      </c>
    </row>
    <row r="27" hidden="1" outlineLevel="1" ht="31.15" customFormat="1" customHeight="1" s="159">
      <c r="A27" s="175" t="n">
        <v>10</v>
      </c>
      <c r="B27" s="178" t="inlineStr">
        <is>
          <t>91.17.04-233</t>
        </is>
      </c>
      <c r="C27" s="194" t="inlineStr">
        <is>
          <t>Установки для сварки ручной дуговой (постоянного тока)</t>
        </is>
      </c>
      <c r="D27" s="198" t="inlineStr">
        <is>
          <t>маш.час</t>
        </is>
      </c>
      <c r="E27" s="195" t="n">
        <v>198.42304</v>
      </c>
      <c r="F27" s="29" t="n">
        <v>8.1</v>
      </c>
      <c r="G27" s="177">
        <f>ROUND(F27*E27,2)</f>
        <v/>
      </c>
      <c r="H27" s="25">
        <f>G27/G50</f>
        <v/>
      </c>
      <c r="I27" s="177">
        <f>ROUND(F27*Прил.10!$D$11,2)</f>
        <v/>
      </c>
      <c r="J27" s="177">
        <f>ROUND(I27*E27,2)</f>
        <v/>
      </c>
    </row>
    <row r="28" hidden="1" outlineLevel="1" ht="15.6" customFormat="1" customHeight="1" s="159">
      <c r="A28" s="175" t="n">
        <v>11</v>
      </c>
      <c r="B28" s="178" t="inlineStr">
        <is>
          <t>91.05.14-025</t>
        </is>
      </c>
      <c r="C28" s="194" t="inlineStr">
        <is>
          <t>Краны переносные 1 т</t>
        </is>
      </c>
      <c r="D28" s="198" t="inlineStr">
        <is>
          <t>маш.час</t>
        </is>
      </c>
      <c r="E28" s="195" t="n">
        <v>38.316</v>
      </c>
      <c r="F28" s="29" t="n">
        <v>27.2</v>
      </c>
      <c r="G28" s="177">
        <f>ROUND(F28*E28,2)</f>
        <v/>
      </c>
      <c r="H28" s="25">
        <f>G28/G50</f>
        <v/>
      </c>
      <c r="I28" s="177">
        <f>ROUND(F28*Прил.10!$D$11,2)</f>
        <v/>
      </c>
      <c r="J28" s="177">
        <f>ROUND(I28*E28,2)</f>
        <v/>
      </c>
    </row>
    <row r="29" hidden="1" outlineLevel="1" ht="31.15" customFormat="1" customHeight="1" s="159">
      <c r="A29" s="175" t="n">
        <v>12</v>
      </c>
      <c r="B29" s="178" t="inlineStr">
        <is>
          <t>91.08.09-022</t>
        </is>
      </c>
      <c r="C29" s="194" t="inlineStr">
        <is>
          <t>Трамбовки на базе трактора, 118 кВт (160 л.с.)</t>
        </is>
      </c>
      <c r="D29" s="198" t="inlineStr">
        <is>
          <t>маш.час</t>
        </is>
      </c>
      <c r="E29" s="195" t="n">
        <v>4.4616</v>
      </c>
      <c r="F29" s="29" t="n">
        <v>182.81</v>
      </c>
      <c r="G29" s="177">
        <f>ROUND(F29*E29,2)</f>
        <v/>
      </c>
      <c r="H29" s="25">
        <f>G29/G50</f>
        <v/>
      </c>
      <c r="I29" s="177">
        <f>ROUND(F29*Прил.10!$D$11,2)</f>
        <v/>
      </c>
      <c r="J29" s="177">
        <f>ROUND(I29*E29,2)</f>
        <v/>
      </c>
    </row>
    <row r="30" hidden="1" outlineLevel="1" ht="15.6" customFormat="1" customHeight="1" s="159">
      <c r="A30" s="175" t="n">
        <v>13</v>
      </c>
      <c r="B30" s="178" t="inlineStr">
        <is>
          <t>91.01.01-034</t>
        </is>
      </c>
      <c r="C30" s="194" t="inlineStr">
        <is>
          <t>Бульдозеры, мощность 59 кВт (80 л.с.)</t>
        </is>
      </c>
      <c r="D30" s="198" t="inlineStr">
        <is>
          <t>маш.час</t>
        </is>
      </c>
      <c r="E30" s="195" t="n">
        <v>10.7688134</v>
      </c>
      <c r="F30" s="29" t="n">
        <v>59.47</v>
      </c>
      <c r="G30" s="177">
        <f>ROUND(F30*E30,2)</f>
        <v/>
      </c>
      <c r="H30" s="25">
        <f>G30/G50</f>
        <v/>
      </c>
      <c r="I30" s="177">
        <f>ROUND(F30*Прил.10!$D$11,2)</f>
        <v/>
      </c>
      <c r="J30" s="177">
        <f>ROUND(I30*E30,2)</f>
        <v/>
      </c>
    </row>
    <row r="31" hidden="1" outlineLevel="1" ht="31.15" customFormat="1" customHeight="1" s="159">
      <c r="A31" s="175" t="n">
        <v>14</v>
      </c>
      <c r="B31" s="178" t="inlineStr">
        <is>
          <t>91.05.05-015</t>
        </is>
      </c>
      <c r="C31" s="194" t="inlineStr">
        <is>
          <t>Краны на автомобильном ходу, грузоподъемность 16 т</t>
        </is>
      </c>
      <c r="D31" s="198" t="inlineStr">
        <is>
          <t>маш.час</t>
        </is>
      </c>
      <c r="E31" s="195" t="n">
        <v>4.946128</v>
      </c>
      <c r="F31" s="29" t="n">
        <v>115.4</v>
      </c>
      <c r="G31" s="177">
        <f>ROUND(F31*E31,2)</f>
        <v/>
      </c>
      <c r="H31" s="25">
        <f>G31/G50</f>
        <v/>
      </c>
      <c r="I31" s="177">
        <f>ROUND(F31*Прил.10!$D$11,2)</f>
        <v/>
      </c>
      <c r="J31" s="177">
        <f>ROUND(I31*E31,2)</f>
        <v/>
      </c>
    </row>
    <row r="32" hidden="1" outlineLevel="1" ht="15.6" customFormat="1" customHeight="1" s="159">
      <c r="A32" s="175" t="n">
        <v>15</v>
      </c>
      <c r="B32" s="178" t="inlineStr">
        <is>
          <t>91.06.05-011</t>
        </is>
      </c>
      <c r="C32" s="194" t="inlineStr">
        <is>
          <t>Погрузчики, грузоподъемность 5 т</t>
        </is>
      </c>
      <c r="D32" s="198" t="inlineStr">
        <is>
          <t>маш.час</t>
        </is>
      </c>
      <c r="E32" s="195" t="n">
        <v>5.6705425</v>
      </c>
      <c r="F32" s="29" t="n">
        <v>89.98999999999999</v>
      </c>
      <c r="G32" s="177">
        <f>ROUND(F32*E32,2)</f>
        <v/>
      </c>
      <c r="H32" s="25">
        <f>G32/G50</f>
        <v/>
      </c>
      <c r="I32" s="177">
        <f>ROUND(F32*Прил.10!$D$11,2)</f>
        <v/>
      </c>
      <c r="J32" s="177">
        <f>ROUND(I32*E32,2)</f>
        <v/>
      </c>
    </row>
    <row r="33" hidden="1" outlineLevel="1" ht="31.15" customFormat="1" customHeight="1" s="159">
      <c r="A33" s="175" t="n">
        <v>16</v>
      </c>
      <c r="B33" s="178" t="inlineStr">
        <is>
          <t>91.07.02-011</t>
        </is>
      </c>
      <c r="C33" s="194" t="inlineStr">
        <is>
          <t>Автобетононасосы, производительность 65 м3/ч</t>
        </is>
      </c>
      <c r="D33" s="198" t="inlineStr">
        <is>
          <t>маш.час</t>
        </is>
      </c>
      <c r="E33" s="195" t="n">
        <v>1.683579</v>
      </c>
      <c r="F33" s="29" t="n">
        <v>283.4</v>
      </c>
      <c r="G33" s="177">
        <f>ROUND(F33*E33,2)</f>
        <v/>
      </c>
      <c r="H33" s="25">
        <f>G33/G50</f>
        <v/>
      </c>
      <c r="I33" s="177">
        <f>ROUND(F33*Прил.10!$D$11,2)</f>
        <v/>
      </c>
      <c r="J33" s="177">
        <f>ROUND(I33*E33,2)</f>
        <v/>
      </c>
    </row>
    <row r="34" hidden="1" outlineLevel="1" ht="46.9" customFormat="1" customHeight="1" s="159">
      <c r="A34" s="175" t="n">
        <v>17</v>
      </c>
      <c r="B34" s="178" t="inlineStr">
        <is>
          <t>91.18.01-508</t>
        </is>
      </c>
      <c r="C34" s="194" t="inlineStr">
        <is>
          <t>Компрессоры передвижные с электродвигателем, производительность до 5,0 м3/мин</t>
        </is>
      </c>
      <c r="D34" s="198" t="inlineStr">
        <is>
          <t>маш.час</t>
        </is>
      </c>
      <c r="E34" s="195" t="n">
        <v>6.7626</v>
      </c>
      <c r="F34" s="29" t="n">
        <v>48.81</v>
      </c>
      <c r="G34" s="177">
        <f>ROUND(F34*E34,2)</f>
        <v/>
      </c>
      <c r="H34" s="25">
        <f>G34/G50</f>
        <v/>
      </c>
      <c r="I34" s="177">
        <f>ROUND(F34*Прил.10!$D$11,2)</f>
        <v/>
      </c>
      <c r="J34" s="177">
        <f>ROUND(I34*E34,2)</f>
        <v/>
      </c>
    </row>
    <row r="35" hidden="1" outlineLevel="1" ht="31.15" customFormat="1" customHeight="1" s="159">
      <c r="A35" s="175" t="n">
        <v>18</v>
      </c>
      <c r="B35" s="178" t="inlineStr">
        <is>
          <t>91.01.01-035</t>
        </is>
      </c>
      <c r="C35" s="194" t="inlineStr">
        <is>
          <t>Бульдозеры, мощность 79 кВт (108 л.с.)</t>
        </is>
      </c>
      <c r="D35" s="198" t="inlineStr">
        <is>
          <t>маш.час</t>
        </is>
      </c>
      <c r="E35" s="195" t="n">
        <v>2.3318</v>
      </c>
      <c r="F35" s="29" t="n">
        <v>79.06999999999999</v>
      </c>
      <c r="G35" s="177">
        <f>ROUND(F35*E35,2)</f>
        <v/>
      </c>
      <c r="H35" s="25">
        <f>G35/G50</f>
        <v/>
      </c>
      <c r="I35" s="177">
        <f>ROUND(F35*Прил.10!$D$11,2)</f>
        <v/>
      </c>
      <c r="J35" s="177">
        <f>ROUND(I35*E35,2)</f>
        <v/>
      </c>
    </row>
    <row r="36" hidden="1" outlineLevel="1" ht="15.6" customFormat="1" customHeight="1" s="159">
      <c r="A36" s="175" t="n">
        <v>19</v>
      </c>
      <c r="B36" s="178" t="inlineStr">
        <is>
          <t>91.08.04-021</t>
        </is>
      </c>
      <c r="C36" s="194" t="inlineStr">
        <is>
          <t>Котлы битумные передвижные 400 л</t>
        </is>
      </c>
      <c r="D36" s="198" t="inlineStr">
        <is>
          <t>маш.час</t>
        </is>
      </c>
      <c r="E36" s="195" t="n">
        <v>6.08634</v>
      </c>
      <c r="F36" s="29" t="n">
        <v>30</v>
      </c>
      <c r="G36" s="177">
        <f>ROUND(F36*E36,2)</f>
        <v/>
      </c>
      <c r="H36" s="25">
        <f>G36/G50</f>
        <v/>
      </c>
      <c r="I36" s="177">
        <f>ROUND(F36*Прил.10!$D$11,2)</f>
        <v/>
      </c>
      <c r="J36" s="177">
        <f>ROUND(I36*E36,2)</f>
        <v/>
      </c>
    </row>
    <row r="37" hidden="1" outlineLevel="1" ht="15.6" customFormat="1" customHeight="1" s="159">
      <c r="A37" s="175" t="n">
        <v>20</v>
      </c>
      <c r="B37" s="178" t="inlineStr">
        <is>
          <t>91.13.01-038</t>
        </is>
      </c>
      <c r="C37" s="194" t="inlineStr">
        <is>
          <t>Машины поливомоечные 6000 л</t>
        </is>
      </c>
      <c r="D37" s="198" t="inlineStr">
        <is>
          <t>маш.час</t>
        </is>
      </c>
      <c r="E37" s="195" t="n">
        <v>0.52094</v>
      </c>
      <c r="F37" s="29" t="n">
        <v>110</v>
      </c>
      <c r="G37" s="177">
        <f>ROUND(F37*E37,2)</f>
        <v/>
      </c>
      <c r="H37" s="25">
        <f>G37/G50</f>
        <v/>
      </c>
      <c r="I37" s="177">
        <f>ROUND(F37*Прил.10!$D$11,2)</f>
        <v/>
      </c>
      <c r="J37" s="177">
        <f>ROUND(I37*E37,2)</f>
        <v/>
      </c>
    </row>
    <row r="38" hidden="1" outlineLevel="1" ht="31.15" customFormat="1" customHeight="1" s="159">
      <c r="A38" s="175" t="n">
        <v>21</v>
      </c>
      <c r="B38" s="178" t="inlineStr">
        <is>
          <t>91.08.03-009</t>
        </is>
      </c>
      <c r="C38" s="194" t="inlineStr">
        <is>
          <t>Катки самоходные гладкие вибрационные, масса 2,2 т</t>
        </is>
      </c>
      <c r="D38" s="198" t="inlineStr">
        <is>
          <t>маш.час</t>
        </is>
      </c>
      <c r="E38" s="195" t="n">
        <v>0.2</v>
      </c>
      <c r="F38" s="29" t="n">
        <v>103.16</v>
      </c>
      <c r="G38" s="177">
        <f>ROUND(F38*E38,2)</f>
        <v/>
      </c>
      <c r="H38" s="25">
        <f>G38/G50</f>
        <v/>
      </c>
      <c r="I38" s="177">
        <f>ROUND(F38*Прил.10!$D$11,2)</f>
        <v/>
      </c>
      <c r="J38" s="177">
        <f>ROUND(I38*E38,2)</f>
        <v/>
      </c>
    </row>
    <row r="39" hidden="1" outlineLevel="1" ht="62.45" customFormat="1" customHeight="1" s="159">
      <c r="A39" s="175" t="n">
        <v>22</v>
      </c>
      <c r="B39" s="178" t="inlineStr">
        <is>
          <t>91.18.01-007</t>
        </is>
      </c>
      <c r="C39" s="194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9" s="198" t="inlineStr">
        <is>
          <t>маш.час</t>
        </is>
      </c>
      <c r="E39" s="195" t="n">
        <v>0.185136</v>
      </c>
      <c r="F39" s="29" t="n">
        <v>90</v>
      </c>
      <c r="G39" s="177">
        <f>ROUND(F39*E39,2)</f>
        <v/>
      </c>
      <c r="H39" s="25">
        <f>G39/G50</f>
        <v/>
      </c>
      <c r="I39" s="177">
        <f>ROUND(F39*Прил.10!$D$11,2)</f>
        <v/>
      </c>
      <c r="J39" s="177">
        <f>ROUND(I39*E39,2)</f>
        <v/>
      </c>
    </row>
    <row r="40" hidden="1" outlineLevel="1" ht="15.6" customFormat="1" customHeight="1" s="159">
      <c r="A40" s="175" t="n">
        <v>23</v>
      </c>
      <c r="B40" s="178" t="inlineStr">
        <is>
          <t>91.07.04-001</t>
        </is>
      </c>
      <c r="C40" s="194" t="inlineStr">
        <is>
          <t>Вибраторы глубинные</t>
        </is>
      </c>
      <c r="D40" s="198" t="inlineStr">
        <is>
          <t>маш.час</t>
        </is>
      </c>
      <c r="E40" s="195" t="n">
        <v>7.563948</v>
      </c>
      <c r="F40" s="29" t="n">
        <v>1.9</v>
      </c>
      <c r="G40" s="177">
        <f>ROUND(F40*E40,2)</f>
        <v/>
      </c>
      <c r="H40" s="25">
        <f>G40/G50</f>
        <v/>
      </c>
      <c r="I40" s="177">
        <f>ROUND(F40*Прил.10!$D$11,2)</f>
        <v/>
      </c>
      <c r="J40" s="177">
        <f>ROUND(I40*E40,2)</f>
        <v/>
      </c>
    </row>
    <row r="41" hidden="1" outlineLevel="1" ht="46.9" customFormat="1" customHeight="1" s="159">
      <c r="A41" s="175" t="n">
        <v>24</v>
      </c>
      <c r="B41" s="178" t="inlineStr">
        <is>
          <t>91.06.06-048</t>
        </is>
      </c>
      <c r="C41" s="194" t="inlineStr">
        <is>
          <t>Подъемники одномачтовые, грузоподъемность до 500 кг, высота подъема 45 м</t>
        </is>
      </c>
      <c r="D41" s="198" t="inlineStr">
        <is>
          <t>маш.час</t>
        </is>
      </c>
      <c r="E41" s="195" t="n">
        <v>0.3048</v>
      </c>
      <c r="F41" s="29" t="n">
        <v>31.26</v>
      </c>
      <c r="G41" s="177">
        <f>ROUND(F41*E41,2)</f>
        <v/>
      </c>
      <c r="H41" s="25">
        <f>G41/G50</f>
        <v/>
      </c>
      <c r="I41" s="177">
        <f>ROUND(F41*Прил.10!$D$11,2)</f>
        <v/>
      </c>
      <c r="J41" s="177">
        <f>ROUND(I41*E41,2)</f>
        <v/>
      </c>
    </row>
    <row r="42" hidden="1" outlineLevel="1" ht="46.9" customFormat="1" customHeight="1" s="159">
      <c r="A42" s="175" t="n">
        <v>25</v>
      </c>
      <c r="B42" s="178" t="inlineStr">
        <is>
          <t>91.08.09-023</t>
        </is>
      </c>
      <c r="C42" s="194" t="inlineStr">
        <is>
          <t>Трамбовки пневматические при работе от передвижных компрессорных станций</t>
        </is>
      </c>
      <c r="D42" s="198" t="inlineStr">
        <is>
          <t>маш.час</t>
        </is>
      </c>
      <c r="E42" s="195" t="n">
        <v>6.7626</v>
      </c>
      <c r="F42" s="29" t="n">
        <v>0.55</v>
      </c>
      <c r="G42" s="177">
        <f>ROUND(F42*E42,2)</f>
        <v/>
      </c>
      <c r="H42" s="25">
        <f>G42/G50</f>
        <v/>
      </c>
      <c r="I42" s="177">
        <f>ROUND(F42*Прил.10!$D$11,2)</f>
        <v/>
      </c>
      <c r="J42" s="177">
        <f>ROUND(I42*E42,2)</f>
        <v/>
      </c>
    </row>
    <row r="43" hidden="1" outlineLevel="1" ht="15.6" customFormat="1" customHeight="1" s="159">
      <c r="A43" s="175" t="n">
        <v>26</v>
      </c>
      <c r="B43" s="178" t="inlineStr">
        <is>
          <t>91.07.04-002</t>
        </is>
      </c>
      <c r="C43" s="194" t="inlineStr">
        <is>
          <t>Вибраторы поверхностные</t>
        </is>
      </c>
      <c r="D43" s="198" t="inlineStr">
        <is>
          <t>маш.час</t>
        </is>
      </c>
      <c r="E43" s="195" t="n">
        <v>2.400419</v>
      </c>
      <c r="F43" s="29" t="n">
        <v>0.5</v>
      </c>
      <c r="G43" s="177">
        <f>ROUND(F43*E43,2)</f>
        <v/>
      </c>
      <c r="H43" s="25">
        <f>G43/G50</f>
        <v/>
      </c>
      <c r="I43" s="177">
        <f>ROUND(F43*Прил.10!$D$11,2)</f>
        <v/>
      </c>
      <c r="J43" s="177">
        <f>ROUND(I43*E43,2)</f>
        <v/>
      </c>
    </row>
    <row r="44" hidden="1" outlineLevel="1" ht="31.15" customFormat="1" customHeight="1" s="159">
      <c r="A44" s="175" t="n">
        <v>27</v>
      </c>
      <c r="B44" s="178" t="inlineStr">
        <is>
          <t>91.01.02-004</t>
        </is>
      </c>
      <c r="C44" s="194" t="inlineStr">
        <is>
          <t>Автогрейдеры среднего типа, мощность 99 кВт (135 л.с.)</t>
        </is>
      </c>
      <c r="D44" s="198" t="inlineStr">
        <is>
          <t>маш.час</t>
        </is>
      </c>
      <c r="E44" s="195" t="n">
        <v>0.00651</v>
      </c>
      <c r="F44" s="29" t="n">
        <v>123</v>
      </c>
      <c r="G44" s="177">
        <f>ROUND(F44*E44,2)</f>
        <v/>
      </c>
      <c r="H44" s="25">
        <f>G44/G50</f>
        <v/>
      </c>
      <c r="I44" s="177">
        <f>ROUND(F44*Прил.10!$D$11,2)</f>
        <v/>
      </c>
      <c r="J44" s="177">
        <f>ROUND(I44*E44,2)</f>
        <v/>
      </c>
    </row>
    <row r="45" hidden="1" outlineLevel="1" ht="46.9" customFormat="1" customHeight="1" s="159">
      <c r="A45" s="175" t="n">
        <v>28</v>
      </c>
      <c r="B45" s="178" t="inlineStr">
        <is>
          <t>91.21.10-003</t>
        </is>
      </c>
      <c r="C45" s="194" t="inlineStr">
        <is>
          <t>Молотки при работе от передвижных компрессорных станций отбойные пневматические</t>
        </is>
      </c>
      <c r="D45" s="198" t="inlineStr">
        <is>
          <t>маш.час</t>
        </is>
      </c>
      <c r="E45" s="195" t="n">
        <v>0.370272</v>
      </c>
      <c r="F45" s="29" t="n">
        <v>1.53</v>
      </c>
      <c r="G45" s="177">
        <f>ROUND(F45*E45,2)</f>
        <v/>
      </c>
      <c r="H45" s="25">
        <f>G45/G50</f>
        <v/>
      </c>
      <c r="I45" s="177">
        <f>ROUND(F45*Прил.10!$D$11,2)</f>
        <v/>
      </c>
      <c r="J45" s="177">
        <f>ROUND(I45*E45,2)</f>
        <v/>
      </c>
    </row>
    <row r="46" hidden="1" outlineLevel="1" ht="31.15" customFormat="1" customHeight="1" s="159">
      <c r="A46" s="175" t="n">
        <v>29</v>
      </c>
      <c r="B46" s="178" t="inlineStr">
        <is>
          <t>91.07.03-010</t>
        </is>
      </c>
      <c r="C46" s="194" t="inlineStr">
        <is>
          <t>Бетоносмесители принудительного действия передвижные 250 л</t>
        </is>
      </c>
      <c r="D46" s="198" t="inlineStr">
        <is>
          <t>маш.час</t>
        </is>
      </c>
      <c r="E46" s="195" t="n">
        <v>0.025327</v>
      </c>
      <c r="F46" s="29" t="n">
        <v>21.64</v>
      </c>
      <c r="G46" s="177">
        <f>ROUND(F46*E46,2)</f>
        <v/>
      </c>
      <c r="H46" s="25">
        <f>G46/G50</f>
        <v/>
      </c>
      <c r="I46" s="177">
        <f>ROUND(F46*Прил.10!$D$11,2)</f>
        <v/>
      </c>
      <c r="J46" s="177">
        <f>ROUND(I46*E46,2)</f>
        <v/>
      </c>
    </row>
    <row r="47" hidden="1" outlineLevel="1" ht="46.9" customFormat="1" customHeight="1" s="159">
      <c r="A47" s="175" t="n">
        <v>30</v>
      </c>
      <c r="B47" s="178" t="inlineStr">
        <is>
          <t>91.21.01-012</t>
        </is>
      </c>
      <c r="C47" s="194" t="inlineStr">
        <is>
          <t>Агрегаты окрасочные высокого давления для окраски поверхностей конструкций, мощность 1 кВт</t>
        </is>
      </c>
      <c r="D47" s="198" t="inlineStr">
        <is>
          <t>маш.час</t>
        </is>
      </c>
      <c r="E47" s="195" t="n">
        <v>0.0097838</v>
      </c>
      <c r="F47" s="29" t="n">
        <v>6.82</v>
      </c>
      <c r="G47" s="177">
        <f>ROUND(F47*E47,2)</f>
        <v/>
      </c>
      <c r="H47" s="25">
        <f>G47/G50</f>
        <v/>
      </c>
      <c r="I47" s="177">
        <f>ROUND(F47*Прил.10!$D$11,2)</f>
        <v/>
      </c>
      <c r="J47" s="177">
        <f>ROUND(I47*E47,2)</f>
        <v/>
      </c>
    </row>
    <row r="48" hidden="1" outlineLevel="1" ht="31.15" customFormat="1" customHeight="1" s="159">
      <c r="A48" s="175" t="n">
        <v>31</v>
      </c>
      <c r="B48" s="178" t="inlineStr">
        <is>
          <t>91.06.03-060</t>
        </is>
      </c>
      <c r="C48" s="194" t="inlineStr">
        <is>
          <t>Лебедки электрические тяговым усилием до 5,79 кН (0,59 т)</t>
        </is>
      </c>
      <c r="D48" s="198" t="inlineStr">
        <is>
          <t>маш.час</t>
        </is>
      </c>
      <c r="E48" s="195" t="n">
        <v>0.0001505</v>
      </c>
      <c r="F48" s="29" t="n">
        <v>1.7</v>
      </c>
      <c r="G48" s="177">
        <f>ROUND(F48*E48,2)</f>
        <v/>
      </c>
      <c r="H48" s="25">
        <f>G48/G50</f>
        <v/>
      </c>
      <c r="I48" s="177">
        <f>ROUND(F48*Прил.10!$D$11,2)</f>
        <v/>
      </c>
      <c r="J48" s="177">
        <f>ROUND(I48*E48,2)</f>
        <v/>
      </c>
    </row>
    <row r="49" collapsed="1" ht="15.6" customFormat="1" customHeight="1" s="159">
      <c r="A49" s="175" t="n"/>
      <c r="B49" s="175" t="inlineStr">
        <is>
          <t>Итого прочие Машины и механизмы</t>
        </is>
      </c>
      <c r="C49" s="201" t="n"/>
      <c r="D49" s="201" t="n"/>
      <c r="E49" s="201" t="n"/>
      <c r="F49" s="202" t="n"/>
      <c r="G49" s="177">
        <f>SUM(G24:G48)</f>
        <v/>
      </c>
      <c r="H49" s="25">
        <f>SUM(H24:H48)</f>
        <v/>
      </c>
      <c r="I49" s="177" t="n"/>
      <c r="J49" s="177">
        <f>SUM(J24:J48)</f>
        <v/>
      </c>
    </row>
    <row r="50" ht="15.6" customFormat="1" customHeight="1" s="159">
      <c r="A50" s="175" t="n"/>
      <c r="B50" s="175" t="inlineStr">
        <is>
          <t>Итого по разделу "Машины и механизмы"</t>
        </is>
      </c>
      <c r="C50" s="201" t="n"/>
      <c r="D50" s="201" t="n"/>
      <c r="E50" s="201" t="n"/>
      <c r="F50" s="202" t="n"/>
      <c r="G50" s="177">
        <f>G23+G49</f>
        <v/>
      </c>
      <c r="H50" s="25">
        <f>H23+H49</f>
        <v/>
      </c>
      <c r="I50" s="177" t="n"/>
      <c r="J50" s="177">
        <f>J23+J49</f>
        <v/>
      </c>
    </row>
    <row r="51" ht="14.25" customFormat="1" customHeight="1" s="95">
      <c r="A51" s="172" t="n"/>
      <c r="B51" s="179" t="inlineStr">
        <is>
          <t>Оборудование</t>
        </is>
      </c>
      <c r="C51" s="201" t="n"/>
      <c r="D51" s="201" t="n"/>
      <c r="E51" s="201" t="n"/>
      <c r="F51" s="201" t="n"/>
      <c r="G51" s="201" t="n"/>
      <c r="H51" s="202" t="n"/>
      <c r="I51" s="193" t="n"/>
      <c r="J51" s="193" t="n"/>
    </row>
    <row r="52" ht="15.6" customHeight="1" s="128">
      <c r="A52" s="172" t="n"/>
      <c r="B52" s="184" t="inlineStr">
        <is>
          <t>Основное оборудование</t>
        </is>
      </c>
      <c r="C52" s="201" t="n"/>
      <c r="D52" s="201" t="n"/>
      <c r="E52" s="201" t="n"/>
      <c r="F52" s="201" t="n"/>
      <c r="G52" s="201" t="n"/>
      <c r="H52" s="202" t="n"/>
      <c r="I52" s="193" t="n"/>
      <c r="J52" s="193" t="n"/>
      <c r="K52" s="95" t="n"/>
      <c r="L52" s="95" t="n"/>
    </row>
    <row r="53" ht="15.6" customHeight="1" s="128">
      <c r="A53" s="172" t="n"/>
      <c r="B53" s="172" t="n"/>
      <c r="C53" s="184" t="inlineStr">
        <is>
          <t>Итого основное оборудование</t>
        </is>
      </c>
      <c r="D53" s="172" t="n"/>
      <c r="E53" s="101" t="n"/>
      <c r="F53" s="186" t="n"/>
      <c r="G53" s="103" t="n">
        <v>0</v>
      </c>
      <c r="H53" s="187" t="n">
        <v>0</v>
      </c>
      <c r="I53" s="105" t="n"/>
      <c r="J53" s="103" t="n">
        <v>0</v>
      </c>
      <c r="K53" s="95" t="n"/>
      <c r="L53" s="95" t="n"/>
    </row>
    <row r="54" ht="15.6" customHeight="1" s="128">
      <c r="A54" s="172" t="n"/>
      <c r="B54" s="172" t="n"/>
      <c r="C54" s="184" t="inlineStr">
        <is>
          <t>Итого прочее оборудование</t>
        </is>
      </c>
      <c r="D54" s="172" t="n"/>
      <c r="E54" s="101" t="n"/>
      <c r="F54" s="186" t="n"/>
      <c r="G54" s="103" t="n">
        <v>0</v>
      </c>
      <c r="H54" s="187" t="n">
        <v>0</v>
      </c>
      <c r="I54" s="105" t="n"/>
      <c r="J54" s="103" t="n">
        <v>0</v>
      </c>
      <c r="K54" s="95" t="n"/>
      <c r="L54" s="95" t="n"/>
    </row>
    <row r="55" ht="15.6" customHeight="1" s="128">
      <c r="A55" s="172" t="n"/>
      <c r="B55" s="172" t="n"/>
      <c r="C55" s="179" t="inlineStr">
        <is>
          <t>Итого по разделу «Оборудование»</t>
        </is>
      </c>
      <c r="D55" s="172" t="n"/>
      <c r="E55" s="185" t="n"/>
      <c r="F55" s="186" t="n"/>
      <c r="G55" s="103">
        <f>G53+G54</f>
        <v/>
      </c>
      <c r="H55" s="187" t="n">
        <v>0</v>
      </c>
      <c r="I55" s="105" t="n"/>
      <c r="J55" s="103">
        <f>J54+J53</f>
        <v/>
      </c>
      <c r="K55" s="95" t="n"/>
      <c r="L55" s="95" t="n"/>
    </row>
    <row r="56" ht="31.15" customHeight="1" s="128">
      <c r="A56" s="172" t="n"/>
      <c r="B56" s="172" t="n"/>
      <c r="C56" s="184" t="inlineStr">
        <is>
          <t>в том числе технологическое оборудование</t>
        </is>
      </c>
      <c r="D56" s="172" t="n"/>
      <c r="E56" s="108" t="n"/>
      <c r="F56" s="186" t="n"/>
      <c r="G56" s="103">
        <f>G55</f>
        <v/>
      </c>
      <c r="H56" s="187" t="n"/>
      <c r="I56" s="105" t="n"/>
      <c r="J56" s="103">
        <f>J55</f>
        <v/>
      </c>
      <c r="K56" s="95" t="n"/>
      <c r="L56" s="95" t="n"/>
    </row>
    <row r="57" ht="15.6" customFormat="1" customHeight="1" s="159">
      <c r="A57" s="175" t="n"/>
      <c r="B57" s="173" t="inlineStr">
        <is>
          <t>Материалы</t>
        </is>
      </c>
      <c r="C57" s="201" t="n"/>
      <c r="D57" s="201" t="n"/>
      <c r="E57" s="201" t="n"/>
      <c r="F57" s="201" t="n"/>
      <c r="G57" s="201" t="n"/>
      <c r="H57" s="202" t="n"/>
      <c r="I57" s="177" t="n"/>
      <c r="J57" s="177" t="n"/>
    </row>
    <row r="58" ht="15.6" customFormat="1" customHeight="1" s="159">
      <c r="A58" s="175" t="n"/>
      <c r="B58" s="175" t="inlineStr">
        <is>
          <t>Основные Материалы</t>
        </is>
      </c>
      <c r="C58" s="201" t="n"/>
      <c r="D58" s="201" t="n"/>
      <c r="E58" s="201" t="n"/>
      <c r="F58" s="201" t="n"/>
      <c r="G58" s="201" t="n"/>
      <c r="H58" s="202" t="n"/>
      <c r="I58" s="177" t="n"/>
      <c r="J58" s="177" t="n"/>
    </row>
    <row r="59" ht="46.9" customFormat="1" customHeight="1" s="159">
      <c r="A59" s="175" t="n">
        <v>7</v>
      </c>
      <c r="B59" s="178" t="inlineStr">
        <is>
          <t>05.1.01.12-0007</t>
        </is>
      </c>
      <c r="C59" s="194" t="inlineStr">
        <is>
          <t>Плита перекрытия лотков и каналов ПЛ-1, бетон B15 (М200), объем 0,18 м3, расход арматуры 17,37 кг</t>
        </is>
      </c>
      <c r="D59" s="198" t="inlineStr">
        <is>
          <t>шт</t>
        </is>
      </c>
      <c r="E59" s="195" t="n">
        <v>1150</v>
      </c>
      <c r="F59" s="29" t="n">
        <v>381.18</v>
      </c>
      <c r="G59" s="177">
        <f>ROUND(F59*E59,2)</f>
        <v/>
      </c>
      <c r="H59" s="25">
        <f>G59/G114</f>
        <v/>
      </c>
      <c r="I59" s="177">
        <f>ROUND(F59*Прил.10!$D$12,2)</f>
        <v/>
      </c>
      <c r="J59" s="177">
        <f>ROUND(I59*E59,2)</f>
        <v/>
      </c>
    </row>
    <row r="60" ht="46.9" customFormat="1" customHeight="1" s="159">
      <c r="A60" s="175" t="n">
        <v>8</v>
      </c>
      <c r="B60" s="174" t="inlineStr">
        <is>
          <t>05.1.01.10-0145</t>
        </is>
      </c>
      <c r="C60" s="194" t="inlineStr">
        <is>
          <t>Лоток ЛК 300.60.45-1, бетон B15 (М200), объем 0,27 м3, расход арматуры 5,5 кг</t>
        </is>
      </c>
      <c r="D60" s="198" t="inlineStr">
        <is>
          <t>шт</t>
        </is>
      </c>
      <c r="E60" s="195" t="n">
        <v>575</v>
      </c>
      <c r="F60" s="29" t="n">
        <v>307</v>
      </c>
      <c r="G60" s="177">
        <f>ROUND(F60*E60,2)</f>
        <v/>
      </c>
      <c r="H60" s="25">
        <f>G60/G114</f>
        <v/>
      </c>
      <c r="I60" s="177">
        <f>ROUND(F60*Прил.10!$D$12,2)</f>
        <v/>
      </c>
      <c r="J60" s="177">
        <f>ROUND(I60*E60,2)</f>
        <v/>
      </c>
    </row>
    <row r="61" ht="15.6" customFormat="1" customHeight="1" s="159">
      <c r="A61" s="175" t="n"/>
      <c r="B61" s="178" t="inlineStr">
        <is>
          <t>Итого основные Материалы</t>
        </is>
      </c>
      <c r="C61" s="201" t="n"/>
      <c r="D61" s="201" t="n"/>
      <c r="E61" s="201" t="n"/>
      <c r="F61" s="202" t="n"/>
      <c r="G61" s="29">
        <f>SUM(G59:G60)</f>
        <v/>
      </c>
      <c r="H61" s="25">
        <f>SUM(H59:H59)</f>
        <v/>
      </c>
      <c r="I61" s="177" t="n"/>
      <c r="J61" s="29">
        <f>SUM(J59:J60)</f>
        <v/>
      </c>
    </row>
    <row r="62" hidden="1" outlineLevel="1" ht="15.6" customFormat="1" customHeight="1" s="159">
      <c r="A62" s="175" t="n"/>
      <c r="B62" s="174" t="inlineStr">
        <is>
          <t>Прайс из СД ОП</t>
        </is>
      </c>
      <c r="C62" s="194" t="inlineStr">
        <is>
          <t>Бруски Б10</t>
        </is>
      </c>
      <c r="D62" s="198" t="inlineStr">
        <is>
          <t>ШТ</t>
        </is>
      </c>
      <c r="E62" s="195" t="n">
        <v>340</v>
      </c>
      <c r="F62" s="29" t="n">
        <v>137.06</v>
      </c>
      <c r="G62" s="177">
        <f>ROUND(F62*E62,2)</f>
        <v/>
      </c>
      <c r="H62" s="25">
        <f>G62/G114</f>
        <v/>
      </c>
      <c r="I62" s="177">
        <f>ROUND(F62*Прил.10!$D$12,2)</f>
        <v/>
      </c>
      <c r="J62" s="177">
        <f>ROUND(I62*E62,2)</f>
        <v/>
      </c>
    </row>
    <row r="63" hidden="1" outlineLevel="1" ht="31.15" customFormat="1" customHeight="1" s="159">
      <c r="A63" s="175" t="n"/>
      <c r="B63" s="178" t="inlineStr">
        <is>
          <t>04.1.02.05-0009</t>
        </is>
      </c>
      <c r="C63" s="194" t="inlineStr">
        <is>
          <t>Смеси бетонные тяжелого бетона (БСТ), класс В25 (М350)</t>
        </is>
      </c>
      <c r="D63" s="198" t="inlineStr">
        <is>
          <t>м3</t>
        </is>
      </c>
      <c r="E63" s="195" t="n">
        <v>29.40195</v>
      </c>
      <c r="F63" s="29" t="n">
        <v>725.6900000000001</v>
      </c>
      <c r="G63" s="177">
        <f>ROUND(F63*E63,2)</f>
        <v/>
      </c>
      <c r="H63" s="25">
        <f>G63/G114</f>
        <v/>
      </c>
      <c r="I63" s="177">
        <f>ROUND(F63*Прил.10!$D$12,2)</f>
        <v/>
      </c>
      <c r="J63" s="177">
        <f>ROUND(I63*E63,2)</f>
        <v/>
      </c>
    </row>
    <row r="64" hidden="1" outlineLevel="1" ht="15.6" customFormat="1" customHeight="1" s="159">
      <c r="A64" s="175" t="n"/>
      <c r="B64" s="174" t="inlineStr">
        <is>
          <t>Прайс из СД ОП</t>
        </is>
      </c>
      <c r="C64" s="194" t="inlineStr">
        <is>
          <t>Бруски Б5</t>
        </is>
      </c>
      <c r="D64" s="198" t="inlineStr">
        <is>
          <t>ШТ</t>
        </is>
      </c>
      <c r="E64" s="195" t="n">
        <v>242</v>
      </c>
      <c r="F64" s="29" t="n">
        <v>87.72</v>
      </c>
      <c r="G64" s="177">
        <f>ROUND(F64*E64,2)</f>
        <v/>
      </c>
      <c r="H64" s="25">
        <f>G64/G114</f>
        <v/>
      </c>
      <c r="I64" s="177">
        <f>ROUND(F64*Прил.10!$D$12,2)</f>
        <v/>
      </c>
      <c r="J64" s="177">
        <f>ROUND(I64*E64,2)</f>
        <v/>
      </c>
    </row>
    <row r="65" hidden="1" outlineLevel="1" ht="93.59999999999999" customFormat="1" customHeight="1" s="159">
      <c r="A65" s="175" t="n"/>
      <c r="B65" s="178" t="inlineStr">
        <is>
          <t>07.2.07.12-0006</t>
        </is>
      </c>
      <c r="C65" s="194" t="inlineStr">
        <is>
      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      </is>
      </c>
      <c r="D65" s="198" t="inlineStr">
        <is>
          <t>т</t>
        </is>
      </c>
      <c r="E65" s="195" t="n">
        <v>1.1096</v>
      </c>
      <c r="F65" s="29" t="n">
        <v>10045</v>
      </c>
      <c r="G65" s="177">
        <f>ROUND(F65*E65,2)</f>
        <v/>
      </c>
      <c r="H65" s="25">
        <f>G65/G114</f>
        <v/>
      </c>
      <c r="I65" s="177">
        <f>ROUND(F65*Прил.10!$D$12,2)</f>
        <v/>
      </c>
      <c r="J65" s="177">
        <f>ROUND(I65*E65,2)</f>
        <v/>
      </c>
    </row>
    <row r="66" hidden="1" outlineLevel="1" ht="46.9" customFormat="1" customHeight="1" s="159">
      <c r="A66" s="175" t="n"/>
      <c r="B66" s="178" t="inlineStr">
        <is>
          <t>05.1.02.03-0001</t>
        </is>
      </c>
      <c r="C66" s="194" t="inlineStr">
        <is>
          <t>Бруски железобетонные для прокладки лотков (БРУСКИ Б10 (БК12-А)</t>
        </is>
      </c>
      <c r="D66" s="198" t="inlineStr">
        <is>
          <t>м3</t>
        </is>
      </c>
      <c r="E66" s="195" t="n">
        <v>5.1</v>
      </c>
      <c r="F66" s="29" t="n">
        <v>1684.93</v>
      </c>
      <c r="G66" s="177">
        <f>ROUND(F66*E66,2)</f>
        <v/>
      </c>
      <c r="H66" s="25">
        <f>G66/G114</f>
        <v/>
      </c>
      <c r="I66" s="177">
        <f>ROUND(F66*Прил.10!$D$12,2)</f>
        <v/>
      </c>
      <c r="J66" s="177">
        <f>ROUND(I66*E66,2)</f>
        <v/>
      </c>
    </row>
    <row r="67" hidden="1" outlineLevel="1" ht="15.6" customFormat="1" customHeight="1" s="159">
      <c r="A67" s="175" t="n"/>
      <c r="B67" s="178" t="inlineStr">
        <is>
          <t>12.1.02.06-0042</t>
        </is>
      </c>
      <c r="C67" s="194" t="inlineStr">
        <is>
          <t>Рубероид кровельный РПП-300</t>
        </is>
      </c>
      <c r="D67" s="198" t="inlineStr">
        <is>
          <t>м2</t>
        </is>
      </c>
      <c r="E67" s="195" t="n">
        <v>1036.304</v>
      </c>
      <c r="F67" s="29" t="n">
        <v>6.78</v>
      </c>
      <c r="G67" s="177">
        <f>ROUND(F67*E67,2)</f>
        <v/>
      </c>
      <c r="H67" s="25">
        <f>G67/G114</f>
        <v/>
      </c>
      <c r="I67" s="177">
        <f>ROUND(F67*Прил.10!$D$12,2)</f>
        <v/>
      </c>
      <c r="J67" s="177">
        <f>ROUND(I67*E67,2)</f>
        <v/>
      </c>
    </row>
    <row r="68" hidden="1" outlineLevel="1" ht="31.15" customFormat="1" customHeight="1" s="159">
      <c r="A68" s="175" t="n"/>
      <c r="B68" s="178" t="inlineStr">
        <is>
          <t>01.7.11.07-0054</t>
        </is>
      </c>
      <c r="C68" s="194" t="inlineStr">
        <is>
          <t>Электроды сварочные Э42, диаметр 6 мм</t>
        </is>
      </c>
      <c r="D68" s="198" t="inlineStr">
        <is>
          <t>т</t>
        </is>
      </c>
      <c r="E68" s="195" t="n">
        <v>0.7419012</v>
      </c>
      <c r="F68" s="29" t="n">
        <v>9424</v>
      </c>
      <c r="G68" s="177">
        <f>ROUND(F68*E68,2)</f>
        <v/>
      </c>
      <c r="H68" s="25">
        <f>G68/G114</f>
        <v/>
      </c>
      <c r="I68" s="177">
        <f>ROUND(F68*Прил.10!$D$12,2)</f>
        <v/>
      </c>
      <c r="J68" s="177">
        <f>ROUND(I68*E68,2)</f>
        <v/>
      </c>
    </row>
    <row r="69" hidden="1" outlineLevel="1" ht="62.45" customFormat="1" customHeight="1" s="159">
      <c r="A69" s="175" t="n"/>
      <c r="B69" s="178" t="inlineStr">
        <is>
          <t>08.4.02.03-1032</t>
        </is>
      </c>
      <c r="C69" s="194" t="inlineStr">
        <is>
          <t>Каркасы и сетки арматурные плоские, собранные и сваренные (связанные) в арматурные изделия, класс А-I, диаметр 12 мм</t>
        </is>
      </c>
      <c r="D69" s="198" t="inlineStr">
        <is>
          <t>т</t>
        </is>
      </c>
      <c r="E69" s="195" t="n">
        <v>1.169776</v>
      </c>
      <c r="F69" s="29" t="n">
        <v>5582.57</v>
      </c>
      <c r="G69" s="177">
        <f>ROUND(F69*E69,2)</f>
        <v/>
      </c>
      <c r="H69" s="25">
        <f>G69/G114</f>
        <v/>
      </c>
      <c r="I69" s="177">
        <f>ROUND(F69*Прил.10!$D$12,2)</f>
        <v/>
      </c>
      <c r="J69" s="177">
        <f>ROUND(I69*E69,2)</f>
        <v/>
      </c>
    </row>
    <row r="70" hidden="1" outlineLevel="1" ht="31.15" customFormat="1" customHeight="1" s="159">
      <c r="A70" s="175" t="n"/>
      <c r="B70" s="178" t="inlineStr">
        <is>
          <t>04.1.02.01-0009</t>
        </is>
      </c>
      <c r="C70" s="194" t="inlineStr">
        <is>
          <t>Смеси бетонные мелкозернистого бетона (БСМ), класс В25 (М350)</t>
        </is>
      </c>
      <c r="D70" s="198" t="inlineStr">
        <is>
          <t>м3</t>
        </is>
      </c>
      <c r="E70" s="195" t="n">
        <v>9.9876</v>
      </c>
      <c r="F70" s="29" t="n">
        <v>653.3099999999999</v>
      </c>
      <c r="G70" s="177">
        <f>ROUND(F70*E70,2)</f>
        <v/>
      </c>
      <c r="H70" s="25">
        <f>G70/G114</f>
        <v/>
      </c>
      <c r="I70" s="177">
        <f>ROUND(F70*Прил.10!$D$12,2)</f>
        <v/>
      </c>
      <c r="J70" s="177">
        <f>ROUND(I70*E70,2)</f>
        <v/>
      </c>
    </row>
    <row r="71" hidden="1" outlineLevel="1" ht="46.9" customFormat="1" customHeight="1" s="159">
      <c r="A71" s="175" t="n"/>
      <c r="B71" s="178" t="inlineStr">
        <is>
          <t>08.3.04.02-0063</t>
        </is>
      </c>
      <c r="C71" s="194" t="inlineStr">
        <is>
          <t>Сталь круглая и квадратная, марки Ст1кп-Ст4кп, Ст1пс-Ст6пс, размер 5-12 мм</t>
        </is>
      </c>
      <c r="D71" s="198" t="inlineStr">
        <is>
          <t>т</t>
        </is>
      </c>
      <c r="E71" s="195" t="n">
        <v>0.834552</v>
      </c>
      <c r="F71" s="29" t="n">
        <v>6785.77</v>
      </c>
      <c r="G71" s="177">
        <f>ROUND(F71*E71,2)</f>
        <v/>
      </c>
      <c r="H71" s="25">
        <f>G71/G114</f>
        <v/>
      </c>
      <c r="I71" s="177">
        <f>ROUND(F71*Прил.10!$D$12,2)</f>
        <v/>
      </c>
      <c r="J71" s="177">
        <f>ROUND(I71*E71,2)</f>
        <v/>
      </c>
    </row>
    <row r="72" hidden="1" outlineLevel="1" ht="46.9" customFormat="1" customHeight="1" s="159">
      <c r="A72" s="175" t="n"/>
      <c r="B72" s="178" t="inlineStr">
        <is>
          <t>11.1.03.06-0092</t>
        </is>
      </c>
      <c r="C72" s="194" t="inlineStr">
        <is>
          <t>Доска обрезная, хвойных пород, ширина 75-150 мм, толщина 32-40 мм, длина 4-6,5 м, сорт IV</t>
        </is>
      </c>
      <c r="D72" s="198" t="inlineStr">
        <is>
          <t>м3</t>
        </is>
      </c>
      <c r="E72" s="195" t="n">
        <v>5.53656</v>
      </c>
      <c r="F72" s="29" t="n">
        <v>1010</v>
      </c>
      <c r="G72" s="177">
        <f>ROUND(F72*E72,2)</f>
        <v/>
      </c>
      <c r="H72" s="25">
        <f>G72/G114</f>
        <v/>
      </c>
      <c r="I72" s="177">
        <f>ROUND(F72*Прил.10!$D$12,2)</f>
        <v/>
      </c>
      <c r="J72" s="177">
        <f>ROUND(I72*E72,2)</f>
        <v/>
      </c>
    </row>
    <row r="73" hidden="1" outlineLevel="1" ht="31.15" customFormat="1" customHeight="1" s="159">
      <c r="A73" s="175" t="n"/>
      <c r="B73" s="178" t="inlineStr">
        <is>
          <t>04.1.02.05-0003</t>
        </is>
      </c>
      <c r="C73" s="194" t="inlineStr">
        <is>
          <t>Смеси бетонные тяжелого бетона (БСТ), класс В7,5 (М100)</t>
        </is>
      </c>
      <c r="D73" s="198" t="inlineStr">
        <is>
          <t>м3</t>
        </is>
      </c>
      <c r="E73" s="195" t="n">
        <v>9.006600000000001</v>
      </c>
      <c r="F73" s="29" t="n">
        <v>560</v>
      </c>
      <c r="G73" s="177">
        <f>ROUND(F73*E73,2)</f>
        <v/>
      </c>
      <c r="H73" s="25">
        <f>G73/G114</f>
        <v/>
      </c>
      <c r="I73" s="177">
        <f>ROUND(F73*Прил.10!$D$12,2)</f>
        <v/>
      </c>
      <c r="J73" s="177">
        <f>ROUND(I73*E73,2)</f>
        <v/>
      </c>
    </row>
    <row r="74" hidden="1" outlineLevel="1" ht="31.15" customFormat="1" customHeight="1" s="159">
      <c r="A74" s="175" t="n"/>
      <c r="B74" s="178" t="inlineStr">
        <is>
          <t>01.7.07.12-0024</t>
        </is>
      </c>
      <c r="C74" s="194" t="inlineStr">
        <is>
          <t>Пленка полиэтиленовая, толщина 0,15 мм</t>
        </is>
      </c>
      <c r="D74" s="198" t="inlineStr">
        <is>
          <t>м2</t>
        </is>
      </c>
      <c r="E74" s="195" t="n">
        <v>993.687</v>
      </c>
      <c r="F74" s="29" t="n">
        <v>3.62</v>
      </c>
      <c r="G74" s="177">
        <f>ROUND(F74*E74,2)</f>
        <v/>
      </c>
      <c r="H74" s="25">
        <f>G74/G114</f>
        <v/>
      </c>
      <c r="I74" s="177">
        <f>ROUND(F74*Прил.10!$D$12,2)</f>
        <v/>
      </c>
      <c r="J74" s="177">
        <f>ROUND(I74*E74,2)</f>
        <v/>
      </c>
    </row>
    <row r="75" hidden="1" outlineLevel="1" ht="31.15" customFormat="1" customHeight="1" s="159">
      <c r="A75" s="175" t="n"/>
      <c r="B75" s="178" t="inlineStr">
        <is>
          <t>14.4.02.04-0006</t>
        </is>
      </c>
      <c r="C75" s="194" t="inlineStr">
        <is>
          <t>Краска для наружных работ, коричневая</t>
        </is>
      </c>
      <c r="D75" s="198" t="inlineStr">
        <is>
          <t>т</t>
        </is>
      </c>
      <c r="E75" s="195" t="n">
        <v>0.1832</v>
      </c>
      <c r="F75" s="29" t="n">
        <v>17796.96</v>
      </c>
      <c r="G75" s="177">
        <f>ROUND(F75*E75,2)</f>
        <v/>
      </c>
      <c r="H75" s="25">
        <f>G75/G114</f>
        <v/>
      </c>
      <c r="I75" s="177">
        <f>ROUND(F75*Прил.10!$D$12,2)</f>
        <v/>
      </c>
      <c r="J75" s="177">
        <f>ROUND(I75*E75,2)</f>
        <v/>
      </c>
    </row>
    <row r="76" hidden="1" outlineLevel="1" ht="31.15" customFormat="1" customHeight="1" s="159">
      <c r="A76" s="175" t="n"/>
      <c r="B76" s="178" t="inlineStr">
        <is>
          <t>01.2.03.03-0107</t>
        </is>
      </c>
      <c r="C76" s="194" t="inlineStr">
        <is>
          <t>Мастика битумно-масляная морозостойкая горячего применения</t>
        </is>
      </c>
      <c r="D76" s="198" t="inlineStr">
        <is>
          <t>т</t>
        </is>
      </c>
      <c r="E76" s="195" t="n">
        <v>0.749088</v>
      </c>
      <c r="F76" s="29" t="n">
        <v>3960</v>
      </c>
      <c r="G76" s="177">
        <f>ROUND(F76*E76,2)</f>
        <v/>
      </c>
      <c r="H76" s="25">
        <f>G76/G114</f>
        <v/>
      </c>
      <c r="I76" s="177">
        <f>ROUND(F76*Прил.10!$D$12,2)</f>
        <v/>
      </c>
      <c r="J76" s="177">
        <f>ROUND(I76*E76,2)</f>
        <v/>
      </c>
    </row>
    <row r="77" hidden="1" outlineLevel="1" ht="31.15" customFormat="1" customHeight="1" s="159">
      <c r="A77" s="175" t="n"/>
      <c r="B77" s="178" t="inlineStr">
        <is>
          <t>02.3.01.02-0003</t>
        </is>
      </c>
      <c r="C77" s="194" t="inlineStr">
        <is>
          <t>Песок для строительных работ природный 50%; обогащенный 50%</t>
        </is>
      </c>
      <c r="D77" s="198" t="inlineStr">
        <is>
          <t>м3</t>
        </is>
      </c>
      <c r="E77" s="195" t="n">
        <v>46.97</v>
      </c>
      <c r="F77" s="29" t="n">
        <v>54.95</v>
      </c>
      <c r="G77" s="177">
        <f>ROUND(F77*E77,2)</f>
        <v/>
      </c>
      <c r="H77" s="25">
        <f>G77/G114</f>
        <v/>
      </c>
      <c r="I77" s="177">
        <f>ROUND(F77*Прил.10!$D$12,2)</f>
        <v/>
      </c>
      <c r="J77" s="177">
        <f>ROUND(I77*E77,2)</f>
        <v/>
      </c>
    </row>
    <row r="78" hidden="1" outlineLevel="1" ht="31.15" customFormat="1" customHeight="1" s="159">
      <c r="A78" s="175" t="n"/>
      <c r="B78" s="178" t="inlineStr">
        <is>
          <t>04.3.01.12-0111</t>
        </is>
      </c>
      <c r="C78" s="194" t="inlineStr">
        <is>
          <t>Раствор готовый отделочный тяжелый, цементно-известковый, состав 1:1:6</t>
        </is>
      </c>
      <c r="D78" s="198" t="inlineStr">
        <is>
          <t>м3</t>
        </is>
      </c>
      <c r="E78" s="195" t="n">
        <v>3.664</v>
      </c>
      <c r="F78" s="29" t="n">
        <v>517.91</v>
      </c>
      <c r="G78" s="177">
        <f>ROUND(F78*E78,2)</f>
        <v/>
      </c>
      <c r="H78" s="25">
        <f>G78/G114</f>
        <v/>
      </c>
      <c r="I78" s="177">
        <f>ROUND(F78*Прил.10!$D$12,2)</f>
        <v/>
      </c>
      <c r="J78" s="177">
        <f>ROUND(I78*E78,2)</f>
        <v/>
      </c>
    </row>
    <row r="79" hidden="1" outlineLevel="1" ht="31.15" customFormat="1" customHeight="1" s="159">
      <c r="A79" s="175" t="n"/>
      <c r="B79" s="178" t="inlineStr">
        <is>
          <t>06.1.01.05-0015</t>
        </is>
      </c>
      <c r="C79" s="194" t="inlineStr">
        <is>
          <t>Кирпич керамический лицевой, размер 250х120х65 мм, марка 100</t>
        </is>
      </c>
      <c r="D79" s="198" t="inlineStr">
        <is>
          <t>1000 шт</t>
        </is>
      </c>
      <c r="E79" s="195" t="n">
        <v>0.752</v>
      </c>
      <c r="F79" s="29" t="n">
        <v>1740.2</v>
      </c>
      <c r="G79" s="177">
        <f>ROUND(F79*E79,2)</f>
        <v/>
      </c>
      <c r="H79" s="25">
        <f>G79/G114</f>
        <v/>
      </c>
      <c r="I79" s="177">
        <f>ROUND(F79*Прил.10!$D$12,2)</f>
        <v/>
      </c>
      <c r="J79" s="177">
        <f>ROUND(I79*E79,2)</f>
        <v/>
      </c>
    </row>
    <row r="80" hidden="1" outlineLevel="1" ht="31.15" customFormat="1" customHeight="1" s="159">
      <c r="A80" s="175" t="n"/>
      <c r="B80" s="178" t="inlineStr">
        <is>
          <t>08.3.03.06-0002</t>
        </is>
      </c>
      <c r="C80" s="194" t="inlineStr">
        <is>
          <t>Проволока горячекатаная в мотках, диаметр 6,3-6,5 мм</t>
        </is>
      </c>
      <c r="D80" s="198" t="inlineStr">
        <is>
          <t>т</t>
        </is>
      </c>
      <c r="E80" s="195" t="n">
        <v>0.2907406</v>
      </c>
      <c r="F80" s="29" t="n">
        <v>4455.2</v>
      </c>
      <c r="G80" s="177">
        <f>ROUND(F80*E80,2)</f>
        <v/>
      </c>
      <c r="H80" s="25">
        <f>G80/G114</f>
        <v/>
      </c>
      <c r="I80" s="177">
        <f>ROUND(F80*Прил.10!$D$12,2)</f>
        <v/>
      </c>
      <c r="J80" s="177">
        <f>ROUND(I80*E80,2)</f>
        <v/>
      </c>
    </row>
    <row r="81" hidden="1" outlineLevel="1" ht="46.9" customFormat="1" customHeight="1" s="159">
      <c r="A81" s="175" t="n"/>
      <c r="B81" s="178" t="inlineStr">
        <is>
          <t>08.3.08.01-0023</t>
        </is>
      </c>
      <c r="C81" s="194" t="inlineStr">
        <is>
          <t>Сталь угловая неравнополочная, марка 18кп, 18 пс, 18гпс, ширина большой полки более 80 мм</t>
        </is>
      </c>
      <c r="D81" s="198" t="inlineStr">
        <is>
          <t>т</t>
        </is>
      </c>
      <c r="E81" s="195" t="n">
        <v>0.16</v>
      </c>
      <c r="F81" s="29" t="n">
        <v>6305.86</v>
      </c>
      <c r="G81" s="177">
        <f>ROUND(F81*E81,2)</f>
        <v/>
      </c>
      <c r="H81" s="25">
        <f>G81/G114</f>
        <v/>
      </c>
      <c r="I81" s="177">
        <f>ROUND(F81*Прил.10!$D$12,2)</f>
        <v/>
      </c>
      <c r="J81" s="177">
        <f>ROUND(I81*E81,2)</f>
        <v/>
      </c>
    </row>
    <row r="82" hidden="1" outlineLevel="1" ht="46.9" customFormat="1" customHeight="1" s="159">
      <c r="A82" s="175" t="n"/>
      <c r="B82" s="178" t="inlineStr">
        <is>
          <t>08.3.08.02-0058</t>
        </is>
      </c>
      <c r="C82" s="194" t="inlineStr">
        <is>
          <t>Уголок горячекатаный, марка стали Ст1кп-Ст4кп, Ст1пс-Ст6пс, Ст1Гпс-Ст5Гпс, ширина полок 35-70 мм</t>
        </is>
      </c>
      <c r="D82" s="198" t="inlineStr">
        <is>
          <t>т</t>
        </is>
      </c>
      <c r="E82" s="195" t="n">
        <v>0.143244</v>
      </c>
      <c r="F82" s="29" t="n">
        <v>6503.23</v>
      </c>
      <c r="G82" s="177">
        <f>ROUND(F82*E82,2)</f>
        <v/>
      </c>
      <c r="H82" s="25">
        <f>G82/G114</f>
        <v/>
      </c>
      <c r="I82" s="177">
        <f>ROUND(F82*Прил.10!$D$12,2)</f>
        <v/>
      </c>
      <c r="J82" s="177">
        <f>ROUND(I82*E82,2)</f>
        <v/>
      </c>
    </row>
    <row r="83" hidden="1" outlineLevel="1" ht="31.15" customFormat="1" customHeight="1" s="159">
      <c r="A83" s="175" t="n"/>
      <c r="B83" s="178" t="inlineStr">
        <is>
          <t>11.2.11.05-0011</t>
        </is>
      </c>
      <c r="C83" s="194" t="inlineStr">
        <is>
          <t>Фанера клееная марки ФСФ толщиной 12 мм и более</t>
        </is>
      </c>
      <c r="D83" s="198" t="inlineStr">
        <is>
          <t>м3</t>
        </is>
      </c>
      <c r="E83" s="195" t="n">
        <v>0.149472</v>
      </c>
      <c r="F83" s="29" t="n">
        <v>5197.23</v>
      </c>
      <c r="G83" s="177">
        <f>ROUND(F83*E83,2)</f>
        <v/>
      </c>
      <c r="H83" s="25">
        <f>G83/G114</f>
        <v/>
      </c>
      <c r="I83" s="177">
        <f>ROUND(F83*Прил.10!$D$12,2)</f>
        <v/>
      </c>
      <c r="J83" s="177">
        <f>ROUND(I83*E83,2)</f>
        <v/>
      </c>
    </row>
    <row r="84" hidden="1" outlineLevel="1" ht="31.15" customFormat="1" customHeight="1" s="159">
      <c r="A84" s="175" t="n"/>
      <c r="B84" s="178" t="inlineStr">
        <is>
          <t>04.3.01.09-0014</t>
        </is>
      </c>
      <c r="C84" s="194" t="inlineStr">
        <is>
          <t>Раствор готовый кладочный, цементный, М100</t>
        </is>
      </c>
      <c r="D84" s="198" t="inlineStr">
        <is>
          <t>м3</t>
        </is>
      </c>
      <c r="E84" s="195" t="n">
        <v>1.455</v>
      </c>
      <c r="F84" s="29" t="n">
        <v>519.8</v>
      </c>
      <c r="G84" s="177">
        <f>ROUND(F84*E84,2)</f>
        <v/>
      </c>
      <c r="H84" s="25">
        <f>G84/G114</f>
        <v/>
      </c>
      <c r="I84" s="177">
        <f>ROUND(F84*Прил.10!$D$12,2)</f>
        <v/>
      </c>
      <c r="J84" s="177">
        <f>ROUND(I84*E84,2)</f>
        <v/>
      </c>
    </row>
    <row r="85" hidden="1" outlineLevel="1" ht="31.15" customFormat="1" customHeight="1" s="159">
      <c r="A85" s="175" t="n"/>
      <c r="B85" s="178" t="inlineStr">
        <is>
          <t>04.3.01.09-0018</t>
        </is>
      </c>
      <c r="C85" s="194" t="inlineStr">
        <is>
          <t>Раствор готовый кладочный, цементный, М300</t>
        </is>
      </c>
      <c r="D85" s="198" t="inlineStr">
        <is>
          <t>м3</t>
        </is>
      </c>
      <c r="E85" s="195" t="n">
        <v>0.4896</v>
      </c>
      <c r="F85" s="29" t="n">
        <v>711.5</v>
      </c>
      <c r="G85" s="177">
        <f>ROUND(F85*E85,2)</f>
        <v/>
      </c>
      <c r="H85" s="25">
        <f>G85/G114</f>
        <v/>
      </c>
      <c r="I85" s="177">
        <f>ROUND(F85*Прил.10!$D$12,2)</f>
        <v/>
      </c>
      <c r="J85" s="177">
        <f>ROUND(I85*E85,2)</f>
        <v/>
      </c>
    </row>
    <row r="86" hidden="1" outlineLevel="1" ht="46.9" customFormat="1" customHeight="1" s="159">
      <c r="A86" s="175" t="n"/>
      <c r="B86" s="178" t="inlineStr">
        <is>
          <t>11.1.03.06-0090</t>
        </is>
      </c>
      <c r="C86" s="194" t="inlineStr">
        <is>
          <t>Доска обрезная, хвойных пород, ширина 75-150 мм, толщина 32-40 мм, длина 4-6,5 м, сорт II</t>
        </is>
      </c>
      <c r="D86" s="198" t="inlineStr">
        <is>
          <t>м3</t>
        </is>
      </c>
      <c r="E86" s="195" t="n">
        <v>0.2154888</v>
      </c>
      <c r="F86" s="29" t="n">
        <v>1430</v>
      </c>
      <c r="G86" s="177">
        <f>ROUND(F86*E86,2)</f>
        <v/>
      </c>
      <c r="H86" s="25">
        <f>G86/G114</f>
        <v/>
      </c>
      <c r="I86" s="177">
        <f>ROUND(F86*Прил.10!$D$12,2)</f>
        <v/>
      </c>
      <c r="J86" s="177">
        <f>ROUND(I86*E86,2)</f>
        <v/>
      </c>
    </row>
    <row r="87" hidden="1" outlineLevel="1" ht="15.6" customFormat="1" customHeight="1" s="159">
      <c r="A87" s="175" t="n"/>
      <c r="B87" s="178" t="inlineStr">
        <is>
          <t>01.7.15.06-0111</t>
        </is>
      </c>
      <c r="C87" s="194" t="inlineStr">
        <is>
          <t>Гвозди строительные</t>
        </is>
      </c>
      <c r="D87" s="198" t="inlineStr">
        <is>
          <t>т</t>
        </is>
      </c>
      <c r="E87" s="195" t="n">
        <v>0.0237024</v>
      </c>
      <c r="F87" s="29" t="n">
        <v>11978</v>
      </c>
      <c r="G87" s="177">
        <f>ROUND(F87*E87,2)</f>
        <v/>
      </c>
      <c r="H87" s="25">
        <f>G87/G114</f>
        <v/>
      </c>
      <c r="I87" s="177">
        <f>ROUND(F87*Прил.10!$D$12,2)</f>
        <v/>
      </c>
      <c r="J87" s="177">
        <f>ROUND(I87*E87,2)</f>
        <v/>
      </c>
    </row>
    <row r="88" hidden="1" outlineLevel="1" ht="46.9" customFormat="1" customHeight="1" s="159">
      <c r="A88" s="175" t="n"/>
      <c r="B88" s="178" t="inlineStr">
        <is>
          <t>11.3.03.15-1012</t>
        </is>
      </c>
      <c r="C88" s="194" t="inlineStr">
        <is>
          <t>Фиксаторы защитного слоя арматуры пластиковые, форма звездочка, толщина защитного слоя бетона 25 мм</t>
        </is>
      </c>
      <c r="D88" s="198" t="inlineStr">
        <is>
          <t>100 шт</t>
        </is>
      </c>
      <c r="E88" s="195" t="n">
        <v>17.93664</v>
      </c>
      <c r="F88" s="29" t="n">
        <v>15.41</v>
      </c>
      <c r="G88" s="177">
        <f>ROUND(F88*E88,2)</f>
        <v/>
      </c>
      <c r="H88" s="25">
        <f>G88/G114</f>
        <v/>
      </c>
      <c r="I88" s="177">
        <f>ROUND(F88*Прил.10!$D$12,2)</f>
        <v/>
      </c>
      <c r="J88" s="177">
        <f>ROUND(I88*E88,2)</f>
        <v/>
      </c>
    </row>
    <row r="89" hidden="1" outlineLevel="1" ht="15.6" customFormat="1" customHeight="1" s="159">
      <c r="A89" s="175" t="n"/>
      <c r="B89" s="178" t="inlineStr">
        <is>
          <t>01.2.03.03-0007</t>
        </is>
      </c>
      <c r="C89" s="194" t="inlineStr">
        <is>
          <t>Мастика битумная</t>
        </is>
      </c>
      <c r="D89" s="198" t="inlineStr">
        <is>
          <t>т</t>
        </is>
      </c>
      <c r="E89" s="195" t="n">
        <v>0.08016</v>
      </c>
      <c r="F89" s="29" t="n">
        <v>3316.55</v>
      </c>
      <c r="G89" s="177">
        <f>ROUND(F89*E89,2)</f>
        <v/>
      </c>
      <c r="H89" s="25">
        <f>G89/G114</f>
        <v/>
      </c>
      <c r="I89" s="177">
        <f>ROUND(F89*Прил.10!$D$12,2)</f>
        <v/>
      </c>
      <c r="J89" s="177">
        <f>ROUND(I89*E89,2)</f>
        <v/>
      </c>
    </row>
    <row r="90" hidden="1" outlineLevel="1" ht="31.15" customFormat="1" customHeight="1" s="159">
      <c r="A90" s="175" t="n"/>
      <c r="B90" s="178" t="inlineStr">
        <is>
          <t>04.3.01.09-0016</t>
        </is>
      </c>
      <c r="C90" s="194" t="inlineStr">
        <is>
          <t>Раствор готовый кладочный, цементный, М200</t>
        </is>
      </c>
      <c r="D90" s="198" t="inlineStr">
        <is>
          <t>м3</t>
        </is>
      </c>
      <c r="E90" s="195" t="n">
        <v>0.43068</v>
      </c>
      <c r="F90" s="29" t="n">
        <v>600</v>
      </c>
      <c r="G90" s="177">
        <f>ROUND(F90*E90,2)</f>
        <v/>
      </c>
      <c r="H90" s="25">
        <f>G90/G114</f>
        <v/>
      </c>
      <c r="I90" s="177">
        <f>ROUND(F90*Прил.10!$D$12,2)</f>
        <v/>
      </c>
      <c r="J90" s="177">
        <f>ROUND(I90*E90,2)</f>
        <v/>
      </c>
    </row>
    <row r="91" hidden="1" outlineLevel="1" ht="15.6" customFormat="1" customHeight="1" s="159">
      <c r="A91" s="175" t="n"/>
      <c r="B91" s="178" t="inlineStr">
        <is>
          <t>01.3.01.03-0002</t>
        </is>
      </c>
      <c r="C91" s="194" t="inlineStr">
        <is>
          <t>Керосин для технических целей</t>
        </is>
      </c>
      <c r="D91" s="198" t="inlineStr">
        <is>
          <t>т</t>
        </is>
      </c>
      <c r="E91" s="195" t="n">
        <v>0.0749088</v>
      </c>
      <c r="F91" s="29" t="n">
        <v>2606.9</v>
      </c>
      <c r="G91" s="177">
        <f>ROUND(F91*E91,2)</f>
        <v/>
      </c>
      <c r="H91" s="25">
        <f>G91/G114</f>
        <v/>
      </c>
      <c r="I91" s="177">
        <f>ROUND(F91*Прил.10!$D$12,2)</f>
        <v/>
      </c>
      <c r="J91" s="177">
        <f>ROUND(I91*E91,2)</f>
        <v/>
      </c>
    </row>
    <row r="92" hidden="1" outlineLevel="1" ht="15.6" customFormat="1" customHeight="1" s="159">
      <c r="A92" s="175" t="n"/>
      <c r="B92" s="178" t="inlineStr">
        <is>
          <t>11.2.13.04-0011</t>
        </is>
      </c>
      <c r="C92" s="194" t="inlineStr">
        <is>
          <t>Щиты из досок, толщина 25 мм</t>
        </is>
      </c>
      <c r="D92" s="198" t="inlineStr">
        <is>
          <t>м2</t>
        </is>
      </c>
      <c r="E92" s="195" t="n">
        <v>5.01144</v>
      </c>
      <c r="F92" s="29" t="n">
        <v>35.53</v>
      </c>
      <c r="G92" s="177">
        <f>ROUND(F92*E92,2)</f>
        <v/>
      </c>
      <c r="H92" s="25">
        <f>G92/G114</f>
        <v/>
      </c>
      <c r="I92" s="177">
        <f>ROUND(F92*Прил.10!$D$12,2)</f>
        <v/>
      </c>
      <c r="J92" s="177">
        <f>ROUND(I92*E92,2)</f>
        <v/>
      </c>
    </row>
    <row r="93" hidden="1" outlineLevel="1" ht="46.9" customFormat="1" customHeight="1" s="159">
      <c r="A93" s="175" t="n"/>
      <c r="B93" s="178" t="inlineStr">
        <is>
          <t>24.3.01.02-1002</t>
        </is>
      </c>
      <c r="C93" s="194" t="inlineStr">
        <is>
          <t>Кольца резиновые уплотнительные для поливинилхлоридных труб канализации, диаметр 110 мм</t>
        </is>
      </c>
      <c r="D93" s="198" t="inlineStr">
        <is>
          <t>шт</t>
        </is>
      </c>
      <c r="E93" s="195" t="n">
        <v>456.5217391</v>
      </c>
      <c r="F93" s="29" t="n">
        <v>0.37</v>
      </c>
      <c r="G93" s="177">
        <f>ROUND(F93*E93,2)</f>
        <v/>
      </c>
      <c r="H93" s="25">
        <f>G93/G114</f>
        <v/>
      </c>
      <c r="I93" s="177">
        <f>ROUND(F93*Прил.10!$D$12,2)</f>
        <v/>
      </c>
      <c r="J93" s="177">
        <f>ROUND(I93*E93,2)</f>
        <v/>
      </c>
    </row>
    <row r="94" hidden="1" outlineLevel="1" ht="46.9" customFormat="1" customHeight="1" s="159">
      <c r="A94" s="175" t="n"/>
      <c r="B94" s="178" t="inlineStr">
        <is>
          <t>11.1.03.06-0095</t>
        </is>
      </c>
      <c r="C94" s="194" t="inlineStr">
        <is>
          <t>Доска обрезная, хвойных пород, ширина 75-150 мм, толщина 44 мм и более, длина 4-6,5 м, сорт III</t>
        </is>
      </c>
      <c r="D94" s="198" t="inlineStr">
        <is>
          <t>м3</t>
        </is>
      </c>
      <c r="E94" s="195" t="n">
        <v>0.150144</v>
      </c>
      <c r="F94" s="29" t="n">
        <v>1056</v>
      </c>
      <c r="G94" s="177">
        <f>ROUND(F94*E94,2)</f>
        <v/>
      </c>
      <c r="H94" s="25">
        <f>G94/G114</f>
        <v/>
      </c>
      <c r="I94" s="177">
        <f>ROUND(F94*Прил.10!$D$12,2)</f>
        <v/>
      </c>
      <c r="J94" s="177">
        <f>ROUND(I94*E94,2)</f>
        <v/>
      </c>
    </row>
    <row r="95" hidden="1" outlineLevel="1" ht="15.6" customFormat="1" customHeight="1" s="159">
      <c r="A95" s="175" t="n"/>
      <c r="B95" s="178" t="inlineStr">
        <is>
          <t>01.3.04.08-0012</t>
        </is>
      </c>
      <c r="C95" s="194" t="inlineStr">
        <is>
          <t>Масло антраценовое</t>
        </is>
      </c>
      <c r="D95" s="198" t="inlineStr">
        <is>
          <t>т</t>
        </is>
      </c>
      <c r="E95" s="195" t="n">
        <v>0.0519</v>
      </c>
      <c r="F95" s="29" t="n">
        <v>1696.01</v>
      </c>
      <c r="G95" s="177">
        <f>ROUND(F95*E95,2)</f>
        <v/>
      </c>
      <c r="H95" s="25">
        <f>G95/G114</f>
        <v/>
      </c>
      <c r="I95" s="177">
        <f>ROUND(F95*Прил.10!$D$12,2)</f>
        <v/>
      </c>
      <c r="J95" s="177">
        <f>ROUND(I95*E95,2)</f>
        <v/>
      </c>
    </row>
    <row r="96" hidden="1" outlineLevel="1" ht="15.6" customFormat="1" customHeight="1" s="159">
      <c r="A96" s="175" t="n"/>
      <c r="B96" s="178" t="inlineStr">
        <is>
          <t>01.7.03.01-0001</t>
        </is>
      </c>
      <c r="C96" s="194" t="inlineStr">
        <is>
          <t>Вода</t>
        </is>
      </c>
      <c r="D96" s="198" t="inlineStr">
        <is>
          <t>м3</t>
        </is>
      </c>
      <c r="E96" s="195" t="n">
        <v>30.3528133</v>
      </c>
      <c r="F96" s="29" t="n">
        <v>2.44</v>
      </c>
      <c r="G96" s="177">
        <f>ROUND(F96*E96,2)</f>
        <v/>
      </c>
      <c r="H96" s="25">
        <f>G96/G114</f>
        <v/>
      </c>
      <c r="I96" s="177">
        <f>ROUND(F96*Прил.10!$D$12,2)</f>
        <v/>
      </c>
      <c r="J96" s="177">
        <f>ROUND(I96*E96,2)</f>
        <v/>
      </c>
    </row>
    <row r="97" hidden="1" outlineLevel="1" ht="46.9" customFormat="1" customHeight="1" s="159">
      <c r="A97" s="175" t="n"/>
      <c r="B97" s="178" t="inlineStr">
        <is>
          <t>08.3.07.01-0011</t>
        </is>
      </c>
      <c r="C97" s="194" t="inlineStr">
        <is>
          <t>Прокат полосовой, горячекатаный, марка стали Ст6сп, ширина 100-200 мм, толщина 10-75 мм</t>
        </is>
      </c>
      <c r="D97" s="198" t="inlineStr">
        <is>
          <t>т</t>
        </is>
      </c>
      <c r="E97" s="195" t="n">
        <v>0.012456</v>
      </c>
      <c r="F97" s="29" t="n">
        <v>5817.58</v>
      </c>
      <c r="G97" s="177">
        <f>ROUND(F97*E97,2)</f>
        <v/>
      </c>
      <c r="H97" s="25">
        <f>G97/G114</f>
        <v/>
      </c>
      <c r="I97" s="177">
        <f>ROUND(F97*Прил.10!$D$12,2)</f>
        <v/>
      </c>
      <c r="J97" s="177">
        <f>ROUND(I97*E97,2)</f>
        <v/>
      </c>
    </row>
    <row r="98" hidden="1" outlineLevel="1" ht="31.15" customFormat="1" customHeight="1" s="159">
      <c r="A98" s="175" t="n"/>
      <c r="B98" s="178" t="inlineStr">
        <is>
          <t>01.7.07.12-0011</t>
        </is>
      </c>
      <c r="C98" s="194" t="inlineStr">
        <is>
          <t>Пленка оберточная гидроизоляционная, толщина 0,55 мм</t>
        </is>
      </c>
      <c r="D98" s="198" t="inlineStr">
        <is>
          <t>м2</t>
        </is>
      </c>
      <c r="E98" s="195" t="n">
        <v>2.480713</v>
      </c>
      <c r="F98" s="29" t="n">
        <v>28.72</v>
      </c>
      <c r="G98" s="177">
        <f>ROUND(F98*E98,2)</f>
        <v/>
      </c>
      <c r="H98" s="25">
        <f>G98/G114</f>
        <v/>
      </c>
      <c r="I98" s="177">
        <f>ROUND(F98*Прил.10!$D$12,2)</f>
        <v/>
      </c>
      <c r="J98" s="177">
        <f>ROUND(I98*E98,2)</f>
        <v/>
      </c>
    </row>
    <row r="99" hidden="1" outlineLevel="1" ht="31.15" customFormat="1" customHeight="1" s="159">
      <c r="A99" s="175" t="n"/>
      <c r="B99" s="178" t="inlineStr">
        <is>
          <t>01.7.11.07-0056</t>
        </is>
      </c>
      <c r="C99" s="194" t="inlineStr">
        <is>
          <t>Электроды сварочные Э46, диаметр 6 мм</t>
        </is>
      </c>
      <c r="D99" s="198" t="inlineStr">
        <is>
          <t>т</t>
        </is>
      </c>
      <c r="E99" s="195" t="n">
        <v>0.0033516</v>
      </c>
      <c r="F99" s="29" t="n">
        <v>9793</v>
      </c>
      <c r="G99" s="177">
        <f>ROUND(F99*E99,2)</f>
        <v/>
      </c>
      <c r="H99" s="25">
        <f>G99/G114</f>
        <v/>
      </c>
      <c r="I99" s="177">
        <f>ROUND(F99*Прил.10!$D$12,2)</f>
        <v/>
      </c>
      <c r="J99" s="177">
        <f>ROUND(I99*E99,2)</f>
        <v/>
      </c>
    </row>
    <row r="100" hidden="1" outlineLevel="1" ht="15.6" customFormat="1" customHeight="1" s="159">
      <c r="A100" s="175" t="n"/>
      <c r="B100" s="178" t="inlineStr">
        <is>
          <t>01.2.01.02-0001</t>
        </is>
      </c>
      <c r="C100" s="194" t="inlineStr">
        <is>
          <t>Битум горячий</t>
        </is>
      </c>
      <c r="D100" s="198" t="inlineStr">
        <is>
          <t>т</t>
        </is>
      </c>
      <c r="E100" s="195" t="n">
        <v>0.0167232</v>
      </c>
      <c r="F100" s="29" t="n">
        <v>1946.91</v>
      </c>
      <c r="G100" s="177">
        <f>ROUND(F100*E100,2)</f>
        <v/>
      </c>
      <c r="H100" s="25">
        <f>G100/G114</f>
        <v/>
      </c>
      <c r="I100" s="177">
        <f>ROUND(F100*Прил.10!$D$12,2)</f>
        <v/>
      </c>
      <c r="J100" s="177">
        <f>ROUND(I100*E100,2)</f>
        <v/>
      </c>
    </row>
    <row r="101" hidden="1" outlineLevel="1" ht="46.9" customFormat="1" customHeight="1" s="159">
      <c r="A101" s="175" t="n"/>
      <c r="B101" s="178" t="inlineStr">
        <is>
          <t>11.1.02.04-0031</t>
        </is>
      </c>
      <c r="C101" s="194" t="inlineStr">
        <is>
          <t>Лесоматериалы круглые, хвойных пород, для строительства, диаметр 14-24 см, длина 3-6,5 м</t>
        </is>
      </c>
      <c r="D101" s="198" t="inlineStr">
        <is>
          <t>м3</t>
        </is>
      </c>
      <c r="E101" s="195" t="n">
        <v>0.04788</v>
      </c>
      <c r="F101" s="29" t="n">
        <v>558.33</v>
      </c>
      <c r="G101" s="177">
        <f>ROUND(F101*E101,2)</f>
        <v/>
      </c>
      <c r="H101" s="25">
        <f>G101/G114</f>
        <v/>
      </c>
      <c r="I101" s="177">
        <f>ROUND(F101*Прил.10!$D$12,2)</f>
        <v/>
      </c>
      <c r="J101" s="177">
        <f>ROUND(I101*E101,2)</f>
        <v/>
      </c>
    </row>
    <row r="102" hidden="1" outlineLevel="1" ht="31.15" customFormat="1" customHeight="1" s="159">
      <c r="A102" s="175" t="n"/>
      <c r="B102" s="178" t="inlineStr">
        <is>
          <t>08.1.02.11-0001</t>
        </is>
      </c>
      <c r="C102" s="194" t="inlineStr">
        <is>
          <t>Поковки из квадратных заготовок, масса 1,8 кг</t>
        </is>
      </c>
      <c r="D102" s="198" t="inlineStr">
        <is>
          <t>т</t>
        </is>
      </c>
      <c r="E102" s="195" t="n">
        <v>0.004324</v>
      </c>
      <c r="F102" s="29" t="n">
        <v>5989</v>
      </c>
      <c r="G102" s="177">
        <f>ROUND(F102*E102,2)</f>
        <v/>
      </c>
      <c r="H102" s="25">
        <f>G102/G114</f>
        <v/>
      </c>
      <c r="I102" s="177">
        <f>ROUND(F102*Прил.10!$D$12,2)</f>
        <v/>
      </c>
      <c r="J102" s="177">
        <f>ROUND(I102*E102,2)</f>
        <v/>
      </c>
    </row>
    <row r="103" hidden="1" outlineLevel="1" ht="15.6" customFormat="1" customHeight="1" s="159">
      <c r="A103" s="175" t="n"/>
      <c r="B103" s="178" t="inlineStr">
        <is>
          <t>11.2.13.04-0012</t>
        </is>
      </c>
      <c r="C103" s="194" t="inlineStr">
        <is>
          <t>Щиты из досок, толщина 40 мм</t>
        </is>
      </c>
      <c r="D103" s="198" t="inlineStr">
        <is>
          <t>м2</t>
        </is>
      </c>
      <c r="E103" s="195" t="n">
        <v>0.29808</v>
      </c>
      <c r="F103" s="29" t="n">
        <v>57.63</v>
      </c>
      <c r="G103" s="177">
        <f>ROUND(F103*E103,2)</f>
        <v/>
      </c>
      <c r="H103" s="25">
        <f>G103/G114</f>
        <v/>
      </c>
      <c r="I103" s="177">
        <f>ROUND(F103*Прил.10!$D$12,2)</f>
        <v/>
      </c>
      <c r="J103" s="177">
        <f>ROUND(I103*E103,2)</f>
        <v/>
      </c>
    </row>
    <row r="104" hidden="1" outlineLevel="1" ht="62.45" customFormat="1" customHeight="1" s="159">
      <c r="A104" s="175" t="n"/>
      <c r="B104" s="178" t="inlineStr">
        <is>
          <t>01.7.12.05-0053</t>
        </is>
      </c>
      <c r="C104" s="194" t="inlineStr">
        <is>
          <t>Геотекстиль нетканый из полиэфирного волокна, иглопробивной, поверхностная плотность 200 г/м2</t>
        </is>
      </c>
      <c r="D104" s="198" t="inlineStr">
        <is>
          <t>м2</t>
        </is>
      </c>
      <c r="E104" s="195" t="n">
        <v>2.480713</v>
      </c>
      <c r="F104" s="29" t="n">
        <v>5.46</v>
      </c>
      <c r="G104" s="177">
        <f>ROUND(F104*E104,2)</f>
        <v/>
      </c>
      <c r="H104" s="25">
        <f>G104/G114</f>
        <v/>
      </c>
      <c r="I104" s="177">
        <f>ROUND(F104*Прил.10!$D$12,2)</f>
        <v/>
      </c>
      <c r="J104" s="177">
        <f>ROUND(I104*E104,2)</f>
        <v/>
      </c>
    </row>
    <row r="105" hidden="1" outlineLevel="1" ht="31.15" customFormat="1" customHeight="1" s="159">
      <c r="A105" s="175" t="n"/>
      <c r="B105" s="178" t="inlineStr">
        <is>
          <t>03.1.02.03-0011</t>
        </is>
      </c>
      <c r="C105" s="194" t="inlineStr">
        <is>
          <t>Известь строительная негашеная комовая, сорт I</t>
        </is>
      </c>
      <c r="D105" s="198" t="inlineStr">
        <is>
          <t>т</t>
        </is>
      </c>
      <c r="E105" s="195" t="n">
        <v>0.0172668</v>
      </c>
      <c r="F105" s="29" t="n">
        <v>734.5</v>
      </c>
      <c r="G105" s="177">
        <f>ROUND(F105*E105,2)</f>
        <v/>
      </c>
      <c r="H105" s="25">
        <f>G105/G114</f>
        <v/>
      </c>
      <c r="I105" s="177">
        <f>ROUND(F105*Прил.10!$D$12,2)</f>
        <v/>
      </c>
      <c r="J105" s="177">
        <f>ROUND(I105*E105,2)</f>
        <v/>
      </c>
    </row>
    <row r="106" hidden="1" outlineLevel="1" ht="31.15" customFormat="1" customHeight="1" s="159">
      <c r="A106" s="175" t="n"/>
      <c r="B106" s="178" t="inlineStr">
        <is>
          <t>01.7.11.07-0032</t>
        </is>
      </c>
      <c r="C106" s="194" t="inlineStr">
        <is>
          <t>Электроды сварочные Э42, диаметр 4 мм</t>
        </is>
      </c>
      <c r="D106" s="198" t="inlineStr">
        <is>
          <t>т</t>
        </is>
      </c>
      <c r="E106" s="195" t="n">
        <v>0.000414</v>
      </c>
      <c r="F106" s="29" t="n">
        <v>10315.01</v>
      </c>
      <c r="G106" s="177">
        <f>ROUND(F106*E106,2)</f>
        <v/>
      </c>
      <c r="H106" s="25">
        <f>G106/G114</f>
        <v/>
      </c>
      <c r="I106" s="177">
        <f>ROUND(F106*Прил.10!$D$12,2)</f>
        <v/>
      </c>
      <c r="J106" s="177">
        <f>ROUND(I106*E106,2)</f>
        <v/>
      </c>
    </row>
    <row r="107" hidden="1" outlineLevel="1" ht="31.15" customFormat="1" customHeight="1" s="159">
      <c r="A107" s="175" t="n"/>
      <c r="B107" s="178" t="inlineStr">
        <is>
          <t>03.2.02.11-0001</t>
        </is>
      </c>
      <c r="C107" s="194" t="inlineStr">
        <is>
          <t>Цемент для приготовления раствора в построечных условиях</t>
        </is>
      </c>
      <c r="D107" s="198" t="inlineStr">
        <is>
          <t>т</t>
        </is>
      </c>
      <c r="E107" s="195" t="n">
        <v>0.0131967</v>
      </c>
      <c r="F107" s="29" t="n">
        <v>300</v>
      </c>
      <c r="G107" s="177">
        <f>ROUND(F107*E107,2)</f>
        <v/>
      </c>
      <c r="H107" s="25">
        <f>G107/G114</f>
        <v/>
      </c>
      <c r="I107" s="177">
        <f>ROUND(F107*Прил.10!$D$12,2)</f>
        <v/>
      </c>
      <c r="J107" s="177">
        <f>ROUND(I107*E107,2)</f>
        <v/>
      </c>
    </row>
    <row r="108" hidden="1" outlineLevel="1" ht="31.15" customFormat="1" customHeight="1" s="159">
      <c r="A108" s="175" t="n"/>
      <c r="B108" s="178" t="inlineStr">
        <is>
          <t>02.2.05.04-1777</t>
        </is>
      </c>
      <c r="C108" s="194" t="inlineStr">
        <is>
          <t>Щебень М 800, фракция 20-40 мм, группа 2</t>
        </is>
      </c>
      <c r="D108" s="198" t="inlineStr">
        <is>
          <t>м3</t>
        </is>
      </c>
      <c r="E108" s="195" t="n">
        <v>0.023955</v>
      </c>
      <c r="F108" s="29" t="n">
        <v>108.4</v>
      </c>
      <c r="G108" s="177">
        <f>ROUND(F108*E108,2)</f>
        <v/>
      </c>
      <c r="H108" s="25">
        <f>G108/G114</f>
        <v/>
      </c>
      <c r="I108" s="177">
        <f>ROUND(F108*Прил.10!$D$12,2)</f>
        <v/>
      </c>
      <c r="J108" s="177">
        <f>ROUND(I108*E108,2)</f>
        <v/>
      </c>
    </row>
    <row r="109" hidden="1" outlineLevel="1" ht="15.6" customFormat="1" customHeight="1" s="159">
      <c r="A109" s="175" t="n"/>
      <c r="B109" s="178" t="inlineStr">
        <is>
          <t>14.4.04.08-0003</t>
        </is>
      </c>
      <c r="C109" s="194" t="inlineStr">
        <is>
          <t>Эмаль ПФ-115, серая</t>
        </is>
      </c>
      <c r="D109" s="198" t="inlineStr">
        <is>
          <t>т</t>
        </is>
      </c>
      <c r="E109" s="195" t="n">
        <v>0.0001355</v>
      </c>
      <c r="F109" s="29" t="n">
        <v>14312.87</v>
      </c>
      <c r="G109" s="177">
        <f>ROUND(F109*E109,2)</f>
        <v/>
      </c>
      <c r="H109" s="25">
        <f>G109/G114</f>
        <v/>
      </c>
      <c r="I109" s="177">
        <f>ROUND(F109*Прил.10!$D$12,2)</f>
        <v/>
      </c>
      <c r="J109" s="177">
        <f>ROUND(I109*E109,2)</f>
        <v/>
      </c>
    </row>
    <row r="110" hidden="1" outlineLevel="1" ht="31.15" customFormat="1" customHeight="1" s="159">
      <c r="A110" s="175" t="n"/>
      <c r="B110" s="178" t="inlineStr">
        <is>
          <t>02.3.01.02-1012</t>
        </is>
      </c>
      <c r="C110" s="194" t="inlineStr">
        <is>
          <t>Песок природный II класс, средний, круглые сита</t>
        </is>
      </c>
      <c r="D110" s="198" t="inlineStr">
        <is>
          <t>м3</t>
        </is>
      </c>
      <c r="E110" s="195" t="n">
        <v>0.0211947</v>
      </c>
      <c r="F110" s="29" t="n">
        <v>59.99</v>
      </c>
      <c r="G110" s="177">
        <f>ROUND(F110*E110,2)</f>
        <v/>
      </c>
      <c r="H110" s="25">
        <f>G110/G114</f>
        <v/>
      </c>
      <c r="I110" s="177">
        <f>ROUND(F110*Прил.10!$D$12,2)</f>
        <v/>
      </c>
      <c r="J110" s="177">
        <f>ROUND(I110*E110,2)</f>
        <v/>
      </c>
    </row>
    <row r="111" hidden="1" outlineLevel="1" ht="15.6" customFormat="1" customHeight="1" s="159">
      <c r="A111" s="175" t="n"/>
      <c r="B111" s="178" t="inlineStr">
        <is>
          <t>01.7.20.08-0051</t>
        </is>
      </c>
      <c r="C111" s="194" t="inlineStr">
        <is>
          <t>Ветошь</t>
        </is>
      </c>
      <c r="D111" s="198" t="inlineStr">
        <is>
          <t>кг</t>
        </is>
      </c>
      <c r="E111" s="195" t="n">
        <v>0.31212</v>
      </c>
      <c r="F111" s="29" t="n">
        <v>1.82</v>
      </c>
      <c r="G111" s="177">
        <f>ROUND(F111*E111,2)</f>
        <v/>
      </c>
      <c r="H111" s="25">
        <f>G111/G114</f>
        <v/>
      </c>
      <c r="I111" s="177">
        <f>ROUND(F111*Прил.10!$D$12,2)</f>
        <v/>
      </c>
      <c r="J111" s="177">
        <f>ROUND(I111*E111,2)</f>
        <v/>
      </c>
    </row>
    <row r="112" hidden="1" outlineLevel="1" ht="15.6" customFormat="1" customHeight="1" s="159">
      <c r="A112" s="175" t="n"/>
      <c r="B112" s="178" t="inlineStr">
        <is>
          <t>14.5.09.11-0102</t>
        </is>
      </c>
      <c r="C112" s="194" t="inlineStr">
        <is>
          <t>Уайт-спирит</t>
        </is>
      </c>
      <c r="D112" s="198" t="inlineStr">
        <is>
          <t>кг</t>
        </is>
      </c>
      <c r="E112" s="195" t="n">
        <v>0.0210728</v>
      </c>
      <c r="F112" s="29" t="n">
        <v>6.67</v>
      </c>
      <c r="G112" s="177">
        <f>ROUND(F112*E112,2)</f>
        <v/>
      </c>
      <c r="H112" s="25">
        <f>G112/G114</f>
        <v/>
      </c>
      <c r="I112" s="177">
        <f>ROUND(F112*Прил.10!$D$12,2)</f>
        <v/>
      </c>
      <c r="J112" s="177">
        <f>ROUND(I112*E112,2)</f>
        <v/>
      </c>
    </row>
    <row r="113" collapsed="1" ht="15.6" customFormat="1" customHeight="1" s="159">
      <c r="A113" s="175" t="n"/>
      <c r="B113" s="175" t="inlineStr">
        <is>
          <t>Итого прочие Материалы</t>
        </is>
      </c>
      <c r="C113" s="201" t="n"/>
      <c r="D113" s="201" t="n"/>
      <c r="E113" s="201" t="n"/>
      <c r="F113" s="202" t="n"/>
      <c r="G113" s="177">
        <f>SUM(G62:G112)</f>
        <v/>
      </c>
      <c r="H113" s="25">
        <f>SUM(H62:H112)</f>
        <v/>
      </c>
      <c r="I113" s="177" t="n"/>
      <c r="J113" s="177">
        <f>SUM(J62:J112)</f>
        <v/>
      </c>
    </row>
    <row r="114" ht="15.6" customFormat="1" customHeight="1" s="159">
      <c r="A114" s="175" t="n"/>
      <c r="B114" s="175" t="inlineStr">
        <is>
          <t>Итого по разделу "Материалы"</t>
        </is>
      </c>
      <c r="C114" s="201" t="n"/>
      <c r="D114" s="201" t="n"/>
      <c r="E114" s="201" t="n"/>
      <c r="F114" s="202" t="n"/>
      <c r="G114" s="177">
        <f>G61+G113</f>
        <v/>
      </c>
      <c r="H114" s="25">
        <f>H61+H113</f>
        <v/>
      </c>
      <c r="I114" s="177" t="n"/>
      <c r="J114" s="177">
        <f>J61+J113</f>
        <v/>
      </c>
    </row>
    <row r="115" ht="15.6" customFormat="1" customHeight="1" s="159">
      <c r="A115" s="175" t="n"/>
      <c r="B115" s="198" t="n"/>
      <c r="C115" s="194" t="inlineStr">
        <is>
          <t>ИТОГО ПО РМ</t>
        </is>
      </c>
      <c r="D115" s="198" t="n"/>
      <c r="E115" s="198" t="n"/>
      <c r="F115" s="196" t="n"/>
      <c r="G115" s="196">
        <f>+G14+G50+G114</f>
        <v/>
      </c>
      <c r="H115" s="35" t="n"/>
      <c r="I115" s="177" t="n"/>
      <c r="J115" s="196">
        <f>+J14+J50+J114</f>
        <v/>
      </c>
    </row>
    <row r="116" ht="15.6" customFormat="1" customHeight="1" s="159">
      <c r="A116" s="175" t="n"/>
      <c r="B116" s="198" t="n"/>
      <c r="C116" s="194" t="inlineStr">
        <is>
          <t>Накладные расходы</t>
        </is>
      </c>
      <c r="D116" s="37" t="n">
        <v>1.0887161273863</v>
      </c>
      <c r="E116" s="198" t="n"/>
      <c r="F116" s="196" t="n"/>
      <c r="G116" s="196">
        <f>(G14+G16)*D116</f>
        <v/>
      </c>
      <c r="H116" s="35" t="n"/>
      <c r="I116" s="177" t="n"/>
      <c r="J116" s="177">
        <f>(J14+J16)*D116</f>
        <v/>
      </c>
    </row>
    <row r="117" ht="15.6" customFormat="1" customHeight="1" s="159">
      <c r="A117" s="175" t="n"/>
      <c r="B117" s="198" t="n"/>
      <c r="C117" s="194" t="inlineStr">
        <is>
          <t>Сметная прибыль</t>
        </is>
      </c>
      <c r="D117" s="37" t="n">
        <v>0.70546217249979</v>
      </c>
      <c r="E117" s="198" t="n"/>
      <c r="F117" s="196" t="n"/>
      <c r="G117" s="196">
        <f>(G14+G16)*D117</f>
        <v/>
      </c>
      <c r="H117" s="35" t="n"/>
      <c r="I117" s="177" t="n"/>
      <c r="J117" s="177">
        <f>(J14+J16)*D117</f>
        <v/>
      </c>
    </row>
    <row r="118" ht="15.6" customFormat="1" customHeight="1" s="159">
      <c r="A118" s="175" t="n"/>
      <c r="B118" s="198" t="n"/>
      <c r="C118" s="194" t="inlineStr">
        <is>
          <t>Итого СМР (с НР и СП)</t>
        </is>
      </c>
      <c r="D118" s="198" t="n"/>
      <c r="E118" s="198" t="n"/>
      <c r="F118" s="196" t="n"/>
      <c r="G118" s="196">
        <f>G115+G116+G117</f>
        <v/>
      </c>
      <c r="H118" s="35" t="n"/>
      <c r="I118" s="177" t="n"/>
      <c r="J118" s="196">
        <f>J115+J116+J117</f>
        <v/>
      </c>
    </row>
    <row r="119" ht="15.6" customFormat="1" customHeight="1" s="159">
      <c r="A119" s="175" t="n"/>
      <c r="B119" s="198" t="n"/>
      <c r="C119" s="194" t="inlineStr">
        <is>
          <t>ВСЕГО СМР + ОБОРУДОВАНИЕ</t>
        </is>
      </c>
      <c r="D119" s="198" t="n"/>
      <c r="E119" s="198" t="n"/>
      <c r="F119" s="196" t="n"/>
      <c r="G119" s="196">
        <f>G118</f>
        <v/>
      </c>
      <c r="H119" s="35" t="n"/>
      <c r="I119" s="177" t="n"/>
      <c r="J119" s="177">
        <f>J118</f>
        <v/>
      </c>
    </row>
    <row r="120" ht="15.6" customFormat="1" customHeight="1" s="159">
      <c r="A120" s="175" t="n"/>
      <c r="B120" s="198" t="n"/>
      <c r="C120" s="194" t="inlineStr">
        <is>
          <t>ИТОГО ПОКАЗАТЕЛЬ НА ЕД. ИЗМ.</t>
        </is>
      </c>
      <c r="D120" s="198" t="inlineStr">
        <is>
          <t>м</t>
        </is>
      </c>
      <c r="E120" s="198" t="n">
        <v>1150</v>
      </c>
      <c r="F120" s="196" t="n"/>
      <c r="G120" s="196">
        <f>G119/E120</f>
        <v/>
      </c>
      <c r="H120" s="35" t="n"/>
      <c r="I120" s="177" t="n"/>
      <c r="J120" s="196">
        <f>J119/E120</f>
        <v/>
      </c>
    </row>
    <row r="121" ht="15.6" customFormat="1" customHeight="1" s="159">
      <c r="A121" s="159" t="n"/>
      <c r="B121" s="159" t="n"/>
      <c r="C121" s="159" t="n"/>
      <c r="E121" s="159" t="n"/>
      <c r="F121" s="67" t="n"/>
      <c r="G121" s="67" t="n"/>
      <c r="I121" s="67" t="n"/>
      <c r="J121" s="67" t="n"/>
    </row>
    <row r="122" ht="15.6" customFormat="1" customHeight="1" s="159">
      <c r="A122" s="159" t="inlineStr">
        <is>
          <t>Составил ______________________        М.С. Колотиевская</t>
        </is>
      </c>
      <c r="B122" s="159" t="n"/>
      <c r="C122" s="159" t="n"/>
      <c r="E122" s="159" t="n"/>
      <c r="F122" s="67" t="n"/>
      <c r="G122" s="67" t="n"/>
      <c r="I122" s="67" t="n"/>
      <c r="J122" s="67" t="n"/>
    </row>
    <row r="123" ht="15.6" customFormat="1" customHeight="1" s="159">
      <c r="A123" s="74" t="inlineStr">
        <is>
          <t xml:space="preserve">                         (подпись, инициалы, фамилия)</t>
        </is>
      </c>
      <c r="B123" s="159" t="n"/>
      <c r="C123" s="159" t="n"/>
      <c r="E123" s="159" t="n"/>
      <c r="F123" s="67" t="n"/>
      <c r="G123" s="67" t="n"/>
      <c r="I123" s="67" t="n"/>
      <c r="J123" s="67" t="n"/>
    </row>
    <row r="124" ht="15.6" customFormat="1" customHeight="1" s="159">
      <c r="A124" s="159" t="n"/>
      <c r="B124" s="159" t="n"/>
      <c r="C124" s="159" t="n"/>
      <c r="E124" s="159" t="n"/>
      <c r="F124" s="67" t="n"/>
      <c r="G124" s="67" t="n"/>
      <c r="I124" s="67" t="n"/>
      <c r="J124" s="67" t="n"/>
    </row>
    <row r="125" ht="15.6" customFormat="1" customHeight="1" s="159">
      <c r="A125" s="159" t="inlineStr">
        <is>
          <t>Проверил ______________________      А.В. Костянецкая</t>
        </is>
      </c>
      <c r="B125" s="159" t="n"/>
      <c r="C125" s="159" t="n"/>
      <c r="E125" s="159" t="n"/>
      <c r="F125" s="67" t="n"/>
      <c r="G125" s="67" t="n"/>
      <c r="I125" s="67" t="n"/>
      <c r="J125" s="67" t="n"/>
    </row>
    <row r="126" ht="15.6" customFormat="1" customHeight="1" s="159">
      <c r="A126" s="74" t="inlineStr">
        <is>
          <t xml:space="preserve">                        (подпись, инициалы, фамилия)</t>
        </is>
      </c>
      <c r="B126" s="159" t="n"/>
      <c r="C126" s="159" t="n"/>
      <c r="E126" s="159" t="n"/>
      <c r="F126" s="67" t="n"/>
      <c r="G126" s="67" t="n"/>
      <c r="I126" s="67" t="n"/>
      <c r="J126" s="67" t="n"/>
    </row>
    <row r="127" ht="15.6" customFormat="1" customHeight="1" s="159">
      <c r="E127" s="159" t="n"/>
      <c r="F127" s="67" t="n"/>
      <c r="G127" s="67" t="n"/>
      <c r="I127" s="67" t="n"/>
      <c r="J127" s="67" t="n"/>
    </row>
  </sheetData>
  <mergeCells count="26">
    <mergeCell ref="B113:F113"/>
    <mergeCell ref="H9:H10"/>
    <mergeCell ref="B15:H15"/>
    <mergeCell ref="H2:J2"/>
    <mergeCell ref="B51:H51"/>
    <mergeCell ref="C9:C10"/>
    <mergeCell ref="E9:E10"/>
    <mergeCell ref="B23:F23"/>
    <mergeCell ref="B61:F61"/>
    <mergeCell ref="B9:B10"/>
    <mergeCell ref="D9:D10"/>
    <mergeCell ref="B18:H18"/>
    <mergeCell ref="B58:H58"/>
    <mergeCell ref="B52:H52"/>
    <mergeCell ref="B12:H12"/>
    <mergeCell ref="B7:D7"/>
    <mergeCell ref="F9:G9"/>
    <mergeCell ref="B49:F49"/>
    <mergeCell ref="A4:H4"/>
    <mergeCell ref="B17:H17"/>
    <mergeCell ref="B57:H57"/>
    <mergeCell ref="A9:A10"/>
    <mergeCell ref="A6:C6"/>
    <mergeCell ref="B114:F114"/>
    <mergeCell ref="B50:F50"/>
    <mergeCell ref="I9:J9"/>
  </mergeCells>
  <conditionalFormatting sqref="E13:E127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2" zoomScale="60" zoomScaleNormal="100" workbookViewId="0">
      <selection activeCell="A14" sqref="A14:C19"/>
    </sheetView>
  </sheetViews>
  <sheetFormatPr baseColWidth="8" defaultColWidth="9.140625" defaultRowHeight="15"/>
  <cols>
    <col width="5.7109375" customWidth="1" style="128" min="1" max="1"/>
    <col width="14.85546875" customWidth="1" style="128" min="2" max="2"/>
    <col width="39.140625" customWidth="1" style="128" min="3" max="3"/>
    <col width="8.28515625" customWidth="1" style="128" min="4" max="4"/>
    <col width="13.5703125" customWidth="1" style="128" min="5" max="5"/>
    <col width="12.42578125" customWidth="1" style="128" min="6" max="6"/>
    <col width="14.140625" customWidth="1" style="128" min="7" max="7"/>
    <col width="9.140625" customWidth="1" style="128" min="8" max="8"/>
  </cols>
  <sheetData>
    <row r="1" ht="15.6" customHeight="1" s="128">
      <c r="A1" s="189" t="inlineStr">
        <is>
          <t>Приложение №6</t>
        </is>
      </c>
    </row>
    <row r="2" ht="21.75" customHeight="1" s="128">
      <c r="A2" s="189" t="n"/>
      <c r="B2" s="189" t="n"/>
      <c r="C2" s="189" t="n"/>
      <c r="D2" s="189" t="n"/>
      <c r="E2" s="189" t="n"/>
      <c r="F2" s="189" t="n"/>
      <c r="G2" s="189" t="n"/>
    </row>
    <row r="3" ht="15.6" customHeight="1" s="128">
      <c r="A3" s="171" t="inlineStr">
        <is>
          <t>Расчет стоимости оборудования</t>
        </is>
      </c>
    </row>
    <row r="4" ht="25.5" customHeight="1" s="128">
      <c r="A4" s="197" t="inlineStr">
        <is>
          <t>Наименование разрабатываемого показателя УНЦ —  Н2-05 БРТМ Каб.коллектор не глубокого заложения</t>
        </is>
      </c>
    </row>
    <row r="5" ht="15.6" customHeight="1" s="128">
      <c r="A5" s="159" t="n"/>
      <c r="B5" s="159" t="n"/>
      <c r="C5" s="159" t="n"/>
      <c r="D5" s="159" t="n"/>
      <c r="E5" s="159" t="n"/>
      <c r="F5" s="159" t="n"/>
      <c r="G5" s="159" t="n"/>
    </row>
    <row r="6" ht="30" customFormat="1" customHeight="1" s="159">
      <c r="A6" s="198" t="inlineStr">
        <is>
          <t>№ пп.</t>
        </is>
      </c>
      <c r="B6" s="198" t="inlineStr">
        <is>
          <t>Код ресурса</t>
        </is>
      </c>
      <c r="C6" s="198" t="inlineStr">
        <is>
          <t>Наименование</t>
        </is>
      </c>
      <c r="D6" s="198" t="inlineStr">
        <is>
          <t>Ед. изм.</t>
        </is>
      </c>
      <c r="E6" s="172" t="inlineStr">
        <is>
          <t>Кол-во единиц по проектным данным</t>
        </is>
      </c>
      <c r="F6" s="198" t="inlineStr">
        <is>
          <t>Сметная стоимость в ценах на 01.01.2000 (руб.)</t>
        </is>
      </c>
      <c r="G6" s="202" t="n"/>
    </row>
    <row r="7" ht="15.6" customFormat="1" customHeight="1" s="159">
      <c r="A7" s="204" t="n"/>
      <c r="B7" s="204" t="n"/>
      <c r="C7" s="204" t="n"/>
      <c r="D7" s="204" t="n"/>
      <c r="E7" s="204" t="n"/>
      <c r="F7" s="172" t="inlineStr">
        <is>
          <t>на ед. изм.</t>
        </is>
      </c>
      <c r="G7" s="172" t="inlineStr">
        <is>
          <t>общая</t>
        </is>
      </c>
    </row>
    <row r="8" ht="15.6" customFormat="1" customHeight="1" s="159">
      <c r="A8" s="172" t="n">
        <v>1</v>
      </c>
      <c r="B8" s="172" t="n">
        <v>2</v>
      </c>
      <c r="C8" s="172" t="n">
        <v>3</v>
      </c>
      <c r="D8" s="172" t="n">
        <v>4</v>
      </c>
      <c r="E8" s="172" t="n">
        <v>5</v>
      </c>
      <c r="F8" s="172" t="n">
        <v>6</v>
      </c>
      <c r="G8" s="172" t="n">
        <v>7</v>
      </c>
    </row>
    <row r="9" ht="15.6" customFormat="1" customHeight="1" s="159">
      <c r="A9" s="174" t="n"/>
      <c r="B9" s="194" t="inlineStr">
        <is>
          <t>ИНЖЕНЕРНОЕ ОБОРУДОВАНИЕ</t>
        </is>
      </c>
      <c r="C9" s="201" t="n"/>
      <c r="D9" s="201" t="n"/>
      <c r="E9" s="201" t="n"/>
      <c r="F9" s="201" t="n"/>
      <c r="G9" s="202" t="n"/>
    </row>
    <row r="10" ht="31.15" customFormat="1" customHeight="1" s="159">
      <c r="A10" s="198" t="n"/>
      <c r="B10" s="86" t="n"/>
      <c r="C10" s="194" t="inlineStr">
        <is>
          <t>ИТОГО ИНЖЕНЕРНОЕ ОБОРУДОВАНИЕ</t>
        </is>
      </c>
      <c r="D10" s="86" t="n"/>
      <c r="E10" s="87" t="n"/>
      <c r="F10" s="196" t="n"/>
      <c r="G10" s="196" t="n">
        <v>0</v>
      </c>
    </row>
    <row r="11" ht="15.6" customFormat="1" customHeight="1" s="159">
      <c r="A11" s="198" t="n"/>
      <c r="B11" s="194" t="inlineStr">
        <is>
          <t>ТЕХНОЛОГИЧЕСКОЕ ОБОРУДОВАНИЕ</t>
        </is>
      </c>
      <c r="C11" s="201" t="n"/>
      <c r="D11" s="201" t="n"/>
      <c r="E11" s="201" t="n"/>
      <c r="F11" s="201" t="n"/>
      <c r="G11" s="202" t="n"/>
    </row>
    <row r="12" ht="31.15" customFormat="1" customHeight="1" s="159">
      <c r="A12" s="198" t="n"/>
      <c r="B12" s="194" t="n"/>
      <c r="C12" s="194" t="inlineStr">
        <is>
          <t>ИТОГО ТЕХНОЛОГИЧЕСКОЕ ОБОРУДОВАНИЕ</t>
        </is>
      </c>
      <c r="D12" s="194" t="n"/>
      <c r="E12" s="195" t="n"/>
      <c r="F12" s="196" t="n"/>
      <c r="G12" s="196" t="n">
        <v>0</v>
      </c>
    </row>
    <row r="13" ht="15.6" customFormat="1" customHeight="1" s="159">
      <c r="A13" s="198" t="n"/>
      <c r="B13" s="194" t="n"/>
      <c r="C13" s="194" t="inlineStr">
        <is>
          <t>Итого по разделу "Оборудование"</t>
        </is>
      </c>
      <c r="D13" s="194" t="n"/>
      <c r="E13" s="195" t="n"/>
      <c r="F13" s="196" t="n"/>
      <c r="G13" s="196">
        <f>G12</f>
        <v/>
      </c>
    </row>
    <row r="14" ht="15.6" customFormat="1" customHeight="1" s="159">
      <c r="A14" s="159" t="n"/>
      <c r="B14" s="159" t="n"/>
      <c r="C14" s="159" t="n"/>
    </row>
    <row r="15" ht="15.6" customFormat="1" customHeight="1" s="159">
      <c r="A15" s="159" t="inlineStr">
        <is>
          <t>Составил ______________________        М.С. Колотиевская</t>
        </is>
      </c>
      <c r="B15" s="159" t="n"/>
      <c r="C15" s="159" t="n"/>
    </row>
    <row r="16" ht="15.6" customFormat="1" customHeight="1" s="159">
      <c r="A16" s="74" t="inlineStr">
        <is>
          <t xml:space="preserve">                         (подпись, инициалы, фамилия)</t>
        </is>
      </c>
      <c r="B16" s="159" t="n"/>
      <c r="C16" s="159" t="n"/>
    </row>
    <row r="17" ht="15.6" customFormat="1" customHeight="1" s="159">
      <c r="A17" s="159" t="n"/>
      <c r="B17" s="159" t="n"/>
      <c r="C17" s="159" t="n"/>
    </row>
    <row r="18" ht="15.6" customFormat="1" customHeight="1" s="159">
      <c r="A18" s="159" t="inlineStr">
        <is>
          <t>Проверил ______________________      А.В. Костянецкая</t>
        </is>
      </c>
      <c r="B18" s="159" t="n"/>
      <c r="C18" s="159" t="n"/>
    </row>
    <row r="19" ht="15.6" customFormat="1" customHeight="1" s="159">
      <c r="A19" s="74" t="inlineStr">
        <is>
          <t xml:space="preserve">                        (подпись, инициалы, фамилия)</t>
        </is>
      </c>
      <c r="B19" s="159" t="n"/>
      <c r="C19" s="159" t="n"/>
    </row>
    <row r="20" ht="15.6" customFormat="1" customHeight="1" s="15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2" sqref="A12:C17"/>
    </sheetView>
  </sheetViews>
  <sheetFormatPr baseColWidth="8" defaultRowHeight="15"/>
  <cols>
    <col width="12.7109375" customWidth="1" style="128" min="1" max="1"/>
    <col width="22.42578125" customWidth="1" style="128" min="2" max="2"/>
    <col width="37.140625" customWidth="1" style="128" min="3" max="3"/>
    <col width="49" customWidth="1" style="128" min="4" max="4"/>
    <col width="9.140625" customWidth="1" style="128" min="5" max="5"/>
  </cols>
  <sheetData>
    <row r="1" ht="15.75" customHeight="1" s="128">
      <c r="A1" s="159" t="n"/>
      <c r="B1" s="159" t="n"/>
      <c r="C1" s="159" t="n"/>
      <c r="D1" s="159" t="inlineStr">
        <is>
          <t>Приложение №7</t>
        </is>
      </c>
    </row>
    <row r="2" ht="15.75" customHeight="1" s="128">
      <c r="A2" s="159" t="n"/>
      <c r="B2" s="159" t="n"/>
      <c r="C2" s="159" t="n"/>
      <c r="D2" s="159" t="n"/>
    </row>
    <row r="3" ht="15.75" customHeight="1" s="128">
      <c r="A3" s="159" t="n"/>
      <c r="B3" s="121" t="inlineStr">
        <is>
          <t>Расчет показателя УНЦ</t>
        </is>
      </c>
      <c r="C3" s="159" t="n"/>
      <c r="D3" s="159" t="n"/>
    </row>
    <row r="4" ht="15.75" customHeight="1" s="128">
      <c r="A4" s="159" t="n"/>
      <c r="B4" s="159" t="n"/>
      <c r="C4" s="159" t="n"/>
      <c r="D4" s="159" t="n"/>
    </row>
    <row r="5" ht="15.75" customHeight="1" s="128">
      <c r="A5" s="197" t="inlineStr">
        <is>
          <t xml:space="preserve">Наименование разрабатываемого показателя УНЦ - </t>
        </is>
      </c>
      <c r="D5" s="197">
        <f>'Прил.5 Расчет СМР и ОБ'!D6:J6</f>
        <v/>
      </c>
    </row>
    <row r="6" ht="15.75" customHeight="1" s="128">
      <c r="A6" s="159" t="inlineStr">
        <is>
          <t>Единица измерения  — 1 м</t>
        </is>
      </c>
      <c r="B6" s="159" t="n"/>
      <c r="C6" s="159" t="n"/>
      <c r="D6" s="159" t="n"/>
    </row>
    <row r="7" ht="15.75" customHeight="1" s="128">
      <c r="A7" s="159" t="n"/>
      <c r="B7" s="159" t="n"/>
      <c r="C7" s="159" t="n"/>
      <c r="D7" s="159" t="n"/>
    </row>
    <row r="8">
      <c r="A8" s="172" t="inlineStr">
        <is>
          <t>Код показателя</t>
        </is>
      </c>
      <c r="B8" s="172" t="inlineStr">
        <is>
          <t>Наименование показателя</t>
        </is>
      </c>
      <c r="C8" s="172" t="inlineStr">
        <is>
          <t>Наименование РМ, входящих в состав показателя</t>
        </is>
      </c>
      <c r="D8" s="172" t="inlineStr">
        <is>
          <t>Норматив цены на 01.01.2023, тыс.руб.</t>
        </is>
      </c>
    </row>
    <row r="9">
      <c r="A9" s="204" t="n"/>
      <c r="B9" s="204" t="n"/>
      <c r="C9" s="204" t="n"/>
      <c r="D9" s="204" t="n"/>
    </row>
    <row r="10" ht="15.75" customHeight="1" s="128">
      <c r="A10" s="172" t="n">
        <v>1</v>
      </c>
      <c r="B10" s="172" t="n">
        <v>2</v>
      </c>
      <c r="C10" s="172" t="n">
        <v>3</v>
      </c>
      <c r="D10" s="172" t="n">
        <v>4</v>
      </c>
    </row>
    <row r="11" ht="63" customHeight="1" s="128">
      <c r="A11" s="172" t="inlineStr">
        <is>
          <t>Н2-02</t>
        </is>
      </c>
      <c r="B11" s="172" t="inlineStr">
        <is>
          <t xml:space="preserve">УНЦ кабельных сооружений для прокладки кабельной линии </t>
        </is>
      </c>
      <c r="C11" s="125">
        <f>D5</f>
        <v/>
      </c>
      <c r="D11" s="136">
        <f>'Прил.4 РМ'!C41/1000</f>
        <v/>
      </c>
    </row>
    <row r="12" ht="15.75" customHeight="1" s="128">
      <c r="A12" s="159" t="n"/>
      <c r="B12" s="159" t="n"/>
      <c r="C12" s="159" t="n"/>
    </row>
    <row r="13" ht="15.75" customHeight="1" s="128">
      <c r="A13" s="159" t="inlineStr">
        <is>
          <t>Составил ______________________        М.С. Колотиевская</t>
        </is>
      </c>
      <c r="B13" s="159" t="n"/>
      <c r="C13" s="159" t="n"/>
      <c r="D13" s="127" t="n"/>
    </row>
    <row r="14" ht="15.75" customHeight="1" s="128">
      <c r="A14" s="74" t="inlineStr">
        <is>
          <t xml:space="preserve">                         (подпись, инициалы, фамилия)</t>
        </is>
      </c>
      <c r="B14" s="159" t="n"/>
      <c r="C14" s="159" t="n"/>
      <c r="D14" s="127" t="n"/>
    </row>
    <row r="15" ht="15.75" customHeight="1" s="128">
      <c r="A15" s="159" t="n"/>
      <c r="B15" s="159" t="n"/>
      <c r="C15" s="159" t="n"/>
      <c r="D15" s="127" t="n"/>
    </row>
    <row r="16" ht="15.75" customHeight="1" s="128">
      <c r="A16" s="159" t="inlineStr">
        <is>
          <t>Проверил ______________________      А.В. Костянецкая</t>
        </is>
      </c>
      <c r="B16" s="159" t="n"/>
      <c r="C16" s="159" t="n"/>
      <c r="D16" s="127" t="n"/>
    </row>
    <row r="17" ht="20.25" customHeight="1" s="128">
      <c r="A17" s="74" t="inlineStr">
        <is>
          <t xml:space="preserve">                        (подпись, инициалы, фамилия)</t>
        </is>
      </c>
      <c r="B17" s="159" t="n"/>
      <c r="C17" s="159" t="n"/>
      <c r="D17" s="12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D27" sqref="D27"/>
    </sheetView>
  </sheetViews>
  <sheetFormatPr baseColWidth="8" defaultColWidth="9.140625" defaultRowHeight="15"/>
  <cols>
    <col width="9.140625" customWidth="1" style="128" min="1" max="1"/>
    <col width="40.7109375" customWidth="1" style="128" min="2" max="2"/>
    <col width="37" customWidth="1" style="128" min="3" max="3"/>
    <col width="32" customWidth="1" style="128" min="4" max="4"/>
    <col width="9.140625" customWidth="1" style="128" min="5" max="5"/>
  </cols>
  <sheetData>
    <row r="4" ht="15.6" customHeight="1" s="128">
      <c r="B4" s="167" t="inlineStr">
        <is>
          <t>Приложение № 10</t>
        </is>
      </c>
    </row>
    <row r="5" ht="18" customHeight="1" s="128">
      <c r="B5" s="47" t="n"/>
    </row>
    <row r="6" ht="15.6" customHeight="1" s="128">
      <c r="B6" s="171" t="inlineStr">
        <is>
          <t>Используемые индексы изменений сметной стоимости и нормы сопутствующих затрат</t>
        </is>
      </c>
    </row>
    <row r="7" ht="18" customHeight="1" s="128">
      <c r="B7" s="150" t="n"/>
    </row>
    <row r="8" ht="46.9" customFormat="1" customHeight="1" s="159">
      <c r="B8" s="172" t="inlineStr">
        <is>
          <t>Наименование индекса / норм сопутствующих затрат</t>
        </is>
      </c>
      <c r="C8" s="172" t="inlineStr">
        <is>
          <t>Дата применения и обоснование индекса / норм сопутствующих затрат</t>
        </is>
      </c>
      <c r="D8" s="172" t="inlineStr">
        <is>
          <t>Размер индекса / норма сопутствующих затрат</t>
        </is>
      </c>
    </row>
    <row r="9" ht="15.6" customFormat="1" customHeight="1" s="159">
      <c r="B9" s="172" t="n">
        <v>1</v>
      </c>
      <c r="C9" s="172" t="n">
        <v>2</v>
      </c>
      <c r="D9" s="172" t="n">
        <v>3</v>
      </c>
    </row>
    <row r="10" ht="45" customFormat="1" customHeight="1" s="159">
      <c r="B10" s="172" t="inlineStr">
        <is>
          <t xml:space="preserve">Индекс изменения сметной стоимости на 1 квартал 2023 года. ОЗП </t>
        </is>
      </c>
      <c r="C10" s="172" t="inlineStr">
        <is>
          <t>Письмо Минстроя России от 30.03.2023г. №17106-ИФ/09  прил.1</t>
        </is>
      </c>
      <c r="D10" s="172" t="n">
        <v>44.29</v>
      </c>
    </row>
    <row r="11" ht="29.25" customFormat="1" customHeight="1" s="159">
      <c r="B11" s="172" t="inlineStr">
        <is>
          <t>Индекс изменения сметной стоимости на 1 квартал 2023 года. ЭМ</t>
        </is>
      </c>
      <c r="C11" s="172" t="inlineStr">
        <is>
          <t>Письмо Минстроя России от 30.03.2023г. №17106-ИФ/09  прил.1</t>
        </is>
      </c>
      <c r="D11" s="172" t="n">
        <v>13.47</v>
      </c>
    </row>
    <row r="12" ht="29.25" customFormat="1" customHeight="1" s="159">
      <c r="B12" s="172" t="inlineStr">
        <is>
          <t>Индекс изменения сметной стоимости на 1 квартал 2023 года. МАТ</t>
        </is>
      </c>
      <c r="C12" s="172" t="inlineStr">
        <is>
          <t>Письмо Минстроя России от 30.03.2023г. №17106-ИФ/09  прил.1</t>
        </is>
      </c>
      <c r="D12" s="172" t="n">
        <v>8.039999999999999</v>
      </c>
    </row>
    <row r="13" ht="30.75" customFormat="1" customHeight="1" s="159">
      <c r="B13" s="172" t="inlineStr">
        <is>
          <t>Индекс изменения сметной стоимости на 1 квартал 2023 года. ОБ</t>
        </is>
      </c>
      <c r="C13" s="155" t="inlineStr">
        <is>
          <t>Письмо Минстроя России от 23.02.2023г. №9791-ИФ/09 прил.6</t>
        </is>
      </c>
      <c r="D13" s="172" t="n">
        <v>6.26</v>
      </c>
    </row>
    <row r="14" ht="89.25" customFormat="1" customHeight="1" s="159">
      <c r="B14" s="172" t="inlineStr">
        <is>
          <t>Временные здания и сооружения</t>
        </is>
      </c>
      <c r="C14" s="17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48" t="n">
        <v>0.039</v>
      </c>
    </row>
    <row r="15" ht="78" customFormat="1" customHeight="1" s="159">
      <c r="B15" s="172" t="inlineStr">
        <is>
          <t>Дополнительные затраты при производстве строительно-монтажных работ в зимнее время</t>
        </is>
      </c>
      <c r="C15" s="17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48" t="n">
        <v>0.021</v>
      </c>
      <c r="E15" s="41" t="n"/>
    </row>
    <row r="16" ht="34.5" customFormat="1" customHeight="1" s="159">
      <c r="B16" s="172" t="inlineStr">
        <is>
          <t>Пусконаладочные работы</t>
        </is>
      </c>
      <c r="C16" s="172" t="n"/>
      <c r="D16" s="172" t="inlineStr">
        <is>
          <t>80% от 7% стоимости оборудования</t>
        </is>
      </c>
    </row>
    <row r="17" ht="31.5" customFormat="1" customHeight="1" s="159">
      <c r="B17" s="172" t="inlineStr">
        <is>
          <t>Строительный контроль</t>
        </is>
      </c>
      <c r="C17" s="172" t="inlineStr">
        <is>
          <t>Постановление Правительства РФ от 21.06.10 г. № 468</t>
        </is>
      </c>
      <c r="D17" s="48" t="n">
        <v>0.0214</v>
      </c>
    </row>
    <row r="18" ht="31.5" customFormat="1" customHeight="1" s="159">
      <c r="B18" s="172" t="inlineStr">
        <is>
          <t>Авторский надзор</t>
        </is>
      </c>
      <c r="C18" s="172" t="inlineStr">
        <is>
          <t>Приказ от 4.08.2020 № 421/пр п.173</t>
        </is>
      </c>
      <c r="D18" s="48" t="n">
        <v>0.002</v>
      </c>
    </row>
    <row r="19" ht="24" customFormat="1" customHeight="1" s="159">
      <c r="B19" s="172" t="inlineStr">
        <is>
          <t>Непредвиденные расходы</t>
        </is>
      </c>
      <c r="C19" s="172" t="inlineStr">
        <is>
          <t>Приказ от 4.08.2020 № 421/пр п.179</t>
        </is>
      </c>
      <c r="D19" s="48" t="n">
        <v>0.03</v>
      </c>
    </row>
    <row r="20" ht="15.6" customFormat="1" customHeight="1" s="159">
      <c r="B20" s="166" t="n"/>
    </row>
    <row r="21" ht="15.6" customFormat="1" customHeight="1" s="159">
      <c r="B21" s="166" t="n"/>
    </row>
    <row r="22" ht="15.6" customFormat="1" customHeight="1" s="159">
      <c r="B22" s="166" t="n"/>
    </row>
    <row r="23" ht="15.6" customFormat="1" customHeight="1" s="159">
      <c r="B23" s="166" t="n"/>
    </row>
    <row r="24" ht="15.6" customFormat="1" customHeight="1" s="159"/>
    <row r="25" ht="15.6" customFormat="1" customHeight="1" s="159">
      <c r="B25" s="159" t="n"/>
      <c r="C25" s="159" t="n"/>
      <c r="D25" s="159" t="n"/>
    </row>
    <row r="26" ht="15.6" customFormat="1" customHeight="1" s="159">
      <c r="B26" s="159" t="inlineStr">
        <is>
          <t>Составил ______________________        М.С. Колотиевская</t>
        </is>
      </c>
      <c r="C26" s="159" t="n"/>
      <c r="D26" s="159" t="n"/>
    </row>
    <row r="27" ht="15.6" customFormat="1" customHeight="1" s="159">
      <c r="B27" s="74" t="inlineStr">
        <is>
          <t xml:space="preserve">                         (подпись, инициалы, фамилия)</t>
        </is>
      </c>
      <c r="C27" s="159" t="n"/>
      <c r="D27" s="159" t="n"/>
    </row>
    <row r="28" ht="15.6" customFormat="1" customHeight="1" s="159">
      <c r="B28" s="159" t="n"/>
      <c r="C28" s="159" t="n"/>
      <c r="D28" s="159" t="n"/>
    </row>
    <row r="29" ht="15.6" customFormat="1" customHeight="1" s="159">
      <c r="B29" s="159" t="inlineStr">
        <is>
          <t>Проверил ______________________      А.В. Костянецкая</t>
        </is>
      </c>
      <c r="C29" s="159" t="n"/>
      <c r="D29" s="159" t="n"/>
    </row>
    <row r="30" ht="15.6" customFormat="1" customHeight="1" s="159">
      <c r="B30" s="74" t="inlineStr">
        <is>
          <t xml:space="preserve">                        (подпись, инициалы, фамилия)</t>
        </is>
      </c>
      <c r="C30" s="159" t="n"/>
      <c r="D30" s="159" t="n"/>
    </row>
    <row r="31" ht="15.6" customFormat="1" customHeight="1" s="159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T13" sqref="T13"/>
    </sheetView>
  </sheetViews>
  <sheetFormatPr baseColWidth="8" defaultColWidth="9.140625" defaultRowHeight="15"/>
  <cols>
    <col width="44.85546875" customWidth="1" style="128" min="2" max="2"/>
    <col width="13" customWidth="1" style="128" min="3" max="3"/>
    <col width="22.85546875" customWidth="1" style="128" min="4" max="4"/>
    <col width="21.5703125" customWidth="1" style="128" min="5" max="5"/>
    <col width="43.85546875" customWidth="1" style="128" min="6" max="6"/>
  </cols>
  <sheetData>
    <row r="1" s="128"/>
    <row r="2" ht="17.25" customHeight="1" s="128">
      <c r="A2" s="171" t="inlineStr">
        <is>
          <t>Расчет размера средств на оплату труда рабочих-строителей в текущем уровне цен (ФОТр.тек.)</t>
        </is>
      </c>
    </row>
    <row r="3" s="128"/>
    <row r="4" ht="18" customHeight="1" s="128">
      <c r="A4" s="129" t="inlineStr">
        <is>
          <t>Составлен в уровне цен на 01.01.2023 г.</t>
        </is>
      </c>
      <c r="B4" s="159" t="n"/>
      <c r="C4" s="159" t="n"/>
      <c r="D4" s="159" t="n"/>
      <c r="E4" s="159" t="n"/>
      <c r="F4" s="159" t="n"/>
      <c r="G4" s="159" t="n"/>
    </row>
    <row r="5" ht="15.75" customHeight="1" s="128">
      <c r="A5" s="131" t="inlineStr">
        <is>
          <t>№ пп.</t>
        </is>
      </c>
      <c r="B5" s="131" t="inlineStr">
        <is>
          <t>Наименование элемента</t>
        </is>
      </c>
      <c r="C5" s="131" t="inlineStr">
        <is>
          <t>Обозначение</t>
        </is>
      </c>
      <c r="D5" s="131" t="inlineStr">
        <is>
          <t>Формула</t>
        </is>
      </c>
      <c r="E5" s="131" t="inlineStr">
        <is>
          <t>Величина элемента</t>
        </is>
      </c>
      <c r="F5" s="131" t="inlineStr">
        <is>
          <t>Наименования обосновывающих документов</t>
        </is>
      </c>
      <c r="G5" s="159" t="n"/>
    </row>
    <row r="6" ht="15.75" customHeight="1" s="128">
      <c r="A6" s="131" t="n">
        <v>1</v>
      </c>
      <c r="B6" s="131" t="n">
        <v>2</v>
      </c>
      <c r="C6" s="131" t="n">
        <v>3</v>
      </c>
      <c r="D6" s="131" t="n">
        <v>4</v>
      </c>
      <c r="E6" s="131" t="n">
        <v>5</v>
      </c>
      <c r="F6" s="131" t="n">
        <v>6</v>
      </c>
      <c r="G6" s="159" t="n"/>
    </row>
    <row r="7" ht="110.25" customHeight="1" s="128">
      <c r="A7" s="132" t="inlineStr">
        <is>
          <t>1.1</t>
        </is>
      </c>
      <c r="B7" s="18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2" t="inlineStr">
        <is>
          <t>С1ср</t>
        </is>
      </c>
      <c r="D7" s="172" t="inlineStr">
        <is>
          <t>-</t>
        </is>
      </c>
      <c r="E7" s="135" t="n">
        <v>47872.94</v>
      </c>
      <c r="F7" s="18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59" t="n"/>
    </row>
    <row r="8" ht="31.5" customHeight="1" s="128">
      <c r="A8" s="132" t="inlineStr">
        <is>
          <t>1.2</t>
        </is>
      </c>
      <c r="B8" s="184" t="inlineStr">
        <is>
          <t>Среднегодовое нормативное число часов работы одного рабочего в месяц, часы (ч.)</t>
        </is>
      </c>
      <c r="C8" s="172" t="inlineStr">
        <is>
          <t>tср</t>
        </is>
      </c>
      <c r="D8" s="172" t="inlineStr">
        <is>
          <t>1973ч/12мес.</t>
        </is>
      </c>
      <c r="E8" s="136">
        <f>1973/12</f>
        <v/>
      </c>
      <c r="F8" s="184" t="inlineStr">
        <is>
          <t>Производственный календарь 2023 год
(40-часов.неделя)</t>
        </is>
      </c>
      <c r="G8" s="139" t="n"/>
    </row>
    <row r="9" ht="15.75" customHeight="1" s="128">
      <c r="A9" s="132" t="inlineStr">
        <is>
          <t>1.3</t>
        </is>
      </c>
      <c r="B9" s="184" t="inlineStr">
        <is>
          <t>Коэффициент увеличения</t>
        </is>
      </c>
      <c r="C9" s="172" t="inlineStr">
        <is>
          <t>Кув</t>
        </is>
      </c>
      <c r="D9" s="172" t="inlineStr">
        <is>
          <t>-</t>
        </is>
      </c>
      <c r="E9" s="136" t="n">
        <v>1</v>
      </c>
      <c r="F9" s="184" t="n"/>
      <c r="G9" s="139" t="n"/>
    </row>
    <row r="10" ht="15.75" customHeight="1" s="128">
      <c r="A10" s="132" t="inlineStr">
        <is>
          <t>1.4</t>
        </is>
      </c>
      <c r="B10" s="184" t="inlineStr">
        <is>
          <t>Средний разряд работ</t>
        </is>
      </c>
      <c r="C10" s="172" t="n"/>
      <c r="D10" s="172" t="n"/>
      <c r="E10" s="140" t="n">
        <v>3.5</v>
      </c>
      <c r="F10" s="184" t="inlineStr">
        <is>
          <t>РТМ</t>
        </is>
      </c>
      <c r="G10" s="139" t="n"/>
    </row>
    <row r="11" ht="78.75" customHeight="1" s="128">
      <c r="A11" s="132" t="inlineStr">
        <is>
          <t>1.5</t>
        </is>
      </c>
      <c r="B11" s="184" t="inlineStr">
        <is>
          <t>Тарифный коэффициент среднего разряда работ</t>
        </is>
      </c>
      <c r="C11" s="172" t="inlineStr">
        <is>
          <t>КТ</t>
        </is>
      </c>
      <c r="D11" s="172" t="inlineStr">
        <is>
          <t>-</t>
        </is>
      </c>
      <c r="E11" s="141" t="n">
        <v>1.263</v>
      </c>
      <c r="F11" s="18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59" t="n"/>
    </row>
    <row r="12" ht="78.75" customHeight="1" s="128">
      <c r="A12" s="132" t="inlineStr">
        <is>
          <t>1.6</t>
        </is>
      </c>
      <c r="B12" s="190" t="inlineStr">
        <is>
          <t>Коэффициент инфляции, определяемый поквартально</t>
        </is>
      </c>
      <c r="C12" s="172" t="inlineStr">
        <is>
          <t>Кинф</t>
        </is>
      </c>
      <c r="D12" s="172" t="inlineStr">
        <is>
          <t>-</t>
        </is>
      </c>
      <c r="E12" s="143" t="n">
        <v>1.139</v>
      </c>
      <c r="F12" s="19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9" t="n"/>
    </row>
    <row r="13" ht="63" customHeight="1" s="128">
      <c r="A13" s="145" t="inlineStr">
        <is>
          <t>1.7</t>
        </is>
      </c>
      <c r="B13" s="146" t="inlineStr">
        <is>
          <t>Размер средств на оплату труда рабочих-строителей в текущем уровне цен (ФОТр.тек.), руб/чел.-ч</t>
        </is>
      </c>
      <c r="C13" s="199" t="inlineStr">
        <is>
          <t>ФОТр.тек.</t>
        </is>
      </c>
      <c r="D13" s="199" t="inlineStr">
        <is>
          <t>(С1ср/tср*КТ*Т*Кув)*Кинф</t>
        </is>
      </c>
      <c r="E13" s="148">
        <f>((E7*E9/E8)*E11)*E12</f>
        <v/>
      </c>
      <c r="F13" s="1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5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KM</dc:creator>
  <dcterms:created xsi:type="dcterms:W3CDTF">2023-07-25T09:20:58Z</dcterms:created>
  <dcterms:modified xsi:type="dcterms:W3CDTF">2025-01-24T12:12:25Z</dcterms:modified>
  <cp:lastModifiedBy>REDMIBOOK</cp:lastModifiedBy>
  <cp:lastPrinted>2023-12-01T09:09:10Z</cp:lastPrinted>
</cp:coreProperties>
</file>