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8800" windowHeight="12225" tabRatio="725" firstSheet="0" activeTab="4" autoFilterDateGrouping="1"/>
  </bookViews>
  <sheets>
    <sheet name="Прил.1 Сравнит табл" sheetId="1" state="visible" r:id="rId1"/>
    <sheet name="Прил.2 Расч стоим" sheetId="2" state="visible" r:id="rId2"/>
    <sheet name="Прил.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 Расчет пок." sheetId="7" state="visible" r:id="rId7"/>
    <sheet name="Прил.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ше">#REF!</definedName>
    <definedName name="вика">#REF!</definedName>
    <definedName name="вирваы">#REF!</definedName>
    <definedName name="вкпвп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лрп">#REF!</definedName>
    <definedName name="гном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иапазон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чик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щр">#REF!</definedName>
    <definedName name="ЗЮзя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Ицпп">#REF!</definedName>
    <definedName name="й">#REF!</definedName>
    <definedName name="йцйу3йк">#REF!</definedName>
    <definedName name="йцйц">NA()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2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лект">#REF!</definedName>
    <definedName name="конкурс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БезПоля">#REF!</definedName>
    <definedName name="КоэфГорЗак">#REF!</definedName>
    <definedName name="Коэффициент">#REF!</definedName>
    <definedName name="кп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ительства">#REF!</definedName>
    <definedName name="Наименование_стройки">#REF!</definedName>
    <definedName name="накладные">#REF!</definedName>
    <definedName name="науки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пускИзЕНЭС">#REF!</definedName>
    <definedName name="Отчетный_период__учет_выполненных_работ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в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пппппппппппппппппа">#REF!</definedName>
    <definedName name="ПР">#REF!</definedName>
    <definedName name="правоп">#REF!</definedName>
    <definedName name="прд">#REF!</definedName>
    <definedName name="прдо">#REF!</definedName>
    <definedName name="прер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ская_область">#REF!</definedName>
    <definedName name="псрл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1">#REF!</definedName>
    <definedName name="Расчёт1">#REF!</definedName>
    <definedName name="расш">#REF!</definedName>
    <definedName name="расш.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гион__вводит_пользователь_программы_из_контекстного_списка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ДП">#REF!</definedName>
    <definedName name="се">#REF!</definedName>
    <definedName name="сев">#REF!</definedName>
    <definedName name="сег1">#REF!</definedName>
    <definedName name="Сегодня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ия_проектирования">#REF!</definedName>
    <definedName name="Станц10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тул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5.1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_xlnm.Print_Titles" localSheetId="2">'Прил.3'!$9:$11</definedName>
    <definedName name="_xlnm.Print_Area" localSheetId="2">'Прил.3'!$A$1:$H$86</definedName>
    <definedName name="_xlnm.Print_Titles" localSheetId="4">'Прил.5 Расчет СМР и ОБ'!$9:$11</definedName>
    <definedName name="_xlnm.Print_Area" localSheetId="4">'Прил.5 Расчет СМР и ОБ'!$A$1:$J$99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0.0%"/>
    <numFmt numFmtId="165" formatCode="#,##0.0000"/>
    <numFmt numFmtId="166" formatCode="0.0000"/>
    <numFmt numFmtId="167" formatCode="#,##0.0"/>
    <numFmt numFmtId="168" formatCode="#,##0.000"/>
    <numFmt numFmtId="169" formatCode="_-* #,##0.00\ _₽_-;\-* #,##0.00\ _₽_-;_-* &quot;-&quot;??\ _₽_-;_-@_-"/>
  </numFmts>
  <fonts count="14">
    <font>
      <name val="Calibri"/>
      <color rgb="FF000000"/>
      <sz val="11"/>
    </font>
    <font>
      <name val="Calibri"/>
      <color rgb="FFFF0000"/>
      <sz val="11"/>
    </font>
    <font>
      <name val="Times New Roman"/>
      <color rgb="FF000000"/>
      <sz val="14"/>
    </font>
    <font>
      <name val="Times New Roman"/>
      <color rgb="FF000000"/>
      <sz val="12"/>
    </font>
    <font>
      <name val="Times New Roman"/>
      <color rgb="FFFF0000"/>
      <sz val="12"/>
    </font>
    <font>
      <name val="Times New Roman"/>
      <b val="1"/>
      <color rgb="FF000000"/>
      <sz val="12"/>
    </font>
    <font>
      <name val="Arial"/>
      <color rgb="FF000000"/>
      <sz val="10"/>
    </font>
    <font>
      <name val="Arial"/>
      <color rgb="FF000000"/>
      <sz val="11"/>
    </font>
    <font>
      <name val="Calibri"/>
      <color rgb="FF000000"/>
      <sz val="12"/>
    </font>
    <font>
      <name val="Arial"/>
      <color rgb="FF000000"/>
      <sz val="9"/>
    </font>
    <font>
      <name val="Times New Roman"/>
      <color rgb="FF0000FF"/>
      <sz val="12"/>
      <u val="single"/>
    </font>
    <font>
      <name val="Times New Roman"/>
      <b val="1"/>
      <color rgb="FF000000"/>
      <sz val="14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01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justify" vertical="center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justify" vertical="center" wrapText="1"/>
    </xf>
    <xf numFmtId="0" fontId="3" fillId="0" borderId="0" pivotButton="0" quotePrefix="0" xfId="0"/>
    <xf numFmtId="0" fontId="4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justify" vertical="center"/>
    </xf>
    <xf numFmtId="0" fontId="5" fillId="0" borderId="0" pivotButton="0" quotePrefix="0" xfId="0"/>
    <xf numFmtId="4" fontId="5" fillId="0" borderId="1" applyAlignment="1" pivotButton="0" quotePrefix="0" xfId="0">
      <alignment vertical="top"/>
    </xf>
    <xf numFmtId="0" fontId="3" fillId="0" borderId="1" applyAlignment="1" pivotButton="0" quotePrefix="0" xfId="0">
      <alignment vertical="top"/>
    </xf>
    <xf numFmtId="0" fontId="3" fillId="0" borderId="1" applyAlignment="1" pivotButton="0" quotePrefix="0" xfId="0">
      <alignment vertical="top" wrapText="1"/>
    </xf>
    <xf numFmtId="4" fontId="3" fillId="0" borderId="1" applyAlignment="1" pivotButton="0" quotePrefix="0" xfId="0">
      <alignment vertical="top"/>
    </xf>
    <xf numFmtId="0" fontId="6" fillId="0" borderId="0" pivotButton="0" quotePrefix="0" xfId="0"/>
    <xf numFmtId="0" fontId="7" fillId="0" borderId="0" pivotButton="0" quotePrefix="0" xfId="0"/>
    <xf numFmtId="0" fontId="3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 wrapText="1"/>
    </xf>
    <xf numFmtId="0" fontId="0" fillId="0" borderId="0" pivotButton="0" quotePrefix="0" xfId="0"/>
    <xf numFmtId="0" fontId="3" fillId="0" borderId="1" applyAlignment="1" pivotButton="0" quotePrefix="0" xfId="0">
      <alignment vertical="top"/>
    </xf>
    <xf numFmtId="0" fontId="3" fillId="0" borderId="1" applyAlignment="1" pivotButton="0" quotePrefix="0" xfId="0">
      <alignment vertical="top" wrapText="1"/>
    </xf>
    <xf numFmtId="4" fontId="3" fillId="0" borderId="1" applyAlignment="1" pivotButton="0" quotePrefix="0" xfId="0">
      <alignment vertical="top"/>
    </xf>
    <xf numFmtId="164" fontId="3" fillId="0" borderId="1" applyAlignment="1" pivotButton="0" quotePrefix="0" xfId="0">
      <alignment vertical="top"/>
    </xf>
    <xf numFmtId="49" fontId="3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center" vertical="top" wrapText="1"/>
    </xf>
    <xf numFmtId="4" fontId="3" fillId="0" borderId="1" applyAlignment="1" pivotButton="0" quotePrefix="0" xfId="0">
      <alignment horizontal="right" vertical="top"/>
    </xf>
    <xf numFmtId="4" fontId="3" fillId="0" borderId="1" applyAlignment="1" pivotButton="0" quotePrefix="0" xfId="0">
      <alignment vertical="top"/>
    </xf>
    <xf numFmtId="0" fontId="3" fillId="0" borderId="1" pivotButton="0" quotePrefix="0" xfId="0"/>
    <xf numFmtId="0" fontId="3" fillId="0" borderId="1" applyAlignment="1" pivotButton="0" quotePrefix="0" xfId="0">
      <alignment horizontal="center" vertical="top" wrapText="1"/>
    </xf>
    <xf numFmtId="0" fontId="3" fillId="0" borderId="1" applyAlignment="1" pivotButton="0" quotePrefix="0" xfId="0">
      <alignment horizontal="left" vertical="top" wrapText="1"/>
    </xf>
    <xf numFmtId="4" fontId="3" fillId="0" borderId="1" applyAlignment="1" pivotButton="0" quotePrefix="0" xfId="0">
      <alignment horizontal="right" vertical="top" wrapText="1"/>
    </xf>
    <xf numFmtId="10" fontId="3" fillId="0" borderId="1" applyAlignment="1" pivotButton="0" quotePrefix="0" xfId="0">
      <alignment horizontal="right" vertical="top" wrapText="1"/>
    </xf>
    <xf numFmtId="4" fontId="3" fillId="0" borderId="1" applyAlignment="1" pivotButton="0" quotePrefix="0" xfId="0">
      <alignment vertical="top"/>
    </xf>
    <xf numFmtId="9" fontId="3" fillId="0" borderId="1" applyAlignment="1" pivotButton="0" quotePrefix="0" xfId="0">
      <alignment horizontal="center" vertical="top" wrapText="1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vertical="center" wrapText="1"/>
    </xf>
    <xf numFmtId="0" fontId="3" fillId="0" borderId="1" pivotButton="0" quotePrefix="0" xfId="0"/>
    <xf numFmtId="0" fontId="4" fillId="0" borderId="0" pivotButton="0" quotePrefix="0" xfId="0"/>
    <xf numFmtId="0" fontId="3" fillId="0" borderId="1" applyAlignment="1" pivotButton="0" quotePrefix="0" xfId="0">
      <alignment vertical="top"/>
    </xf>
    <xf numFmtId="0" fontId="3" fillId="0" borderId="1" applyAlignment="1" pivotButton="0" quotePrefix="0" xfId="0">
      <alignment horizontal="right" vertical="top" wrapText="1"/>
    </xf>
    <xf numFmtId="0" fontId="3" fillId="0" borderId="1" applyAlignment="1" pivotButton="0" quotePrefix="0" xfId="0">
      <alignment horizontal="center" vertical="top" wrapText="1"/>
    </xf>
    <xf numFmtId="0" fontId="3" fillId="0" borderId="0" pivotButton="0" quotePrefix="0" xfId="0"/>
    <xf numFmtId="4" fontId="3" fillId="0" borderId="0" pivotButton="0" quotePrefix="0" xfId="0"/>
    <xf numFmtId="0" fontId="2" fillId="0" borderId="0" applyAlignment="1" pivotButton="0" quotePrefix="0" xfId="0">
      <alignment horizontal="right" vertical="center"/>
    </xf>
    <xf numFmtId="10" fontId="3" fillId="0" borderId="1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3" fillId="0" borderId="0" pivotButton="0" quotePrefix="0" xfId="0"/>
    <xf numFmtId="0" fontId="0" fillId="0" borderId="0" pivotButton="0" quotePrefix="0" xfId="0"/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justify" vertical="center"/>
    </xf>
    <xf numFmtId="0" fontId="6" fillId="0" borderId="0" applyAlignment="1" pivotButton="0" quotePrefix="0" xfId="0">
      <alignment horizontal="justify" vertical="center"/>
    </xf>
    <xf numFmtId="0" fontId="6" fillId="0" borderId="0" pivotButton="0" quotePrefix="0" xfId="0"/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vertical="center" wrapText="1"/>
    </xf>
    <xf numFmtId="4" fontId="3" fillId="0" borderId="1" applyAlignment="1" pivotButton="0" quotePrefix="0" xfId="0">
      <alignment vertical="center" wrapText="1"/>
    </xf>
    <xf numFmtId="10" fontId="3" fillId="0" borderId="1" applyAlignment="1" pivotButton="0" quotePrefix="0" xfId="0">
      <alignment vertical="center"/>
    </xf>
    <xf numFmtId="10" fontId="3" fillId="0" borderId="1" applyAlignment="1" pivotButton="0" quotePrefix="0" xfId="0">
      <alignment vertical="center" wrapText="1"/>
    </xf>
    <xf numFmtId="10" fontId="3" fillId="0" borderId="1" applyAlignment="1" pivotButton="0" quotePrefix="0" xfId="0">
      <alignment horizontal="right" vertical="center"/>
    </xf>
    <xf numFmtId="4" fontId="3" fillId="0" borderId="1" applyAlignment="1" pivotButton="0" quotePrefix="0" xfId="0">
      <alignment horizontal="right" vertical="center"/>
    </xf>
    <xf numFmtId="0" fontId="3" fillId="0" borderId="2" applyAlignment="1" pivotButton="0" quotePrefix="0" xfId="0">
      <alignment vertical="center" wrapText="1"/>
    </xf>
    <xf numFmtId="4" fontId="3" fillId="0" borderId="2" applyAlignment="1" pivotButton="0" quotePrefix="0" xfId="0">
      <alignment horizontal="right" vertical="center"/>
    </xf>
    <xf numFmtId="10" fontId="3" fillId="0" borderId="2" applyAlignment="1" pivotButton="0" quotePrefix="0" xfId="0">
      <alignment vertical="center" wrapText="1"/>
    </xf>
    <xf numFmtId="10" fontId="3" fillId="0" borderId="2" applyAlignment="1" pivotButton="0" quotePrefix="0" xfId="0">
      <alignment vertical="center"/>
    </xf>
    <xf numFmtId="4" fontId="3" fillId="0" borderId="0" pivotButton="0" quotePrefix="0" xfId="0"/>
    <xf numFmtId="0" fontId="3" fillId="0" borderId="1" pivotButton="0" quotePrefix="0" xfId="0"/>
    <xf numFmtId="10" fontId="3" fillId="0" borderId="1" pivotButton="0" quotePrefix="0" xfId="0"/>
    <xf numFmtId="0" fontId="3" fillId="0" borderId="3" applyAlignment="1" pivotButton="0" quotePrefix="0" xfId="0">
      <alignment vertical="center" wrapText="1"/>
    </xf>
    <xf numFmtId="4" fontId="3" fillId="0" borderId="3" applyAlignment="1" pivotButton="0" quotePrefix="0" xfId="0">
      <alignment vertical="center" wrapText="1"/>
    </xf>
    <xf numFmtId="10" fontId="3" fillId="0" borderId="3" applyAlignment="1" pivotButton="0" quotePrefix="0" xfId="0">
      <alignment vertical="center" wrapText="1"/>
    </xf>
    <xf numFmtId="10" fontId="3" fillId="0" borderId="3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vertical="top"/>
    </xf>
    <xf numFmtId="0" fontId="3" fillId="0" borderId="0" applyAlignment="1" pivotButton="0" quotePrefix="0" xfId="0">
      <alignment horizontal="left" vertical="center"/>
    </xf>
    <xf numFmtId="4" fontId="3" fillId="0" borderId="1" applyAlignment="1" pivotButton="0" quotePrefix="0" xfId="0">
      <alignment vertical="top"/>
    </xf>
    <xf numFmtId="0" fontId="3" fillId="0" borderId="0" pivotButton="0" quotePrefix="0" xfId="0"/>
    <xf numFmtId="0" fontId="3" fillId="0" borderId="1" applyAlignment="1" pivotButton="0" quotePrefix="0" xfId="0">
      <alignment vertical="top"/>
    </xf>
    <xf numFmtId="0" fontId="2" fillId="0" borderId="0" applyAlignment="1" pivotButton="0" quotePrefix="0" xfId="0">
      <alignment horizontal="center" vertical="center"/>
    </xf>
    <xf numFmtId="0" fontId="8" fillId="0" borderId="0" pivotButton="0" quotePrefix="0" xfId="0"/>
    <xf numFmtId="0" fontId="3" fillId="0" borderId="0" applyAlignment="1" pivotButton="0" quotePrefix="0" xfId="0">
      <alignment horizontal="right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vertical="top" wrapText="1"/>
    </xf>
    <xf numFmtId="0" fontId="5" fillId="0" borderId="1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right" vertical="top" wrapText="1"/>
    </xf>
    <xf numFmtId="4" fontId="3" fillId="0" borderId="1" applyAlignment="1" pivotButton="0" quotePrefix="0" xfId="0">
      <alignment horizontal="right" vertical="top" wrapText="1"/>
    </xf>
    <xf numFmtId="0" fontId="3" fillId="0" borderId="1" applyAlignment="1" pivotButton="0" quotePrefix="0" xfId="0">
      <alignment horizontal="center" vertical="top" wrapText="1"/>
    </xf>
    <xf numFmtId="0" fontId="3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right" vertical="top" wrapText="1"/>
    </xf>
    <xf numFmtId="4" fontId="3" fillId="0" borderId="1" applyAlignment="1" pivotButton="0" quotePrefix="0" xfId="0">
      <alignment horizontal="right" vertical="top" wrapText="1"/>
    </xf>
    <xf numFmtId="0" fontId="7" fillId="0" borderId="0" pivotButton="0" quotePrefix="0" xfId="0"/>
    <xf numFmtId="0" fontId="3" fillId="0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 wrapText="1"/>
    </xf>
    <xf numFmtId="0" fontId="3" fillId="0" borderId="1" pivotButton="0" quotePrefix="0" xfId="0"/>
    <xf numFmtId="0" fontId="3" fillId="0" borderId="1" applyAlignment="1" pivotButton="0" quotePrefix="0" xfId="0">
      <alignment horizontal="left" vertical="center" wrapText="1"/>
    </xf>
    <xf numFmtId="165" fontId="3" fillId="0" borderId="1" applyAlignment="1" pivotButton="0" quotePrefix="0" xfId="0">
      <alignment horizontal="center" vertical="center" wrapText="1"/>
    </xf>
    <xf numFmtId="2" fontId="3" fillId="0" borderId="1" applyAlignment="1" pivotButton="0" quotePrefix="0" xfId="0">
      <alignment horizontal="right" vertical="center" wrapText="1"/>
    </xf>
    <xf numFmtId="4" fontId="3" fillId="0" borderId="1" applyAlignment="1" pivotButton="0" quotePrefix="0" xfId="0">
      <alignment horizontal="right" vertical="center" wrapText="1"/>
    </xf>
    <xf numFmtId="10" fontId="3" fillId="0" borderId="4" applyAlignment="1" pivotButton="0" quotePrefix="0" xfId="0">
      <alignment horizontal="right" vertical="center" wrapText="1"/>
    </xf>
    <xf numFmtId="4" fontId="3" fillId="0" borderId="4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left" vertical="center" wrapText="1"/>
    </xf>
    <xf numFmtId="2" fontId="3" fillId="0" borderId="1" applyAlignment="1" pivotButton="0" quotePrefix="0" xfId="0">
      <alignment horizontal="center" vertical="center" wrapText="1"/>
    </xf>
    <xf numFmtId="166" fontId="3" fillId="0" borderId="1" applyAlignment="1" pivotButton="0" quotePrefix="0" xfId="0">
      <alignment horizontal="center" vertical="center" wrapText="1"/>
    </xf>
    <xf numFmtId="4" fontId="3" fillId="0" borderId="1" applyAlignment="1" pivotButton="0" quotePrefix="0" xfId="0">
      <alignment vertical="top"/>
    </xf>
    <xf numFmtId="0" fontId="3" fillId="0" borderId="1" applyAlignment="1" pivotButton="0" quotePrefix="0" xfId="0">
      <alignment horizontal="center" vertical="center" wrapText="1"/>
    </xf>
    <xf numFmtId="0" fontId="3" fillId="0" borderId="0" pivotButton="0" quotePrefix="0" xfId="0"/>
    <xf numFmtId="0" fontId="0" fillId="0" borderId="0" pivotButton="0" quotePrefix="0" xfId="0"/>
    <xf numFmtId="0" fontId="5" fillId="0" borderId="0" pivotButton="0" quotePrefix="0" xfId="0"/>
    <xf numFmtId="4" fontId="3" fillId="0" borderId="0" applyAlignment="1" pivotButton="0" quotePrefix="0" xfId="0">
      <alignment horizontal="left" vertical="center" wrapText="1"/>
    </xf>
    <xf numFmtId="0" fontId="3" fillId="0" borderId="0" pivotButton="0" quotePrefix="0" xfId="0"/>
    <xf numFmtId="0" fontId="3" fillId="0" borderId="1" applyAlignment="1" pivotButton="0" quotePrefix="0" xfId="0">
      <alignment horizontal="center" vertical="center" wrapText="1"/>
    </xf>
    <xf numFmtId="4" fontId="3" fillId="0" borderId="1" applyAlignment="1" pivotButton="0" quotePrefix="0" xfId="0">
      <alignment vertical="center" wrapText="1"/>
    </xf>
    <xf numFmtId="4" fontId="3" fillId="0" borderId="1" applyAlignment="1" pivotButton="0" quotePrefix="0" xfId="0">
      <alignment horizontal="center" vertical="center"/>
    </xf>
    <xf numFmtId="0" fontId="9" fillId="0" borderId="0" pivotButton="0" quotePrefix="0" xfId="0"/>
    <xf numFmtId="0" fontId="0" fillId="0" borderId="0" pivotButton="0" quotePrefix="0" xfId="0"/>
    <xf numFmtId="49" fontId="3" fillId="0" borderId="0" applyAlignment="1" pivotButton="0" quotePrefix="0" xfId="0">
      <alignment horizontal="left" vertical="center"/>
    </xf>
    <xf numFmtId="0" fontId="3" fillId="0" borderId="0" pivotButton="0" quotePrefix="0" xfId="0"/>
    <xf numFmtId="0" fontId="3" fillId="0" borderId="1" applyAlignment="1" pivotButton="0" quotePrefix="0" xfId="0">
      <alignment horizontal="center" vertical="center"/>
    </xf>
    <xf numFmtId="49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center" vertical="center" wrapText="1"/>
    </xf>
    <xf numFmtId="4" fontId="0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 wrapText="1"/>
    </xf>
    <xf numFmtId="0" fontId="10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167" fontId="3" fillId="0" borderId="1" applyAlignment="1" pivotButton="0" quotePrefix="0" xfId="0">
      <alignment horizontal="center" vertical="center"/>
    </xf>
    <xf numFmtId="168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 wrapText="1"/>
    </xf>
    <xf numFmtId="166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wrapText="1"/>
    </xf>
    <xf numFmtId="49" fontId="3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vertical="center" wrapText="1"/>
    </xf>
    <xf numFmtId="0" fontId="3" fillId="0" borderId="2" applyAlignment="1" pivotButton="0" quotePrefix="0" xfId="0">
      <alignment horizontal="center" vertical="center" wrapText="1"/>
    </xf>
    <xf numFmtId="4" fontId="5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justify" vertical="center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top" wrapText="1"/>
    </xf>
    <xf numFmtId="0" fontId="3" fillId="0" borderId="1" applyAlignment="1" pivotButton="0" quotePrefix="0" xfId="0">
      <alignment horizontal="justify" vertical="center" wrapText="1"/>
    </xf>
    <xf numFmtId="4" fontId="3" fillId="0" borderId="1" applyAlignment="1" pivotButton="0" quotePrefix="0" xfId="0">
      <alignment horizontal="center" vertical="center" wrapText="1"/>
    </xf>
    <xf numFmtId="49" fontId="3" fillId="0" borderId="1" applyAlignment="1" pivotButton="0" quotePrefix="0" xfId="0">
      <alignment horizontal="center" vertical="center" wrapText="1"/>
    </xf>
    <xf numFmtId="14" fontId="3" fillId="0" borderId="1" applyAlignment="1" pivotButton="0" quotePrefix="0" xfId="0">
      <alignment horizontal="center" vertical="center" wrapText="1"/>
    </xf>
    <xf numFmtId="0" fontId="3" fillId="0" borderId="0" pivotButton="0" quotePrefix="0" xfId="0"/>
    <xf numFmtId="0" fontId="3" fillId="0" borderId="1" applyAlignment="1" pivotButton="0" quotePrefix="0" xfId="0">
      <alignment horizontal="center" vertical="center" wrapText="1"/>
    </xf>
    <xf numFmtId="49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vertical="center" wrapText="1"/>
    </xf>
    <xf numFmtId="169" fontId="3" fillId="0" borderId="1" applyAlignment="1" pivotButton="0" quotePrefix="0" xfId="0">
      <alignment vertical="center" wrapText="1"/>
    </xf>
    <xf numFmtId="169" fontId="3" fillId="0" borderId="0" pivotButton="0" quotePrefix="0" xfId="0"/>
    <xf numFmtId="169" fontId="5" fillId="0" borderId="3" applyAlignment="1" pivotButton="0" quotePrefix="0" xfId="0">
      <alignment vertical="center" wrapText="1"/>
    </xf>
    <xf numFmtId="169" fontId="5" fillId="0" borderId="1" applyAlignment="1" pivotButton="0" quotePrefix="0" xfId="0">
      <alignment vertical="center" wrapText="1"/>
    </xf>
    <xf numFmtId="0" fontId="3" fillId="0" borderId="0" applyAlignment="1" pivotButton="0" quotePrefix="0" xfId="0">
      <alignment horizontal="justify" vertical="center"/>
    </xf>
    <xf numFmtId="0" fontId="3" fillId="0" borderId="0" applyAlignment="1" pivotButton="0" quotePrefix="0" xfId="0">
      <alignment horizontal="right" vertical="center"/>
    </xf>
    <xf numFmtId="0" fontId="1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1" applyAlignment="1" pivotButton="0" quotePrefix="0" xfId="0">
      <alignment vertical="top"/>
    </xf>
    <xf numFmtId="0" fontId="3" fillId="0" borderId="1" applyAlignment="1" pivotButton="0" quotePrefix="0" xfId="0">
      <alignment vertical="top" wrapText="1"/>
    </xf>
    <xf numFmtId="0" fontId="3" fillId="0" borderId="1" applyAlignment="1" pivotButton="0" quotePrefix="0" xfId="0">
      <alignment vertical="top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/>
    </xf>
    <xf numFmtId="0" fontId="5" fillId="0" borderId="1" pivotButton="0" quotePrefix="0" xfId="0"/>
    <xf numFmtId="0" fontId="3" fillId="0" borderId="1" applyAlignment="1" pivotButton="0" quotePrefix="0" xfId="0">
      <alignment wrapText="1"/>
    </xf>
    <xf numFmtId="0" fontId="3" fillId="0" borderId="1" pivotButton="0" quotePrefix="0" xfId="0"/>
    <xf numFmtId="4" fontId="3" fillId="0" borderId="1" applyAlignment="1" pivotButton="0" quotePrefix="0" xfId="0">
      <alignment vertical="top"/>
    </xf>
    <xf numFmtId="0" fontId="3" fillId="0" borderId="0" applyAlignment="1" pivotButton="0" quotePrefix="0" xfId="0">
      <alignment horizontal="right"/>
    </xf>
    <xf numFmtId="4" fontId="3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3" fillId="0" borderId="1" applyAlignment="1" pivotButton="0" quotePrefix="0" xfId="0">
      <alignment vertical="center" wrapText="1"/>
    </xf>
    <xf numFmtId="49" fontId="3" fillId="0" borderId="1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2" fontId="5" fillId="0" borderId="1" applyAlignment="1" pivotButton="0" quotePrefix="0" xfId="0">
      <alignment horizontal="center" vertical="center" wrapText="1"/>
    </xf>
    <xf numFmtId="2" fontId="5" fillId="0" borderId="1" applyAlignment="1" pivotButton="0" quotePrefix="0" xfId="0">
      <alignment horizontal="right" vertical="center" wrapText="1"/>
    </xf>
    <xf numFmtId="10" fontId="5" fillId="0" borderId="4" applyAlignment="1" pivotButton="0" quotePrefix="0" xfId="0">
      <alignment horizontal="right" vertical="center" wrapText="1"/>
    </xf>
    <xf numFmtId="0" fontId="3" fillId="0" borderId="1" applyAlignment="1" pivotButton="0" quotePrefix="0" xfId="0">
      <alignment horizontal="left" vertical="center" wrapText="1"/>
    </xf>
    <xf numFmtId="2" fontId="3" fillId="0" borderId="1" applyAlignment="1" pivotButton="0" quotePrefix="0" xfId="0">
      <alignment horizontal="center" vertical="center" wrapText="1"/>
    </xf>
    <xf numFmtId="2" fontId="3" fillId="0" borderId="1" applyAlignment="1" pivotButton="0" quotePrefix="0" xfId="0">
      <alignment horizontal="right" vertical="center" wrapText="1"/>
    </xf>
    <xf numFmtId="10" fontId="3" fillId="0" borderId="4" applyAlignment="1" pivotButton="0" quotePrefix="0" xfId="0">
      <alignment horizontal="right" vertical="center" wrapText="1"/>
    </xf>
    <xf numFmtId="0" fontId="3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right" vertical="top" wrapText="1"/>
    </xf>
    <xf numFmtId="4" fontId="3" fillId="0" borderId="1" applyAlignment="1" pivotButton="0" quotePrefix="0" xfId="0">
      <alignment horizontal="right" vertical="top" wrapText="1"/>
    </xf>
    <xf numFmtId="0" fontId="3" fillId="0" borderId="1" applyAlignment="1" pivotButton="0" quotePrefix="0" xfId="0">
      <alignment horizontal="center" vertical="top" wrapText="1"/>
    </xf>
    <xf numFmtId="0" fontId="3" fillId="0" borderId="2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10" pivotButton="0" quotePrefix="0" xfId="0"/>
    <xf numFmtId="0" fontId="0" fillId="0" borderId="3" pivotButton="0" quotePrefix="0" xfId="0"/>
    <xf numFmtId="169" fontId="3" fillId="0" borderId="1" applyAlignment="1" pivotButton="0" quotePrefix="0" xfId="0">
      <alignment vertical="center" wrapText="1"/>
    </xf>
    <xf numFmtId="169" fontId="3" fillId="0" borderId="0" pivotButton="0" quotePrefix="0" xfId="0"/>
    <xf numFmtId="169" fontId="5" fillId="0" borderId="3" applyAlignment="1" pivotButton="0" quotePrefix="0" xfId="0">
      <alignment vertical="center" wrapText="1"/>
    </xf>
    <xf numFmtId="169" fontId="5" fillId="0" borderId="1" applyAlignment="1" pivotButton="0" quotePrefix="0" xfId="0">
      <alignment vertical="center" wrapText="1"/>
    </xf>
  </cellXfs>
  <cellStyles count="1">
    <cellStyle name="Обычный" xfId="0" builtinId="0"/>
  </cellStyles>
  <dxfs count="4">
    <dxf>
      <numFmt numFmtId="165" formatCode="#,##0.0000"/>
    </dxf>
    <dxf>
      <numFmt numFmtId="165" formatCode="#,##0.0000"/>
    </dxf>
    <dxf>
      <numFmt numFmtId="165" formatCode="#,##0.0000"/>
    </dxf>
    <dxf>
      <numFmt numFmtId="165" formatCode="#,##0.0000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3:F32"/>
  <sheetViews>
    <sheetView view="pageBreakPreview" topLeftCell="A19" zoomScale="60" zoomScaleNormal="100" workbookViewId="0">
      <selection activeCell="D47" sqref="D47"/>
    </sheetView>
  </sheetViews>
  <sheetFormatPr baseColWidth="8" defaultRowHeight="15"/>
  <cols>
    <col width="36.85546875" customWidth="1" style="118" min="3" max="3"/>
    <col width="39.42578125" customWidth="1" style="118" min="4" max="4"/>
  </cols>
  <sheetData>
    <row r="3" ht="15.6" customHeight="1" s="118">
      <c r="B3" s="158" t="inlineStr">
        <is>
          <t>Приложение № 1</t>
        </is>
      </c>
    </row>
    <row r="4" ht="17.45" customHeight="1" s="118">
      <c r="B4" s="159" t="inlineStr">
        <is>
          <t>Сравнительная таблица отбора объекта-представителя</t>
        </is>
      </c>
    </row>
    <row r="5" ht="75" customHeight="1" s="118">
      <c r="B5" s="160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      </is>
      </c>
    </row>
    <row r="6" ht="18" customHeight="1" s="118">
      <c r="B6" s="81" t="n"/>
      <c r="C6" s="81" t="n"/>
      <c r="D6" s="81" t="n"/>
    </row>
    <row r="7" ht="15.6" customHeight="1" s="118">
      <c r="B7" s="157" t="inlineStr">
        <is>
          <t>Наименование разрабатываемого показателя УНЦ — Н2-03 БРТМ Каб.каналы</t>
        </is>
      </c>
    </row>
    <row r="8" ht="15.6" customHeight="1" s="118">
      <c r="B8" s="157" t="inlineStr">
        <is>
          <t>Сопоставимый уровень цен: 3 кв. 2016</t>
        </is>
      </c>
    </row>
    <row r="9" ht="15.6" customHeight="1" s="118">
      <c r="B9" s="157" t="inlineStr">
        <is>
          <t>Единица измерения  —  м</t>
        </is>
      </c>
    </row>
    <row r="10" ht="18" customHeight="1" s="118">
      <c r="B10" s="140" t="n"/>
    </row>
    <row r="11" ht="15.6" customHeight="1" s="118">
      <c r="B11" s="162" t="inlineStr">
        <is>
          <t>№ п/п</t>
        </is>
      </c>
      <c r="C11" s="162" t="inlineStr">
        <is>
          <t>Параметр</t>
        </is>
      </c>
      <c r="D11" s="162" t="inlineStr">
        <is>
          <t>Объект-представитель</t>
        </is>
      </c>
    </row>
    <row r="12" ht="46.9" customHeight="1" s="118">
      <c r="B12" s="162" t="n">
        <v>1</v>
      </c>
      <c r="C12" s="176" t="inlineStr">
        <is>
          <t>Наименование объекта-представителя</t>
        </is>
      </c>
      <c r="D12" s="162" t="inlineStr">
        <is>
          <t xml:space="preserve"> Реконструкция ПС 220/110/10 кВ "Баскаково". 
Кабельные каналы</t>
        </is>
      </c>
    </row>
    <row r="13" ht="31.15" customHeight="1" s="118">
      <c r="B13" s="162" t="n">
        <v>2</v>
      </c>
      <c r="C13" s="176" t="inlineStr">
        <is>
          <t>Наименование субъекта Российской Федерации</t>
        </is>
      </c>
      <c r="D13" s="162" t="inlineStr">
        <is>
          <t>г. Москва</t>
        </is>
      </c>
    </row>
    <row r="14" ht="15.6" customHeight="1" s="118">
      <c r="B14" s="162" t="n">
        <v>3</v>
      </c>
      <c r="C14" s="176" t="inlineStr">
        <is>
          <t>Климатический район и подрайон</t>
        </is>
      </c>
      <c r="D14" s="162" t="inlineStr">
        <is>
          <t>IIВ</t>
        </is>
      </c>
    </row>
    <row r="15" ht="15.6" customHeight="1" s="118">
      <c r="B15" s="162" t="n">
        <v>4</v>
      </c>
      <c r="C15" s="176" t="inlineStr">
        <is>
          <t>Мощность объекта</t>
        </is>
      </c>
      <c r="D15" s="190" t="n">
        <v>196.95</v>
      </c>
    </row>
    <row r="16" ht="93.59999999999999" customHeight="1" s="118">
      <c r="B16" s="162" t="n">
        <v>5</v>
      </c>
      <c r="C16" s="145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162" t="inlineStr">
        <is>
          <t>Лотки железобетонные водопропускные, плиты перекрытия лотков и каналов ПО-4</t>
        </is>
      </c>
    </row>
    <row r="17" ht="78" customHeight="1" s="118">
      <c r="B17" s="162" t="n">
        <v>6</v>
      </c>
      <c r="C17" s="145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146">
        <f>SUM(D18:D21)</f>
        <v/>
      </c>
    </row>
    <row r="18" ht="15.6" customHeight="1" s="118">
      <c r="B18" s="151" t="inlineStr">
        <is>
          <t>6.1</t>
        </is>
      </c>
      <c r="C18" s="176" t="inlineStr">
        <is>
          <t>строительно-монтажные работы</t>
        </is>
      </c>
      <c r="D18" s="146">
        <f>5453.08728+47075.97962</f>
        <v/>
      </c>
    </row>
    <row r="19" ht="15.6" customHeight="1" s="118">
      <c r="B19" s="151" t="inlineStr">
        <is>
          <t>6.2</t>
        </is>
      </c>
      <c r="C19" s="176" t="inlineStr">
        <is>
          <t>оборудование и инвентарь</t>
        </is>
      </c>
      <c r="D19" s="146" t="n">
        <v>1970.56641</v>
      </c>
    </row>
    <row r="20" ht="15.6" customHeight="1" s="118">
      <c r="B20" s="151" t="inlineStr">
        <is>
          <t>6.3</t>
        </is>
      </c>
      <c r="C20" s="176" t="inlineStr">
        <is>
          <t>пусконаладочные работы</t>
        </is>
      </c>
      <c r="D20" s="146" t="n"/>
    </row>
    <row r="21" ht="15.6" customHeight="1" s="118">
      <c r="B21" s="151" t="inlineStr">
        <is>
          <t>6.4</t>
        </is>
      </c>
      <c r="C21" s="176" t="inlineStr">
        <is>
          <t>прочие и лимитированные затраты</t>
        </is>
      </c>
      <c r="D21" s="146">
        <f>D18*3%+(D18+D18*3%)*0</f>
        <v/>
      </c>
    </row>
    <row r="22" ht="15.6" customHeight="1" s="118">
      <c r="B22" s="162" t="n">
        <v>7</v>
      </c>
      <c r="C22" s="176" t="inlineStr">
        <is>
          <t>Сопоставимый уровень цен</t>
        </is>
      </c>
      <c r="D22" s="148" t="inlineStr">
        <is>
          <t>3 кв. 2016</t>
        </is>
      </c>
    </row>
    <row r="23" ht="109.15" customHeight="1" s="118">
      <c r="B23" s="162" t="n">
        <v>8</v>
      </c>
      <c r="C23" s="145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146">
        <f>D17</f>
        <v/>
      </c>
    </row>
    <row r="24" ht="46.9" customHeight="1" s="118">
      <c r="B24" s="162" t="n">
        <v>9</v>
      </c>
      <c r="C24" s="145" t="inlineStr">
        <is>
          <t>Приведенная сметная стоимость на единицу мощности, тыс. руб. (строка 8/строку 4)</t>
        </is>
      </c>
      <c r="D24" s="146">
        <f>D23/D15</f>
        <v/>
      </c>
    </row>
    <row r="25" ht="48.2" customHeight="1" s="118">
      <c r="A25" s="149" t="n"/>
      <c r="B25" s="162" t="n">
        <v>10</v>
      </c>
      <c r="C25" s="176" t="inlineStr">
        <is>
          <t>Примечание</t>
        </is>
      </c>
      <c r="D25" s="162" t="n"/>
      <c r="E25" s="149" t="n"/>
      <c r="F25" s="149" t="n"/>
    </row>
    <row r="26" ht="48.2" customHeight="1" s="118">
      <c r="A26" s="149" t="n"/>
      <c r="B26" s="149" t="n"/>
      <c r="C26" s="149" t="n"/>
      <c r="D26" s="149" t="n"/>
      <c r="E26" s="149" t="n"/>
      <c r="F26" s="149" t="n"/>
    </row>
    <row r="27" ht="15.6" customFormat="1" customHeight="1" s="149">
      <c r="B27" s="149" t="inlineStr">
        <is>
          <t>Составил ______________________        М.С. Колотиевская</t>
        </is>
      </c>
      <c r="C27" s="149" t="n"/>
      <c r="D27" s="149" t="n"/>
    </row>
    <row r="28" ht="15.6" customFormat="1" customHeight="1" s="149">
      <c r="B28" s="74" t="inlineStr">
        <is>
          <t xml:space="preserve">                         (подпись, инициалы, фамилия)</t>
        </is>
      </c>
      <c r="C28" s="149" t="n"/>
      <c r="D28" s="149" t="n"/>
    </row>
    <row r="29" ht="15.6" customFormat="1" customHeight="1" s="149">
      <c r="B29" s="149" t="n"/>
      <c r="C29" s="149" t="n"/>
      <c r="D29" s="149" t="n"/>
    </row>
    <row r="30" ht="15.6" customFormat="1" customHeight="1" s="149">
      <c r="B30" s="149" t="inlineStr">
        <is>
          <t>Проверил ______________________      А.В. Костянецкая</t>
        </is>
      </c>
      <c r="C30" s="149" t="n"/>
      <c r="D30" s="149" t="n"/>
    </row>
    <row r="31" ht="15.6" customFormat="1" customHeight="1" s="149">
      <c r="B31" s="74" t="inlineStr">
        <is>
          <t xml:space="preserve">                        (подпись, инициалы, фамилия)</t>
        </is>
      </c>
      <c r="C31" s="149" t="n"/>
      <c r="D31" s="149" t="n"/>
    </row>
    <row r="32" ht="15.6" customHeight="1" s="118">
      <c r="B32" s="82" t="n"/>
      <c r="C32" s="82" t="n"/>
      <c r="D32" s="82" t="n"/>
    </row>
  </sheetData>
  <mergeCells count="6">
    <mergeCell ref="B3:D3"/>
    <mergeCell ref="B5:D5"/>
    <mergeCell ref="B8:D8"/>
    <mergeCell ref="B4:D4"/>
    <mergeCell ref="B9:D9"/>
    <mergeCell ref="B7:D7"/>
  </mergeCells>
  <conditionalFormatting sqref="D15">
    <cfRule type="expression" priority="1" dxfId="0" stopIfTrue="1">
      <formula>D15&gt;=1/10000</formula>
    </cfRule>
  </conditionalFormatting>
  <pageMargins left="0.7" right="0.7" top="0.75" bottom="0.75" header="0.3" footer="0.3"/>
  <pageSetup orientation="portrait" paperSize="9" scale="82" cellComments="atEnd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B3:M22"/>
  <sheetViews>
    <sheetView view="pageBreakPreview" zoomScale="60" zoomScaleNormal="70" workbookViewId="0">
      <selection activeCell="B26" sqref="B26:D31"/>
    </sheetView>
  </sheetViews>
  <sheetFormatPr baseColWidth="8" defaultColWidth="9.140625" defaultRowHeight="15"/>
  <cols>
    <col width="5.5703125" customWidth="1" style="118" min="1" max="1"/>
    <col width="9.140625" customWidth="1" style="118" min="2" max="2"/>
    <col width="35.28515625" customWidth="1" style="118" min="3" max="3"/>
    <col width="13.85546875" customWidth="1" style="118" min="4" max="4"/>
    <col width="24.7109375" customWidth="1" style="118" min="5" max="5"/>
    <col width="12.7109375" customWidth="1" style="118" min="6" max="6"/>
    <col width="14.85546875" customWidth="1" style="118" min="7" max="7"/>
    <col width="16.7109375" customWidth="1" style="118" min="8" max="8"/>
    <col width="13" customWidth="1" style="118" min="9" max="9"/>
    <col width="16.28515625" customWidth="1" style="118" min="10" max="10"/>
    <col width="18" customWidth="1" style="118" min="11" max="11"/>
    <col width="9.140625" customWidth="1" style="118" min="12" max="12"/>
  </cols>
  <sheetData>
    <row r="3" ht="15.6" customHeight="1" s="118">
      <c r="B3" s="158" t="inlineStr">
        <is>
          <t>Приложение № 2</t>
        </is>
      </c>
    </row>
    <row r="4" ht="15.6" customHeight="1" s="118">
      <c r="B4" s="161" t="inlineStr">
        <is>
          <t>Расчет стоимости основных видов работ для выбора объекта-представителя</t>
        </is>
      </c>
    </row>
    <row r="5" ht="15.6" customHeight="1" s="118">
      <c r="B5" s="168" t="n"/>
      <c r="C5" s="168" t="n"/>
      <c r="D5" s="168" t="n"/>
      <c r="E5" s="168" t="n"/>
      <c r="F5" s="168" t="n"/>
      <c r="G5" s="168" t="n"/>
      <c r="H5" s="168" t="n"/>
      <c r="I5" s="168" t="n"/>
      <c r="J5" s="168" t="n"/>
      <c r="K5" s="168" t="n"/>
    </row>
    <row r="6" ht="15.6" customHeight="1" s="118">
      <c r="B6" s="157" t="inlineStr">
        <is>
          <t>Наименование разрабатываемого показателя УНЦ -  Н2-03 БРТМ Каб.каналы Без ПИР</t>
        </is>
      </c>
      <c r="L6" s="2" t="n"/>
    </row>
    <row r="7" ht="15.6" customHeight="1" s="118">
      <c r="B7" s="157" t="inlineStr">
        <is>
          <t>Единица измерения  —  м</t>
        </is>
      </c>
    </row>
    <row r="8" ht="18" customHeight="1" s="118">
      <c r="B8" s="140" t="n"/>
    </row>
    <row r="9" ht="15.75" customFormat="1" customHeight="1" s="149">
      <c r="B9" s="162" t="inlineStr">
        <is>
          <t>№ п/п</t>
        </is>
      </c>
      <c r="C9" s="162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162" t="inlineStr">
        <is>
          <t>Объект-представитель 1</t>
        </is>
      </c>
      <c r="E9" s="193" t="n"/>
      <c r="F9" s="193" t="n"/>
      <c r="G9" s="193" t="n"/>
      <c r="H9" s="193" t="n"/>
      <c r="I9" s="193" t="n"/>
      <c r="J9" s="194" t="n"/>
    </row>
    <row r="10" ht="15.75" customFormat="1" customHeight="1" s="149">
      <c r="B10" s="195" t="n"/>
      <c r="C10" s="195" t="n"/>
      <c r="D10" s="162" t="inlineStr">
        <is>
          <t>Номер сметы</t>
        </is>
      </c>
      <c r="E10" s="162" t="inlineStr">
        <is>
          <t>Наименование сметы</t>
        </is>
      </c>
      <c r="F10" s="162" t="inlineStr">
        <is>
          <t>Сметная стоимость в уровне цен 3 кв. 2016 г., тыс. руб.</t>
        </is>
      </c>
      <c r="G10" s="193" t="n"/>
      <c r="H10" s="193" t="n"/>
      <c r="I10" s="193" t="n"/>
      <c r="J10" s="194" t="n"/>
    </row>
    <row r="11" ht="31.5" customFormat="1" customHeight="1" s="149">
      <c r="B11" s="196" t="n"/>
      <c r="C11" s="196" t="n"/>
      <c r="D11" s="196" t="n"/>
      <c r="E11" s="196" t="n"/>
      <c r="F11" s="162" t="inlineStr">
        <is>
          <t>Строительные работы</t>
        </is>
      </c>
      <c r="G11" s="162" t="inlineStr">
        <is>
          <t>Монтажные работы</t>
        </is>
      </c>
      <c r="H11" s="162" t="inlineStr">
        <is>
          <t>Оборудование</t>
        </is>
      </c>
      <c r="I11" s="162" t="inlineStr">
        <is>
          <t>Прочее</t>
        </is>
      </c>
      <c r="J11" s="162" t="inlineStr">
        <is>
          <t>Всего</t>
        </is>
      </c>
    </row>
    <row r="12" ht="94.5" customFormat="1" customHeight="1" s="149">
      <c r="B12" s="162" t="n">
        <v>1</v>
      </c>
      <c r="C12" s="162" t="inlineStr">
        <is>
          <t>Лотки железобетонные водопропускные, плиты перекрытия лотков и каналов ПО-4</t>
        </is>
      </c>
      <c r="D12" s="151" t="inlineStr">
        <is>
          <t>2112-13.Р ЛС02-03-01б</t>
        </is>
      </c>
      <c r="E12" s="176" t="inlineStr">
        <is>
          <t>Электротехническая часть. Первичная коммутация. Кабельное хозяйство. Прокладка кабелей 110 кВ</t>
        </is>
      </c>
      <c r="F12" s="197">
        <f>5453087.28/1000*1</f>
        <v/>
      </c>
      <c r="G12" s="197">
        <f>47075979.62/1000*1</f>
        <v/>
      </c>
      <c r="H12" s="197">
        <f>1970566.41/1000*1</f>
        <v/>
      </c>
      <c r="I12" s="197" t="n"/>
      <c r="J12" s="197">
        <f>SUM(F12:I12)</f>
        <v/>
      </c>
      <c r="K12" s="198" t="n"/>
      <c r="L12" s="198" t="n"/>
      <c r="M12" s="198" t="n"/>
    </row>
    <row r="13" ht="15.6" customFormat="1" customHeight="1" s="149">
      <c r="B13" s="163" t="inlineStr">
        <is>
          <t>Всего по объекту:</t>
        </is>
      </c>
      <c r="C13" s="193" t="n"/>
      <c r="D13" s="193" t="n"/>
      <c r="E13" s="194" t="n"/>
      <c r="F13" s="199">
        <f>SUM(F12:F12)</f>
        <v/>
      </c>
      <c r="G13" s="199">
        <f>SUM(G12:G12)</f>
        <v/>
      </c>
      <c r="H13" s="199">
        <f>SUM(H12:H12)</f>
        <v/>
      </c>
      <c r="I13" s="199">
        <f>SUM(I12:I12)</f>
        <v/>
      </c>
      <c r="J13" s="199">
        <f>SUM(F13:I13)</f>
        <v/>
      </c>
    </row>
    <row r="14" ht="28.5" customFormat="1" customHeight="1" s="149">
      <c r="B14" s="163" t="inlineStr">
        <is>
          <t>Всего по объекту в сопоставимом уровне цен 3 кв. 2016 г:</t>
        </is>
      </c>
      <c r="C14" s="193" t="n"/>
      <c r="D14" s="193" t="n"/>
      <c r="E14" s="194" t="n"/>
      <c r="F14" s="200">
        <f>F13</f>
        <v/>
      </c>
      <c r="G14" s="200">
        <f>G13</f>
        <v/>
      </c>
      <c r="H14" s="200">
        <f>H13</f>
        <v/>
      </c>
      <c r="I14" s="200">
        <f>I13</f>
        <v/>
      </c>
      <c r="J14" s="200">
        <f>SUM(F14:I14)</f>
        <v/>
      </c>
    </row>
    <row r="15" ht="15.6" customFormat="1" customHeight="1" s="149">
      <c r="B15" s="157" t="n"/>
    </row>
    <row r="16" ht="15.6" customFormat="1" customHeight="1" s="149"/>
    <row r="17" ht="15.6" customFormat="1" customHeight="1" s="149">
      <c r="C17" s="149" t="n"/>
      <c r="D17" s="149" t="n"/>
      <c r="E17" s="149" t="n"/>
    </row>
    <row r="18" ht="15.6" customFormat="1" customHeight="1" s="149">
      <c r="C18" s="149" t="inlineStr">
        <is>
          <t>Составил ______________________        М.С. Колотиевская</t>
        </is>
      </c>
      <c r="D18" s="149" t="n"/>
      <c r="E18" s="149" t="n"/>
    </row>
    <row r="19" ht="15.6" customFormat="1" customHeight="1" s="149">
      <c r="C19" s="74" t="inlineStr">
        <is>
          <t xml:space="preserve">                         (подпись, инициалы, фамилия)</t>
        </is>
      </c>
      <c r="D19" s="149" t="n"/>
      <c r="E19" s="149" t="n"/>
    </row>
    <row r="20" ht="15.6" customFormat="1" customHeight="1" s="149">
      <c r="C20" s="149" t="n"/>
      <c r="D20" s="149" t="n"/>
      <c r="E20" s="149" t="n"/>
    </row>
    <row r="21" ht="15.6" customFormat="1" customHeight="1" s="149">
      <c r="C21" s="149" t="inlineStr">
        <is>
          <t>Проверил ______________________      А.В. Костянецкая</t>
        </is>
      </c>
      <c r="D21" s="149" t="n"/>
      <c r="E21" s="149" t="n"/>
    </row>
    <row r="22" ht="15.6" customFormat="1" customHeight="1" s="149">
      <c r="C22" s="74" t="inlineStr">
        <is>
          <t xml:space="preserve">                        (подпись, инициалы, фамилия)</t>
        </is>
      </c>
      <c r="D22" s="149" t="n"/>
      <c r="E22" s="149" t="n"/>
    </row>
    <row r="23" ht="15.6" customFormat="1" customHeight="1" s="149"/>
  </sheetData>
  <mergeCells count="12">
    <mergeCell ref="D10:D11"/>
    <mergeCell ref="B4:K4"/>
    <mergeCell ref="D9:J9"/>
    <mergeCell ref="B13:E13"/>
    <mergeCell ref="F10:J10"/>
    <mergeCell ref="B9:B11"/>
    <mergeCell ref="B6:K6"/>
    <mergeCell ref="B7:D7"/>
    <mergeCell ref="E10:E11"/>
    <mergeCell ref="C9:C11"/>
    <mergeCell ref="B3:K3"/>
    <mergeCell ref="B14:E14"/>
  </mergeCells>
  <pageMargins left="0.7" right="0.7" top="0.75" bottom="0.75" header="0.3" footer="0.3"/>
  <pageSetup orientation="portrait" paperSize="9" scale="48" cellComments="atEnd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4:J87"/>
  <sheetViews>
    <sheetView view="pageBreakPreview" topLeftCell="A10" zoomScale="70" zoomScaleNormal="100" zoomScaleSheetLayoutView="70" workbookViewId="0">
      <selection activeCell="H166" sqref="H165:H166"/>
    </sheetView>
  </sheetViews>
  <sheetFormatPr baseColWidth="8" defaultColWidth="9.140625" defaultRowHeight="15"/>
  <cols>
    <col width="9.140625" customWidth="1" style="118" min="1" max="2"/>
    <col width="17" customWidth="1" style="118" min="3" max="3"/>
    <col width="49.7109375" customWidth="1" style="118" min="4" max="4"/>
    <col width="16.28515625" customWidth="1" style="118" min="5" max="5"/>
    <col width="20.7109375" customWidth="1" style="118" min="6" max="6"/>
    <col width="16.140625" customWidth="1" style="118" min="7" max="7"/>
    <col width="16.7109375" customWidth="1" style="118" min="8" max="8"/>
    <col width="9.140625" customWidth="1" style="118" min="9" max="9"/>
  </cols>
  <sheetData>
    <row r="2" s="118"/>
    <row r="3" s="118"/>
    <row r="4" ht="15.6" customHeight="1" s="118">
      <c r="A4" s="158" t="inlineStr">
        <is>
          <t xml:space="preserve">Приложение № 3 </t>
        </is>
      </c>
    </row>
    <row r="5" ht="17.45" customHeight="1" s="118">
      <c r="A5" s="159" t="inlineStr">
        <is>
          <t>Объектная ресурсная ведомость</t>
        </is>
      </c>
    </row>
    <row r="6" ht="18" customHeight="1" s="118">
      <c r="A6" s="140" t="n"/>
      <c r="B6" s="140" t="n"/>
    </row>
    <row r="7" ht="15.6" customHeight="1" s="118">
      <c r="A7" s="167" t="inlineStr">
        <is>
          <t>Наименование разрабатываемого показателя УНЦ -  Н2-03 БРТМ Каб.каналы</t>
        </is>
      </c>
    </row>
    <row r="8" ht="15.6" customHeight="1" s="118">
      <c r="A8" s="167" t="n"/>
      <c r="B8" s="167" t="n"/>
      <c r="C8" s="167" t="n"/>
      <c r="D8" s="167" t="n"/>
      <c r="E8" s="167" t="n"/>
      <c r="F8" s="167" t="n"/>
      <c r="G8" s="167" t="n"/>
      <c r="H8" s="167" t="n"/>
    </row>
    <row r="9" ht="38.25" customFormat="1" customHeight="1" s="149">
      <c r="A9" s="162" t="inlineStr">
        <is>
          <t>п/п</t>
        </is>
      </c>
      <c r="B9" s="162" t="inlineStr">
        <is>
          <t>№ЛСР</t>
        </is>
      </c>
      <c r="C9" s="162" t="inlineStr">
        <is>
          <t>Код ресурса</t>
        </is>
      </c>
      <c r="D9" s="162" t="inlineStr">
        <is>
          <t>Наименование ресурса</t>
        </is>
      </c>
      <c r="E9" s="162" t="inlineStr">
        <is>
          <t>Ед. изм.</t>
        </is>
      </c>
      <c r="F9" s="162" t="inlineStr">
        <is>
          <t>Кол-во единиц по данным объекта-представителя</t>
        </is>
      </c>
      <c r="G9" s="162" t="inlineStr">
        <is>
          <t>Сметная стоимость в ценах на 01.01.2000 (руб.)</t>
        </is>
      </c>
      <c r="H9" s="194" t="n"/>
    </row>
    <row r="10" ht="40.5" customFormat="1" customHeight="1" s="149">
      <c r="A10" s="196" t="n"/>
      <c r="B10" s="196" t="n"/>
      <c r="C10" s="196" t="n"/>
      <c r="D10" s="196" t="n"/>
      <c r="E10" s="196" t="n"/>
      <c r="F10" s="196" t="n"/>
      <c r="G10" s="162" t="inlineStr">
        <is>
          <t>на ед.изм.</t>
        </is>
      </c>
      <c r="H10" s="162" t="inlineStr">
        <is>
          <t>общая</t>
        </is>
      </c>
    </row>
    <row r="11" ht="15.6" customFormat="1" customHeight="1" s="149">
      <c r="A11" s="162" t="n">
        <v>1</v>
      </c>
      <c r="B11" s="162" t="n"/>
      <c r="C11" s="162" t="n">
        <v>2</v>
      </c>
      <c r="D11" s="162" t="inlineStr">
        <is>
          <t>З</t>
        </is>
      </c>
      <c r="E11" s="162" t="n">
        <v>4</v>
      </c>
      <c r="F11" s="162" t="n">
        <v>5</v>
      </c>
      <c r="G11" s="162" t="n">
        <v>6</v>
      </c>
      <c r="H11" s="162" t="n">
        <v>7</v>
      </c>
    </row>
    <row r="12" ht="15.6" customFormat="1" customHeight="1" s="111">
      <c r="A12" s="164" t="inlineStr">
        <is>
          <t>Затраты труда рабочих</t>
        </is>
      </c>
      <c r="B12" s="193" t="n"/>
      <c r="C12" s="193" t="n"/>
      <c r="D12" s="193" t="n"/>
      <c r="E12" s="194" t="n"/>
      <c r="F12" s="164" t="n">
        <v>1131.96074</v>
      </c>
      <c r="G12" s="12" t="n"/>
      <c r="H12" s="12">
        <f>SUM(H13:H21)</f>
        <v/>
      </c>
    </row>
    <row r="13" ht="15.6" customFormat="1" customHeight="1" s="149">
      <c r="A13" s="166" t="n">
        <v>1</v>
      </c>
      <c r="B13" s="166" t="n"/>
      <c r="C13" s="165" t="inlineStr">
        <is>
          <t>1-100-36</t>
        </is>
      </c>
      <c r="D13" s="165" t="inlineStr">
        <is>
          <t>Затраты труда рабочих (ср 3,6)</t>
        </is>
      </c>
      <c r="E13" s="166" t="inlineStr">
        <is>
          <t>чел.-ч</t>
        </is>
      </c>
      <c r="F13" s="166" t="n">
        <v>622.35612</v>
      </c>
      <c r="G13" s="172" t="n">
        <v>9.18</v>
      </c>
      <c r="H13" s="172">
        <f>ROUND(F13*G13,2)</f>
        <v/>
      </c>
    </row>
    <row r="14" ht="15.6" customFormat="1" customHeight="1" s="149">
      <c r="A14" s="166" t="n">
        <v>2</v>
      </c>
      <c r="B14" s="166" t="n"/>
      <c r="C14" s="165" t="inlineStr">
        <is>
          <t>1-100-39</t>
        </is>
      </c>
      <c r="D14" s="165" t="inlineStr">
        <is>
          <t>Затраты труда рабочих (ср 3,9)</t>
        </is>
      </c>
      <c r="E14" s="166" t="inlineStr">
        <is>
          <t>чел.-ч</t>
        </is>
      </c>
      <c r="F14" s="166" t="n">
        <v>187.938</v>
      </c>
      <c r="G14" s="172" t="n">
        <v>9.51</v>
      </c>
      <c r="H14" s="172">
        <f>ROUND(F14*G14,2)</f>
        <v/>
      </c>
    </row>
    <row r="15" ht="15.6" customFormat="1" customHeight="1" s="149">
      <c r="A15" s="166" t="n">
        <v>3</v>
      </c>
      <c r="B15" s="166" t="n"/>
      <c r="C15" s="165" t="inlineStr">
        <is>
          <t>1-100-30</t>
        </is>
      </c>
      <c r="D15" s="165" t="inlineStr">
        <is>
          <t>Затраты труда рабочих (ср 3)</t>
        </is>
      </c>
      <c r="E15" s="166" t="inlineStr">
        <is>
          <t>чел.-ч</t>
        </is>
      </c>
      <c r="F15" s="166" t="n">
        <v>102.878</v>
      </c>
      <c r="G15" s="172" t="n">
        <v>8.529999999999999</v>
      </c>
      <c r="H15" s="172">
        <f>ROUND(F15*G15,2)</f>
        <v/>
      </c>
    </row>
    <row r="16" ht="15.6" customFormat="1" customHeight="1" s="149">
      <c r="A16" s="166" t="n">
        <v>4</v>
      </c>
      <c r="B16" s="166" t="n"/>
      <c r="C16" s="165" t="inlineStr">
        <is>
          <t>1-100-35</t>
        </is>
      </c>
      <c r="D16" s="165" t="inlineStr">
        <is>
          <t>Затраты труда рабочих (ср 3,5)</t>
        </is>
      </c>
      <c r="E16" s="166" t="inlineStr">
        <is>
          <t>чел.-ч</t>
        </is>
      </c>
      <c r="F16" s="166" t="n">
        <v>92.29362</v>
      </c>
      <c r="G16" s="172" t="n">
        <v>9.07</v>
      </c>
      <c r="H16" s="172">
        <f>ROUND(F16*G16,2)</f>
        <v/>
      </c>
    </row>
    <row r="17" ht="15.6" customFormat="1" customHeight="1" s="149">
      <c r="A17" s="166" t="n">
        <v>5</v>
      </c>
      <c r="B17" s="166" t="n"/>
      <c r="C17" s="165" t="inlineStr">
        <is>
          <t>1-100-27</t>
        </is>
      </c>
      <c r="D17" s="165" t="inlineStr">
        <is>
          <t>Затраты труда рабочих (ср 2,7)</t>
        </is>
      </c>
      <c r="E17" s="166" t="inlineStr">
        <is>
          <t>чел.-ч</t>
        </is>
      </c>
      <c r="F17" s="166" t="n">
        <v>40.46</v>
      </c>
      <c r="G17" s="172" t="n">
        <v>8.31</v>
      </c>
      <c r="H17" s="172">
        <f>ROUND(F17*G17,2)</f>
        <v/>
      </c>
    </row>
    <row r="18" ht="15.6" customFormat="1" customHeight="1" s="149">
      <c r="A18" s="166" t="n">
        <v>6</v>
      </c>
      <c r="B18" s="166" t="n"/>
      <c r="C18" s="165" t="inlineStr">
        <is>
          <t>1-100-22</t>
        </is>
      </c>
      <c r="D18" s="165" t="inlineStr">
        <is>
          <t>Затраты труда рабочих (ср 2,2)</t>
        </is>
      </c>
      <c r="E18" s="166" t="inlineStr">
        <is>
          <t>чел.-ч</t>
        </is>
      </c>
      <c r="F18" s="166" t="n">
        <v>38.012</v>
      </c>
      <c r="G18" s="172" t="n">
        <v>7.94</v>
      </c>
      <c r="H18" s="172">
        <f>ROUND(F18*G18,2)</f>
        <v/>
      </c>
    </row>
    <row r="19" ht="15.6" customFormat="1" customHeight="1" s="149">
      <c r="A19" s="166" t="n">
        <v>7</v>
      </c>
      <c r="B19" s="166" t="n"/>
      <c r="C19" s="165" t="inlineStr">
        <is>
          <t>1-100-33</t>
        </is>
      </c>
      <c r="D19" s="165" t="inlineStr">
        <is>
          <t>Затраты труда рабочих (ср 3,3)</t>
        </is>
      </c>
      <c r="E19" s="166" t="inlineStr">
        <is>
          <t>чел.-ч</t>
        </is>
      </c>
      <c r="F19" s="166" t="n">
        <v>33</v>
      </c>
      <c r="G19" s="172" t="n">
        <v>8.859999999999999</v>
      </c>
      <c r="H19" s="172">
        <f>ROUND(F19*G19,2)</f>
        <v/>
      </c>
    </row>
    <row r="20" ht="15.6" customFormat="1" customHeight="1" s="149">
      <c r="A20" s="166" t="n">
        <v>8</v>
      </c>
      <c r="B20" s="166" t="n"/>
      <c r="C20" s="165" t="inlineStr">
        <is>
          <t>1-100-20</t>
        </is>
      </c>
      <c r="D20" s="165" t="inlineStr">
        <is>
          <t>Затраты труда рабочих (ср 2)</t>
        </is>
      </c>
      <c r="E20" s="166" t="inlineStr">
        <is>
          <t>чел.-ч</t>
        </is>
      </c>
      <c r="F20" s="166" t="n">
        <v>12.686</v>
      </c>
      <c r="G20" s="172" t="n">
        <v>7.8</v>
      </c>
      <c r="H20" s="172">
        <f>ROUND(F20*G20,2)</f>
        <v/>
      </c>
    </row>
    <row r="21" ht="15.6" customFormat="1" customHeight="1" s="149">
      <c r="A21" s="166" t="n">
        <v>9</v>
      </c>
      <c r="B21" s="166" t="n"/>
      <c r="C21" s="165" t="inlineStr">
        <is>
          <t>1-100-34</t>
        </is>
      </c>
      <c r="D21" s="165" t="inlineStr">
        <is>
          <t>Затраты труда рабочих (ср 3,4)</t>
        </is>
      </c>
      <c r="E21" s="166" t="inlineStr">
        <is>
          <t>чел.-ч</t>
        </is>
      </c>
      <c r="F21" s="166" t="n">
        <v>2.337</v>
      </c>
      <c r="G21" s="172" t="n">
        <v>8.970000000000001</v>
      </c>
      <c r="H21" s="172">
        <f>ROUND(F21*G21,2)</f>
        <v/>
      </c>
      <c r="J21" s="149" t="n"/>
    </row>
    <row r="22" ht="15.6" customFormat="1" customHeight="1" s="111">
      <c r="A22" s="164" t="inlineStr">
        <is>
          <t>Затраты труда машинистов</t>
        </is>
      </c>
      <c r="B22" s="193" t="n"/>
      <c r="C22" s="193" t="n"/>
      <c r="D22" s="193" t="n"/>
      <c r="E22" s="194" t="n"/>
      <c r="F22" s="164" t="n">
        <v>107.161023</v>
      </c>
      <c r="G22" s="12" t="n"/>
      <c r="H22" s="12">
        <f>SUM(H23)</f>
        <v/>
      </c>
    </row>
    <row r="23" ht="15.6" customFormat="1" customHeight="1" s="149">
      <c r="A23" s="166" t="n">
        <v>10</v>
      </c>
      <c r="B23" s="166" t="n"/>
      <c r="C23" s="165" t="n">
        <v>2</v>
      </c>
      <c r="D23" s="165" t="inlineStr">
        <is>
          <t>Затраты труда машинистов</t>
        </is>
      </c>
      <c r="E23" s="166" t="inlineStr">
        <is>
          <t>чел.-ч</t>
        </is>
      </c>
      <c r="F23" s="166" t="n">
        <v>107.161023</v>
      </c>
      <c r="G23" s="172" t="n">
        <v>13.47</v>
      </c>
      <c r="H23" s="172">
        <f>ROUND(F23*G23,2)</f>
        <v/>
      </c>
    </row>
    <row r="24" ht="15.6" customFormat="1" customHeight="1" s="111">
      <c r="A24" s="164" t="inlineStr">
        <is>
          <t>Машины и механизмы</t>
        </is>
      </c>
      <c r="B24" s="193" t="n"/>
      <c r="C24" s="193" t="n"/>
      <c r="D24" s="193" t="n"/>
      <c r="E24" s="194" t="n"/>
      <c r="F24" s="164" t="n"/>
      <c r="G24" s="12" t="n"/>
      <c r="H24" s="12">
        <f>SUM(H25:H39)</f>
        <v/>
      </c>
    </row>
    <row r="25" ht="31.15" customFormat="1" customHeight="1" s="149">
      <c r="A25" s="166" t="n">
        <v>11</v>
      </c>
      <c r="B25" s="166" t="n"/>
      <c r="C25" s="165" t="inlineStr">
        <is>
          <t>91.05.06-012</t>
        </is>
      </c>
      <c r="D25" s="165" t="inlineStr">
        <is>
          <t>Краны на гусеничном ходу, грузоподъемность до 16 т</t>
        </is>
      </c>
      <c r="E25" s="166" t="inlineStr">
        <is>
          <t>маш.час</t>
        </is>
      </c>
      <c r="F25" s="166" t="n">
        <v>71.54528000000001</v>
      </c>
      <c r="G25" s="172" t="n">
        <v>96.89</v>
      </c>
      <c r="H25" s="172">
        <f>ROUND(F25*G25,2)</f>
        <v/>
      </c>
    </row>
    <row r="26" ht="15.6" customFormat="1" customHeight="1" s="149">
      <c r="A26" s="166" t="n">
        <v>12</v>
      </c>
      <c r="B26" s="166" t="n"/>
      <c r="C26" s="165" t="inlineStr">
        <is>
          <t>91.08.04-021</t>
        </is>
      </c>
      <c r="D26" s="165" t="inlineStr">
        <is>
          <t>Котлы битумные передвижные 400 л</t>
        </is>
      </c>
      <c r="E26" s="166" t="inlineStr">
        <is>
          <t>маш.час</t>
        </is>
      </c>
      <c r="F26" s="166" t="n">
        <v>60.13571</v>
      </c>
      <c r="G26" s="172" t="n">
        <v>30</v>
      </c>
      <c r="H26" s="172">
        <f>ROUND(F26*G26,2)</f>
        <v/>
      </c>
    </row>
    <row r="27" ht="31.15" customFormat="1" customHeight="1" s="149">
      <c r="A27" s="166" t="n">
        <v>13</v>
      </c>
      <c r="B27" s="166" t="n"/>
      <c r="C27" s="165" t="inlineStr">
        <is>
          <t>91.01.05-086</t>
        </is>
      </c>
      <c r="D27" s="165" t="inlineStr">
        <is>
          <t>Экскаваторы одноковшовые дизельные на гусеничном ходу, емкость ковша 0,65 м3</t>
        </is>
      </c>
      <c r="E27" s="166" t="inlineStr">
        <is>
          <t>маш.час</t>
        </is>
      </c>
      <c r="F27" s="166" t="n">
        <v>12.985</v>
      </c>
      <c r="G27" s="172" t="n">
        <v>115.27</v>
      </c>
      <c r="H27" s="172">
        <f>ROUND(F27*G27,2)</f>
        <v/>
      </c>
    </row>
    <row r="28" ht="15.6" customFormat="1" customHeight="1" s="149">
      <c r="A28" s="166" t="n">
        <v>14</v>
      </c>
      <c r="B28" s="166" t="n"/>
      <c r="C28" s="165" t="inlineStr">
        <is>
          <t>91.14.02-001</t>
        </is>
      </c>
      <c r="D28" s="165" t="inlineStr">
        <is>
          <t>Автомобили бортовые, грузоподъемность до 5 т</t>
        </is>
      </c>
      <c r="E28" s="166" t="inlineStr">
        <is>
          <t>маш.час</t>
        </is>
      </c>
      <c r="F28" s="166" t="n">
        <v>10.7194958</v>
      </c>
      <c r="G28" s="172" t="n">
        <v>65.70999999999999</v>
      </c>
      <c r="H28" s="172">
        <f>ROUND(F28*G28,2)</f>
        <v/>
      </c>
    </row>
    <row r="29" ht="31.15" customFormat="1" customHeight="1" s="149">
      <c r="A29" s="166" t="n">
        <v>15</v>
      </c>
      <c r="B29" s="166" t="n"/>
      <c r="C29" s="165" t="inlineStr">
        <is>
          <t>91.17.04-233</t>
        </is>
      </c>
      <c r="D29" s="165" t="inlineStr">
        <is>
          <t>Установки для сварки ручной дуговой (постоянного тока)</t>
        </is>
      </c>
      <c r="E29" s="166" t="inlineStr">
        <is>
          <t>маш.час</t>
        </is>
      </c>
      <c r="F29" s="166" t="n">
        <v>84.19722</v>
      </c>
      <c r="G29" s="172" t="n">
        <v>8.1</v>
      </c>
      <c r="H29" s="172">
        <f>ROUND(F29*G29,2)</f>
        <v/>
      </c>
    </row>
    <row r="30" ht="15.6" customFormat="1" customHeight="1" s="149">
      <c r="A30" s="166" t="n">
        <v>16</v>
      </c>
      <c r="B30" s="166" t="n"/>
      <c r="C30" s="165" t="inlineStr">
        <is>
          <t>91.05.01-017</t>
        </is>
      </c>
      <c r="D30" s="165" t="inlineStr">
        <is>
          <t>Краны башенные, грузоподъемность 8 т</t>
        </is>
      </c>
      <c r="E30" s="166" t="inlineStr">
        <is>
          <t>маш.час</t>
        </is>
      </c>
      <c r="F30" s="166" t="n">
        <v>4.62494</v>
      </c>
      <c r="G30" s="172" t="n">
        <v>86.40000000000001</v>
      </c>
      <c r="H30" s="172">
        <f>ROUND(F30*G30,2)</f>
        <v/>
      </c>
    </row>
    <row r="31" ht="31.15" customFormat="1" customHeight="1" s="149">
      <c r="A31" s="166" t="n">
        <v>17</v>
      </c>
      <c r="B31" s="166" t="n"/>
      <c r="C31" s="165" t="inlineStr">
        <is>
          <t>91.05.05-015</t>
        </is>
      </c>
      <c r="D31" s="165" t="inlineStr">
        <is>
          <t>Краны на автомобильном ходу, грузоподъемность 16 т</t>
        </is>
      </c>
      <c r="E31" s="166" t="inlineStr">
        <is>
          <t>маш.час</t>
        </is>
      </c>
      <c r="F31" s="166" t="n">
        <v>3.2556572</v>
      </c>
      <c r="G31" s="172" t="n">
        <v>115.4</v>
      </c>
      <c r="H31" s="172">
        <f>ROUND(F31*G31,2)</f>
        <v/>
      </c>
    </row>
    <row r="32" ht="46.9" customFormat="1" customHeight="1" s="149">
      <c r="A32" s="166" t="n">
        <v>18</v>
      </c>
      <c r="B32" s="166" t="n"/>
      <c r="C32" s="165" t="inlineStr">
        <is>
          <t>91.06.05-057</t>
        </is>
      </c>
      <c r="D32" s="165" t="inlineStr">
        <is>
          <t>Погрузчики одноковшовые универсальные фронтальные пневмоколесные, грузоподъемность 3 т</t>
        </is>
      </c>
      <c r="E32" s="166" t="inlineStr">
        <is>
          <t>маш.час</t>
        </is>
      </c>
      <c r="F32" s="166" t="n">
        <v>3.1304</v>
      </c>
      <c r="G32" s="172" t="n">
        <v>90.40000000000001</v>
      </c>
      <c r="H32" s="172">
        <f>ROUND(F32*G32,2)</f>
        <v/>
      </c>
    </row>
    <row r="33" ht="31.15" customFormat="1" customHeight="1" s="149">
      <c r="A33" s="166" t="n">
        <v>19</v>
      </c>
      <c r="B33" s="166" t="n"/>
      <c r="C33" s="165" t="inlineStr">
        <is>
          <t>91.08.09-024</t>
        </is>
      </c>
      <c r="D33" s="165" t="inlineStr">
        <is>
          <t>Трамбовки пневматические при работе от стационарного компрессора</t>
        </is>
      </c>
      <c r="E33" s="166" t="inlineStr">
        <is>
          <t>маш.час</t>
        </is>
      </c>
      <c r="F33" s="166" t="n">
        <v>17.888</v>
      </c>
      <c r="G33" s="172" t="n">
        <v>4.91</v>
      </c>
      <c r="H33" s="172">
        <f>ROUND(F33*G33,2)</f>
        <v/>
      </c>
    </row>
    <row r="34" ht="15.6" customFormat="1" customHeight="1" s="149">
      <c r="A34" s="166" t="n">
        <v>20</v>
      </c>
      <c r="B34" s="166" t="n"/>
      <c r="C34" s="165" t="inlineStr">
        <is>
          <t>91.06.05-011</t>
        </is>
      </c>
      <c r="D34" s="165" t="inlineStr">
        <is>
          <t>Погрузчики, грузоподъемность 5 т</t>
        </is>
      </c>
      <c r="E34" s="166" t="inlineStr">
        <is>
          <t>маш.час</t>
        </is>
      </c>
      <c r="F34" s="166" t="n">
        <v>0.90025</v>
      </c>
      <c r="G34" s="172" t="n">
        <v>89.98999999999999</v>
      </c>
      <c r="H34" s="172">
        <f>ROUND(F34*G34,2)</f>
        <v/>
      </c>
    </row>
    <row r="35" ht="31.15" customFormat="1" customHeight="1" s="149">
      <c r="A35" s="166" t="n">
        <v>21</v>
      </c>
      <c r="B35" s="166" t="n"/>
      <c r="C35" s="165" t="inlineStr">
        <is>
          <t>91.18.01-508</t>
        </is>
      </c>
      <c r="D35" s="165" t="inlineStr">
        <is>
          <t>Компрессоры передвижные с электродвигателем, производительность до 5,0 м3/мин</t>
        </is>
      </c>
      <c r="E35" s="166" t="inlineStr">
        <is>
          <t>маш.час</t>
        </is>
      </c>
      <c r="F35" s="166" t="n">
        <v>1.5546</v>
      </c>
      <c r="G35" s="172" t="n">
        <v>48.81</v>
      </c>
      <c r="H35" s="172">
        <f>ROUND(F35*G35,2)</f>
        <v/>
      </c>
    </row>
    <row r="36" ht="15.6" customFormat="1" customHeight="1" s="149">
      <c r="A36" s="166" t="n">
        <v>22</v>
      </c>
      <c r="B36" s="166" t="n"/>
      <c r="C36" s="165" t="inlineStr">
        <is>
          <t>91.07.04-001</t>
        </is>
      </c>
      <c r="D36" s="165" t="inlineStr">
        <is>
          <t>Вибраторы глубинные</t>
        </is>
      </c>
      <c r="E36" s="166" t="inlineStr">
        <is>
          <t>маш.час</t>
        </is>
      </c>
      <c r="F36" s="166" t="n">
        <v>10.321</v>
      </c>
      <c r="G36" s="172" t="n">
        <v>1.9</v>
      </c>
      <c r="H36" s="172">
        <f>ROUND(F36*G36,2)</f>
        <v/>
      </c>
    </row>
    <row r="37" ht="46.9" customFormat="1" customHeight="1" s="149">
      <c r="A37" s="166" t="n">
        <v>23</v>
      </c>
      <c r="B37" s="166" t="n"/>
      <c r="C37" s="165" t="inlineStr">
        <is>
          <t>91.21.10-003</t>
        </is>
      </c>
      <c r="D37" s="165" t="inlineStr">
        <is>
          <t>Молотки при работе от передвижных компрессорных станций отбойные пневматические</t>
        </is>
      </c>
      <c r="E37" s="166" t="inlineStr">
        <is>
          <t>маш.час</t>
        </is>
      </c>
      <c r="F37" s="166" t="n">
        <v>0.9651999999999999</v>
      </c>
      <c r="G37" s="172" t="n">
        <v>1.53</v>
      </c>
      <c r="H37" s="172">
        <f>ROUND(F37*G37,2)</f>
        <v/>
      </c>
    </row>
    <row r="38" ht="31.15" customFormat="1" customHeight="1" s="149">
      <c r="A38" s="166" t="n">
        <v>24</v>
      </c>
      <c r="B38" s="166" t="n"/>
      <c r="C38" s="165" t="inlineStr">
        <is>
          <t>91.08.09-023</t>
        </is>
      </c>
      <c r="D38" s="165" t="inlineStr">
        <is>
          <t>Трамбовки пневматические при работе от передвижных компрессорных станций</t>
        </is>
      </c>
      <c r="E38" s="166" t="inlineStr">
        <is>
          <t>маш.час</t>
        </is>
      </c>
      <c r="F38" s="166" t="n">
        <v>1.072</v>
      </c>
      <c r="G38" s="172" t="n">
        <v>0.55</v>
      </c>
      <c r="H38" s="172">
        <f>ROUND(F38*G38,2)</f>
        <v/>
      </c>
    </row>
    <row r="39" ht="15.6" customFormat="1" customHeight="1" s="149">
      <c r="A39" s="166" t="n">
        <v>25</v>
      </c>
      <c r="B39" s="166" t="n"/>
      <c r="C39" s="165" t="inlineStr">
        <is>
          <t>91.07.04-002</t>
        </is>
      </c>
      <c r="D39" s="165" t="inlineStr">
        <is>
          <t>Вибраторы поверхностные</t>
        </is>
      </c>
      <c r="E39" s="166" t="inlineStr">
        <is>
          <t>маш.час</t>
        </is>
      </c>
      <c r="F39" s="166" t="n">
        <v>0.2965</v>
      </c>
      <c r="G39" s="172" t="n">
        <v>0.5</v>
      </c>
      <c r="H39" s="172">
        <f>ROUND(F39*G39,2)</f>
        <v/>
      </c>
    </row>
    <row r="40" ht="15.6" customFormat="1" customHeight="1" s="111">
      <c r="A40" s="164" t="inlineStr">
        <is>
          <t>Материалы</t>
        </is>
      </c>
      <c r="B40" s="193" t="n"/>
      <c r="C40" s="193" t="n"/>
      <c r="D40" s="193" t="n"/>
      <c r="E40" s="194" t="n"/>
      <c r="F40" s="164" t="n"/>
      <c r="G40" s="12" t="n"/>
      <c r="H40" s="12">
        <f>SUM(H41:H79)</f>
        <v/>
      </c>
    </row>
    <row r="41" ht="15.6" customFormat="1" customHeight="1" s="149">
      <c r="A41" s="166" t="n">
        <v>26</v>
      </c>
      <c r="B41" s="166" t="n"/>
      <c r="C41" s="165" t="inlineStr">
        <is>
          <t>05.1.01.10-0101</t>
        </is>
      </c>
      <c r="D41" s="165" t="inlineStr">
        <is>
          <t>Лотки железобетонные водопропускные</t>
        </is>
      </c>
      <c r="E41" s="166" t="inlineStr">
        <is>
          <t>м3</t>
        </is>
      </c>
      <c r="F41" s="166" t="n">
        <v>62.6</v>
      </c>
      <c r="G41" s="172" t="n">
        <v>2269.12</v>
      </c>
      <c r="H41" s="172">
        <f>ROUND(F41*G41,2)</f>
        <v/>
      </c>
    </row>
    <row r="42" ht="46.9" customFormat="1" customHeight="1" s="149">
      <c r="A42" s="166" t="n">
        <v>27</v>
      </c>
      <c r="B42" s="166" t="n"/>
      <c r="C42" s="165" t="inlineStr">
        <is>
          <t>05.1.01.12-0013</t>
        </is>
      </c>
      <c r="D42" s="165" t="inlineStr">
        <is>
          <t>Плита перекрытия лотков и каналов ПО-4, бетон В25 (М350), объем 0,61 м3, расход арматуры 52,7 кг</t>
        </is>
      </c>
      <c r="E42" s="166" t="inlineStr">
        <is>
          <t>шт</t>
        </is>
      </c>
      <c r="F42" s="166" t="n">
        <v>31</v>
      </c>
      <c r="G42" s="172" t="n">
        <v>1243.1</v>
      </c>
      <c r="H42" s="172">
        <f>ROUND(F42*G42,2)</f>
        <v/>
      </c>
    </row>
    <row r="43" ht="62.45" customFormat="1" customHeight="1" s="149">
      <c r="A43" s="166" t="n">
        <v>28</v>
      </c>
      <c r="B43" s="166" t="n"/>
      <c r="C43" s="165" t="inlineStr">
        <is>
          <t>07.2.07.12-0026</t>
        </is>
      </c>
      <c r="D43" s="165" t="inlineStr">
        <is>
          <t>Отдельные конструктивные элементы зданий и сооружений с преобладанием толстолистовой стали, средняя масса сборочной единицы свыше 1 до 3 т</t>
        </is>
      </c>
      <c r="E43" s="166" t="inlineStr">
        <is>
          <t>т</t>
        </is>
      </c>
      <c r="F43" s="166" t="n">
        <v>4.148</v>
      </c>
      <c r="G43" s="172" t="n">
        <v>7887.4</v>
      </c>
      <c r="H43" s="172">
        <f>ROUND(F43*G43,2)</f>
        <v/>
      </c>
    </row>
    <row r="44" ht="31.15" customFormat="1" customHeight="1" s="149">
      <c r="A44" s="166" t="n">
        <v>29</v>
      </c>
      <c r="B44" s="166" t="n"/>
      <c r="C44" s="165" t="inlineStr">
        <is>
          <t>04.1.02.05-0009</t>
        </is>
      </c>
      <c r="D44" s="165" t="inlineStr">
        <is>
          <t>Смеси бетонные тяжелого бетона (БСТ), класс В25 (М350)</t>
        </is>
      </c>
      <c r="E44" s="166" t="inlineStr">
        <is>
          <t>м3</t>
        </is>
      </c>
      <c r="F44" s="166" t="n">
        <v>30.044</v>
      </c>
      <c r="G44" s="172" t="n">
        <v>725.6900000000001</v>
      </c>
      <c r="H44" s="172">
        <f>ROUND(F44*G44,2)</f>
        <v/>
      </c>
    </row>
    <row r="45" ht="46.9" customFormat="1" customHeight="1" s="149">
      <c r="A45" s="166" t="n">
        <v>30</v>
      </c>
      <c r="B45" s="166" t="n"/>
      <c r="C45" s="165" t="inlineStr">
        <is>
          <t>08.4.02.03-1032</t>
        </is>
      </c>
      <c r="D45" s="165" t="inlineStr">
        <is>
          <t>Каркасы и сетки арматурные плоские, собранные и сваренные (связанные) в арматурные изделия, класс А-I, диаметр 12 мм</t>
        </is>
      </c>
      <c r="E45" s="166" t="inlineStr">
        <is>
          <t>т</t>
        </is>
      </c>
      <c r="F45" s="166" t="n">
        <v>3.3115</v>
      </c>
      <c r="G45" s="172" t="n">
        <v>5582.57</v>
      </c>
      <c r="H45" s="172">
        <f>ROUND(F45*G45,2)</f>
        <v/>
      </c>
    </row>
    <row r="46" ht="78" customFormat="1" customHeight="1" s="149">
      <c r="A46" s="166" t="n">
        <v>31</v>
      </c>
      <c r="B46" s="166" t="n"/>
      <c r="C46" s="165" t="inlineStr">
        <is>
          <t>05.1.06.04-0007</t>
        </is>
      </c>
      <c r="D46" s="165" t="inlineStr">
        <is>
          <t>Плиты перекрытий многопустотные преднапряженные безопалубочного формования из бетона класса B22,5, пролетом 7,3-7,4 м, ПБЗ, с расходом стали 14,7 кг/м3  (блок БДЛ 40.6 0,4м3 х 40 шт=16м3)</t>
        </is>
      </c>
      <c r="E46" s="166" t="inlineStr">
        <is>
          <t>м3</t>
        </is>
      </c>
      <c r="F46" s="166" t="n">
        <v>16</v>
      </c>
      <c r="G46" s="172" t="n">
        <v>809.5</v>
      </c>
      <c r="H46" s="172">
        <f>ROUND(F46*G46,2)</f>
        <v/>
      </c>
    </row>
    <row r="47" ht="31.15" customFormat="1" customHeight="1" s="149">
      <c r="A47" s="166" t="n">
        <v>32</v>
      </c>
      <c r="B47" s="166" t="n"/>
      <c r="C47" s="165" t="inlineStr">
        <is>
          <t>24.2.05.01-0002</t>
        </is>
      </c>
      <c r="D47" s="165" t="inlineStr">
        <is>
          <t>Трубы хризотилцементные безнапорные, номинальный диаметр 150 мм</t>
        </is>
      </c>
      <c r="E47" s="166" t="inlineStr">
        <is>
          <t>м</t>
        </is>
      </c>
      <c r="F47" s="166" t="n">
        <v>272.16</v>
      </c>
      <c r="G47" s="172" t="n">
        <v>32.67</v>
      </c>
      <c r="H47" s="172">
        <f>ROUND(F47*G47,2)</f>
        <v/>
      </c>
    </row>
    <row r="48" ht="31.15" customFormat="1" customHeight="1" s="149">
      <c r="A48" s="166" t="n">
        <v>33</v>
      </c>
      <c r="B48" s="166" t="n"/>
      <c r="C48" s="165" t="inlineStr">
        <is>
          <t>01.2.03.03-0107</t>
        </is>
      </c>
      <c r="D48" s="165" t="inlineStr">
        <is>
          <t>Мастика битумно-масляная морозостойкая горячего применения</t>
        </is>
      </c>
      <c r="E48" s="166" t="inlineStr">
        <is>
          <t>т</t>
        </is>
      </c>
      <c r="F48" s="166" t="n">
        <v>2.1276</v>
      </c>
      <c r="G48" s="172" t="n">
        <v>3960</v>
      </c>
      <c r="H48" s="172">
        <f>ROUND(F48*G48,2)</f>
        <v/>
      </c>
    </row>
    <row r="49" ht="15.6" customFormat="1" customHeight="1" s="149">
      <c r="A49" s="166" t="n">
        <v>34</v>
      </c>
      <c r="B49" s="166" t="n"/>
      <c r="C49" s="165" t="inlineStr">
        <is>
          <t>02.2.05.04-1792</t>
        </is>
      </c>
      <c r="D49" s="165" t="inlineStr">
        <is>
          <t>Щебень М 1400, фракция 20-40 мм, группа 2</t>
        </is>
      </c>
      <c r="E49" s="166" t="inlineStr">
        <is>
          <t>м3</t>
        </is>
      </c>
      <c r="F49" s="166" t="n">
        <v>51.428</v>
      </c>
      <c r="G49" s="172" t="n">
        <v>140.9</v>
      </c>
      <c r="H49" s="172">
        <f>ROUND(F49*G49,2)</f>
        <v/>
      </c>
    </row>
    <row r="50" ht="31.15" customFormat="1" customHeight="1" s="149">
      <c r="A50" s="166" t="n">
        <v>35</v>
      </c>
      <c r="B50" s="166" t="n"/>
      <c r="C50" s="165" t="inlineStr">
        <is>
          <t>06.1.01.05-0015</t>
        </is>
      </c>
      <c r="D50" s="165" t="inlineStr">
        <is>
          <t>Кирпич керамический лицевой, размер 250х120х65 мм, марка 100</t>
        </is>
      </c>
      <c r="E50" s="166" t="inlineStr">
        <is>
          <t>1000 шт</t>
        </is>
      </c>
      <c r="F50" s="166" t="n">
        <v>2.72</v>
      </c>
      <c r="G50" s="172" t="n">
        <v>1740.2</v>
      </c>
      <c r="H50" s="172">
        <f>ROUND(F50*G50,2)</f>
        <v/>
      </c>
    </row>
    <row r="51" ht="15.6" customFormat="1" customHeight="1" s="149">
      <c r="A51" s="166" t="n">
        <v>36</v>
      </c>
      <c r="B51" s="166" t="n"/>
      <c r="C51" s="165" t="inlineStr">
        <is>
          <t>01.2.01.02-0052</t>
        </is>
      </c>
      <c r="D51" s="165" t="inlineStr">
        <is>
          <t>Битумы нефтяные строительные БН-70/30</t>
        </is>
      </c>
      <c r="E51" s="166" t="inlineStr">
        <is>
          <t>т</t>
        </is>
      </c>
      <c r="F51" s="166" t="n">
        <v>2.7676</v>
      </c>
      <c r="G51" s="172" t="n">
        <v>1525.5</v>
      </c>
      <c r="H51" s="172">
        <f>ROUND(F51*G51,2)</f>
        <v/>
      </c>
    </row>
    <row r="52" ht="31.15" customFormat="1" customHeight="1" s="149">
      <c r="A52" s="166" t="n">
        <v>37</v>
      </c>
      <c r="B52" s="166" t="n"/>
      <c r="C52" s="165" t="inlineStr">
        <is>
          <t>01.2.01.02-0042</t>
        </is>
      </c>
      <c r="D52" s="165" t="inlineStr">
        <is>
          <t>Битумы нефтяные строительные кровельные БНК-90/30</t>
        </is>
      </c>
      <c r="E52" s="166" t="inlineStr">
        <is>
          <t>т</t>
        </is>
      </c>
      <c r="F52" s="166" t="n">
        <v>2.7676</v>
      </c>
      <c r="G52" s="172" t="n">
        <v>1412.5</v>
      </c>
      <c r="H52" s="172">
        <f>ROUND(F52*G52,2)</f>
        <v/>
      </c>
    </row>
    <row r="53" ht="31.15" customFormat="1" customHeight="1" s="149">
      <c r="A53" s="166" t="n">
        <v>38</v>
      </c>
      <c r="B53" s="166" t="n"/>
      <c r="C53" s="165" t="inlineStr">
        <is>
          <t>04.1.02.05-0004</t>
        </is>
      </c>
      <c r="D53" s="165" t="inlineStr">
        <is>
          <t>Смеси бетонные тяжелого бетона (БСТ), класс В10 (М150)</t>
        </is>
      </c>
      <c r="E53" s="166" t="inlineStr">
        <is>
          <t>м3</t>
        </is>
      </c>
      <c r="F53" s="166" t="n">
        <v>5.1</v>
      </c>
      <c r="G53" s="172" t="n">
        <v>490</v>
      </c>
      <c r="H53" s="172">
        <f>ROUND(F53*G53,2)</f>
        <v/>
      </c>
    </row>
    <row r="54" ht="46.9" customFormat="1" customHeight="1" s="149">
      <c r="A54" s="166" t="n">
        <v>39</v>
      </c>
      <c r="B54" s="166" t="n"/>
      <c r="C54" s="165" t="inlineStr">
        <is>
          <t>08.4.01.02-0011</t>
        </is>
      </c>
      <c r="D54" s="165" t="inlineStr">
        <is>
          <t>Детали закладные и накладные, изготовленные без применения сварки, гнутья, сверления (пробивки) отверстий, поставляемые отдельно</t>
        </is>
      </c>
      <c r="E54" s="166" t="inlineStr">
        <is>
          <t>т</t>
        </is>
      </c>
      <c r="F54" s="166" t="n">
        <v>0.273</v>
      </c>
      <c r="G54" s="172" t="n">
        <v>5804</v>
      </c>
      <c r="H54" s="172">
        <f>ROUND(F54*G54,2)</f>
        <v/>
      </c>
    </row>
    <row r="55" ht="15.6" customFormat="1" customHeight="1" s="149">
      <c r="A55" s="166" t="n">
        <v>40</v>
      </c>
      <c r="B55" s="166" t="n"/>
      <c r="C55" s="165" t="inlineStr">
        <is>
          <t>01.7.07.29-0031</t>
        </is>
      </c>
      <c r="D55" s="165" t="inlineStr">
        <is>
          <t>Каболка</t>
        </is>
      </c>
      <c r="E55" s="166" t="inlineStr">
        <is>
          <t>т</t>
        </is>
      </c>
      <c r="F55" s="166" t="n">
        <v>0.0329173</v>
      </c>
      <c r="G55" s="172" t="n">
        <v>30030</v>
      </c>
      <c r="H55" s="172">
        <f>ROUND(F55*G55,2)</f>
        <v/>
      </c>
    </row>
    <row r="56" ht="15.6" customFormat="1" customHeight="1" s="149">
      <c r="A56" s="166" t="n">
        <v>41</v>
      </c>
      <c r="B56" s="166" t="n"/>
      <c r="C56" s="165" t="inlineStr">
        <is>
          <t>01.7.11.07-0032</t>
        </is>
      </c>
      <c r="D56" s="165" t="inlineStr">
        <is>
          <t>Электроды сварочные Э42, диаметр 4 мм</t>
        </is>
      </c>
      <c r="E56" s="166" t="inlineStr">
        <is>
          <t>т</t>
        </is>
      </c>
      <c r="F56" s="166" t="n">
        <v>0.09065380000000001</v>
      </c>
      <c r="G56" s="172" t="n">
        <v>10315.01</v>
      </c>
      <c r="H56" s="172">
        <f>ROUND(F56*G56,2)</f>
        <v/>
      </c>
    </row>
    <row r="57" ht="15.6" customFormat="1" customHeight="1" s="149">
      <c r="A57" s="166" t="n">
        <v>42</v>
      </c>
      <c r="B57" s="166" t="n"/>
      <c r="C57" s="165" t="inlineStr">
        <is>
          <t>04.3.01.09-0016</t>
        </is>
      </c>
      <c r="D57" s="165" t="inlineStr">
        <is>
          <t>Раствор готовый кладочный, цементный, М200</t>
        </is>
      </c>
      <c r="E57" s="166" t="inlineStr">
        <is>
          <t>м3</t>
        </is>
      </c>
      <c r="F57" s="166" t="n">
        <v>1.5028</v>
      </c>
      <c r="G57" s="172" t="n">
        <v>600</v>
      </c>
      <c r="H57" s="172">
        <f>ROUND(F57*G57,2)</f>
        <v/>
      </c>
    </row>
    <row r="58" ht="15.6" customFormat="1" customHeight="1" s="149">
      <c r="A58" s="166" t="n">
        <v>43</v>
      </c>
      <c r="B58" s="166" t="n"/>
      <c r="C58" s="165" t="inlineStr">
        <is>
          <t>01.3.01.08-0002</t>
        </is>
      </c>
      <c r="D58" s="165" t="inlineStr">
        <is>
          <t>Топливо дизельное из малосернистых нефтей</t>
        </is>
      </c>
      <c r="E58" s="166" t="inlineStr">
        <is>
          <t>т</t>
        </is>
      </c>
      <c r="F58" s="166" t="n">
        <v>0.13838</v>
      </c>
      <c r="G58" s="172" t="n">
        <v>6250</v>
      </c>
      <c r="H58" s="172">
        <f>ROUND(F58*G58,2)</f>
        <v/>
      </c>
    </row>
    <row r="59" ht="31.15" customFormat="1" customHeight="1" s="149">
      <c r="A59" s="166" t="n">
        <v>44</v>
      </c>
      <c r="B59" s="166" t="n"/>
      <c r="C59" s="165" t="inlineStr">
        <is>
          <t>24.2.06.04-0001</t>
        </is>
      </c>
      <c r="D59" s="165" t="inlineStr">
        <is>
          <t>Муфты хризотилцементные БНМ для безнапорных труб, номинальный диаметр 100 мм</t>
        </is>
      </c>
      <c r="E59" s="166" t="inlineStr">
        <is>
          <t>шт</t>
        </is>
      </c>
      <c r="F59" s="166" t="n">
        <v>95.91426</v>
      </c>
      <c r="G59" s="172" t="n">
        <v>7.55</v>
      </c>
      <c r="H59" s="172">
        <f>ROUND(F59*G59,2)</f>
        <v/>
      </c>
    </row>
    <row r="60" ht="15.6" customFormat="1" customHeight="1" s="149">
      <c r="A60" s="166" t="n">
        <v>45</v>
      </c>
      <c r="B60" s="166" t="n"/>
      <c r="C60" s="165" t="inlineStr">
        <is>
          <t>01.7.15.06-0111</t>
        </is>
      </c>
      <c r="D60" s="165" t="inlineStr">
        <is>
          <t>Гвозди строительные</t>
        </is>
      </c>
      <c r="E60" s="166" t="inlineStr">
        <is>
          <t>т</t>
        </is>
      </c>
      <c r="F60" s="166" t="n">
        <v>0.057594</v>
      </c>
      <c r="G60" s="172" t="n">
        <v>11978</v>
      </c>
      <c r="H60" s="172">
        <f>ROUND(F60*G60,2)</f>
        <v/>
      </c>
    </row>
    <row r="61" ht="31.15" customFormat="1" customHeight="1" s="149">
      <c r="A61" s="166" t="n">
        <v>46</v>
      </c>
      <c r="B61" s="166" t="n"/>
      <c r="C61" s="165" t="inlineStr">
        <is>
          <t>01.7.19.02-0031</t>
        </is>
      </c>
      <c r="D61" s="165" t="inlineStr">
        <is>
          <t>Кольца резиновые для хризотилцементных напорных муфт САМ</t>
        </is>
      </c>
      <c r="E61" s="166" t="inlineStr">
        <is>
          <t>кг</t>
        </is>
      </c>
      <c r="F61" s="166" t="n">
        <v>23.26914</v>
      </c>
      <c r="G61" s="172" t="n">
        <v>28.33</v>
      </c>
      <c r="H61" s="172">
        <f>ROUND(F61*G61,2)</f>
        <v/>
      </c>
    </row>
    <row r="62" ht="15.6" customFormat="1" customHeight="1" s="149">
      <c r="A62" s="166" t="n">
        <v>47</v>
      </c>
      <c r="B62" s="166" t="n"/>
      <c r="C62" s="165" t="inlineStr">
        <is>
          <t>01.3.01.03-0002</t>
        </is>
      </c>
      <c r="D62" s="165" t="inlineStr">
        <is>
          <t>Керосин для технических целей</t>
        </is>
      </c>
      <c r="E62" s="166" t="inlineStr">
        <is>
          <t>т</t>
        </is>
      </c>
      <c r="F62" s="166" t="n">
        <v>0.21276</v>
      </c>
      <c r="G62" s="172" t="n">
        <v>2606.9</v>
      </c>
      <c r="H62" s="172">
        <f>ROUND(F62*G62,2)</f>
        <v/>
      </c>
    </row>
    <row r="63" ht="15.6" customFormat="1" customHeight="1" s="149">
      <c r="A63" s="166" t="n">
        <v>48</v>
      </c>
      <c r="B63" s="166" t="n"/>
      <c r="C63" s="165" t="inlineStr">
        <is>
          <t>01.2.01.02-0001</t>
        </is>
      </c>
      <c r="D63" s="165" t="inlineStr">
        <is>
          <t>Битум горячий</t>
        </is>
      </c>
      <c r="E63" s="166" t="inlineStr">
        <is>
          <t>т</t>
        </is>
      </c>
      <c r="F63" s="166" t="n">
        <v>0.14184</v>
      </c>
      <c r="G63" s="172" t="n">
        <v>1946.91</v>
      </c>
      <c r="H63" s="172">
        <f>ROUND(F63*G63,2)</f>
        <v/>
      </c>
    </row>
    <row r="64" ht="31.15" customFormat="1" customHeight="1" s="149">
      <c r="A64" s="166" t="n">
        <v>49</v>
      </c>
      <c r="B64" s="166" t="n"/>
      <c r="C64" s="165" t="inlineStr">
        <is>
          <t>11.1.03.06-0091</t>
        </is>
      </c>
      <c r="D64" s="165" t="inlineStr">
        <is>
          <t>Доска обрезная, хвойных пород, ширина 75-150 мм, толщина 32-40 мм, длина 4-6,5 м, сорт III</t>
        </is>
      </c>
      <c r="E64" s="166" t="inlineStr">
        <is>
          <t>м3</t>
        </is>
      </c>
      <c r="F64" s="166" t="n">
        <v>0.21164</v>
      </c>
      <c r="G64" s="172" t="n">
        <v>1155</v>
      </c>
      <c r="H64" s="172">
        <f>ROUND(F64*G64,2)</f>
        <v/>
      </c>
    </row>
    <row r="65" ht="31.15" customFormat="1" customHeight="1" s="149">
      <c r="A65" s="166" t="n">
        <v>50</v>
      </c>
      <c r="B65" s="166" t="n"/>
      <c r="C65" s="165" t="inlineStr">
        <is>
          <t>24.2.05.01-0001</t>
        </is>
      </c>
      <c r="D65" s="165" t="inlineStr">
        <is>
          <t>Трубы хризотилцементные безнапорные, номинальный диаметр 100 мм</t>
        </is>
      </c>
      <c r="E65" s="166" t="inlineStr">
        <is>
          <t>м</t>
        </is>
      </c>
      <c r="F65" s="166" t="n">
        <v>13.88016</v>
      </c>
      <c r="G65" s="172" t="n">
        <v>14.5</v>
      </c>
      <c r="H65" s="172">
        <f>ROUND(F65*G65,2)</f>
        <v/>
      </c>
    </row>
    <row r="66" ht="15.6" customFormat="1" customHeight="1" s="149">
      <c r="A66" s="166" t="n">
        <v>51</v>
      </c>
      <c r="B66" s="166" t="n"/>
      <c r="C66" s="165" t="inlineStr">
        <is>
          <t>04.3.01.09-0014</t>
        </is>
      </c>
      <c r="D66" s="165" t="inlineStr">
        <is>
          <t>Раствор готовый кладочный, цементный, М100</t>
        </is>
      </c>
      <c r="E66" s="166" t="inlineStr">
        <is>
          <t>м3</t>
        </is>
      </c>
      <c r="F66" s="166" t="n">
        <v>0.2639061</v>
      </c>
      <c r="G66" s="172" t="n">
        <v>519.8</v>
      </c>
      <c r="H66" s="172">
        <f>ROUND(F66*G66,2)</f>
        <v/>
      </c>
    </row>
    <row r="67" ht="15.6" customFormat="1" customHeight="1" s="149">
      <c r="A67" s="166" t="n">
        <v>52</v>
      </c>
      <c r="B67" s="166" t="n"/>
      <c r="C67" s="165" t="inlineStr">
        <is>
          <t>11.2.13.04-0011</t>
        </is>
      </c>
      <c r="D67" s="165" t="inlineStr">
        <is>
          <t>Щиты из досок, толщина 25 мм</t>
        </is>
      </c>
      <c r="E67" s="166" t="inlineStr">
        <is>
          <t>м2</t>
        </is>
      </c>
      <c r="F67" s="166" t="n">
        <v>2.7911</v>
      </c>
      <c r="G67" s="172" t="n">
        <v>35.53</v>
      </c>
      <c r="H67" s="172">
        <f>ROUND(F67*G67,2)</f>
        <v/>
      </c>
    </row>
    <row r="68" ht="15.6" customFormat="1" customHeight="1" s="149">
      <c r="A68" s="166" t="n">
        <v>53</v>
      </c>
      <c r="B68" s="166" t="n"/>
      <c r="C68" s="165" t="inlineStr">
        <is>
          <t>08.1.02.11-0001</t>
        </is>
      </c>
      <c r="D68" s="165" t="inlineStr">
        <is>
          <t>Поковки из квадратных заготовок, масса 1,8 кг</t>
        </is>
      </c>
      <c r="E68" s="166" t="inlineStr">
        <is>
          <t>т</t>
        </is>
      </c>
      <c r="F68" s="166" t="n">
        <v>0.01564</v>
      </c>
      <c r="G68" s="172" t="n">
        <v>5989</v>
      </c>
      <c r="H68" s="172">
        <f>ROUND(F68*G68,2)</f>
        <v/>
      </c>
    </row>
    <row r="69" ht="31.15" customFormat="1" customHeight="1" s="149">
      <c r="A69" s="166" t="n">
        <v>54</v>
      </c>
      <c r="B69" s="166" t="n"/>
      <c r="C69" s="165" t="inlineStr">
        <is>
          <t>04.1.02.05-0004</t>
        </is>
      </c>
      <c r="D69" s="165" t="inlineStr">
        <is>
          <t>Смеси бетонные тяжелого бетона (БСТ), класс В10 (М150)</t>
        </is>
      </c>
      <c r="E69" s="166" t="inlineStr">
        <is>
          <t>м3</t>
        </is>
      </c>
      <c r="F69" s="166" t="n">
        <v>0.14326</v>
      </c>
      <c r="G69" s="172" t="n">
        <v>490</v>
      </c>
      <c r="H69" s="172">
        <f>ROUND(F69*G69,2)</f>
        <v/>
      </c>
    </row>
    <row r="70" ht="31.15" customFormat="1" customHeight="1" s="149">
      <c r="A70" s="166" t="n">
        <v>55</v>
      </c>
      <c r="B70" s="166" t="n"/>
      <c r="C70" s="165" t="inlineStr">
        <is>
          <t>11.1.03.06-0099</t>
        </is>
      </c>
      <c r="D70" s="165" t="inlineStr">
        <is>
          <t>Доска обрезная, хвойных пород, ширина 75-150, мм толщина 19-22 мм, длина 4-6,5 м, сорт III</t>
        </is>
      </c>
      <c r="E70" s="166" t="inlineStr">
        <is>
          <t>м3</t>
        </is>
      </c>
      <c r="F70" s="166" t="n">
        <v>0.04199</v>
      </c>
      <c r="G70" s="172" t="n">
        <v>1242.2</v>
      </c>
      <c r="H70" s="172">
        <f>ROUND(F70*G70,2)</f>
        <v/>
      </c>
    </row>
    <row r="71" ht="15.6" customFormat="1" customHeight="1" s="149">
      <c r="A71" s="166" t="n">
        <v>56</v>
      </c>
      <c r="B71" s="166" t="n"/>
      <c r="C71" s="165" t="inlineStr">
        <is>
          <t>01.7.07.12-0024</t>
        </is>
      </c>
      <c r="D71" s="165" t="inlineStr">
        <is>
          <t>Пленка полиэтиленовая, толщина 0,15 мм</t>
        </is>
      </c>
      <c r="E71" s="166" t="inlineStr">
        <is>
          <t>м2</t>
        </is>
      </c>
      <c r="F71" s="166" t="n">
        <v>13.97</v>
      </c>
      <c r="G71" s="172" t="n">
        <v>3.62</v>
      </c>
      <c r="H71" s="172">
        <f>ROUND(F71*G71,2)</f>
        <v/>
      </c>
    </row>
    <row r="72" ht="46.9" customFormat="1" customHeight="1" s="149">
      <c r="A72" s="166" t="n">
        <v>57</v>
      </c>
      <c r="B72" s="166" t="n"/>
      <c r="C72" s="165" t="inlineStr">
        <is>
          <t>11.1.03.06-0095</t>
        </is>
      </c>
      <c r="D72" s="165" t="inlineStr">
        <is>
          <t>Доска обрезная, хвойных пород, ширина 75-150 мм, толщина 44 мм и более, длина 4-6,5 м, сорт III</t>
        </is>
      </c>
      <c r="E72" s="166" t="inlineStr">
        <is>
          <t>м3</t>
        </is>
      </c>
      <c r="F72" s="166" t="n">
        <v>0.03901</v>
      </c>
      <c r="G72" s="172" t="n">
        <v>1056</v>
      </c>
      <c r="H72" s="172">
        <f>ROUND(F72*G72,2)</f>
        <v/>
      </c>
    </row>
    <row r="73" ht="15.6" customFormat="1" customHeight="1" s="149">
      <c r="A73" s="166" t="n">
        <v>58</v>
      </c>
      <c r="B73" s="166" t="n"/>
      <c r="C73" s="165" t="inlineStr">
        <is>
          <t>01.7.03.01-0001</t>
        </is>
      </c>
      <c r="D73" s="165" t="inlineStr">
        <is>
          <t>Вода</t>
        </is>
      </c>
      <c r="E73" s="166" t="inlineStr">
        <is>
          <t>м3</t>
        </is>
      </c>
      <c r="F73" s="166" t="n">
        <v>15.105662</v>
      </c>
      <c r="G73" s="172" t="n">
        <v>2.44</v>
      </c>
      <c r="H73" s="172">
        <f>ROUND(F73*G73,2)</f>
        <v/>
      </c>
    </row>
    <row r="74" ht="31.15" customFormat="1" customHeight="1" s="149">
      <c r="A74" s="166" t="n">
        <v>59</v>
      </c>
      <c r="B74" s="166" t="n"/>
      <c r="C74" s="165" t="inlineStr">
        <is>
          <t>11.1.03.01-0079</t>
        </is>
      </c>
      <c r="D74" s="165" t="inlineStr">
        <is>
          <t>Бруски обрезные, хвойных пород, длина 4-6,5 м, ширина 75-150 мм, толщина 40-75 мм, сорт III</t>
        </is>
      </c>
      <c r="E74" s="166" t="inlineStr">
        <is>
          <t>м3</t>
        </is>
      </c>
      <c r="F74" s="166" t="n">
        <v>0.0198639</v>
      </c>
      <c r="G74" s="172" t="n">
        <v>1287</v>
      </c>
      <c r="H74" s="172">
        <f>ROUND(F74*G74,2)</f>
        <v/>
      </c>
    </row>
    <row r="75" ht="31.15" customFormat="1" customHeight="1" s="149">
      <c r="A75" s="166" t="n">
        <v>60</v>
      </c>
      <c r="B75" s="166" t="n"/>
      <c r="C75" s="165" t="inlineStr">
        <is>
          <t>11.1.03.06-0087</t>
        </is>
      </c>
      <c r="D75" s="165" t="inlineStr">
        <is>
          <t>Доска обрезная, хвойных пород, ширина 75-150 мм, толщина 25 мм, длина 4-6,5 м, сорт III</t>
        </is>
      </c>
      <c r="E75" s="166" t="inlineStr">
        <is>
          <t>м3</t>
        </is>
      </c>
      <c r="F75" s="166" t="n">
        <v>0.01729</v>
      </c>
      <c r="G75" s="172" t="n">
        <v>1100</v>
      </c>
      <c r="H75" s="172">
        <f>ROUND(F75*G75,2)</f>
        <v/>
      </c>
    </row>
    <row r="76" ht="15.6" customFormat="1" customHeight="1" s="149">
      <c r="A76" s="166" t="n">
        <v>61</v>
      </c>
      <c r="B76" s="166" t="n"/>
      <c r="C76" s="165" t="inlineStr">
        <is>
          <t>11.2.13.04-0012</t>
        </is>
      </c>
      <c r="D76" s="165" t="inlineStr">
        <is>
          <t>Щиты из досок, толщина 40 мм</t>
        </is>
      </c>
      <c r="E76" s="166" t="inlineStr">
        <is>
          <t>м2</t>
        </is>
      </c>
      <c r="F76" s="166" t="n">
        <v>0.1764</v>
      </c>
      <c r="G76" s="172" t="n">
        <v>57.63</v>
      </c>
      <c r="H76" s="172">
        <f>ROUND(F76*G76,2)</f>
        <v/>
      </c>
    </row>
    <row r="77" ht="15.6" customFormat="1" customHeight="1" s="149">
      <c r="A77" s="166" t="n">
        <v>62</v>
      </c>
      <c r="B77" s="166" t="n"/>
      <c r="C77" s="165" t="inlineStr">
        <is>
          <t>03.1.02.03-0011</t>
        </is>
      </c>
      <c r="D77" s="165" t="inlineStr">
        <is>
          <t>Известь строительная негашеная комовая, сорт I</t>
        </is>
      </c>
      <c r="E77" s="166" t="inlineStr">
        <is>
          <t>т</t>
        </is>
      </c>
      <c r="F77" s="166" t="n">
        <v>0.013334</v>
      </c>
      <c r="G77" s="172" t="n">
        <v>734.5</v>
      </c>
      <c r="H77" s="172">
        <f>ROUND(F77*G77,2)</f>
        <v/>
      </c>
    </row>
    <row r="78" ht="31.15" customFormat="1" customHeight="1" s="149">
      <c r="A78" s="166" t="n">
        <v>63</v>
      </c>
      <c r="B78" s="166" t="n"/>
      <c r="C78" s="165" t="inlineStr">
        <is>
          <t>08.3.03.06-0002</t>
        </is>
      </c>
      <c r="D78" s="165" t="inlineStr">
        <is>
          <t>Проволока горячекатаная в мотках, диаметр 6,3-6,5 мм</t>
        </is>
      </c>
      <c r="E78" s="166" t="inlineStr">
        <is>
          <t>т</t>
        </is>
      </c>
      <c r="F78" s="166" t="n">
        <v>0.0009146</v>
      </c>
      <c r="G78" s="172" t="n">
        <v>4455.2</v>
      </c>
      <c r="H78" s="172">
        <f>ROUND(F78*G78,2)</f>
        <v/>
      </c>
    </row>
    <row r="79" ht="15.6" customFormat="1" customHeight="1" s="149">
      <c r="A79" s="166" t="n">
        <v>64</v>
      </c>
      <c r="B79" s="166" t="n"/>
      <c r="C79" s="165" t="inlineStr">
        <is>
          <t>01.7.20.08-0051</t>
        </is>
      </c>
      <c r="D79" s="165" t="inlineStr">
        <is>
          <t>Ветошь</t>
        </is>
      </c>
      <c r="E79" s="166" t="inlineStr">
        <is>
          <t>кг</t>
        </is>
      </c>
      <c r="F79" s="166" t="n">
        <v>0.8865</v>
      </c>
      <c r="G79" s="172" t="n">
        <v>1.82</v>
      </c>
      <c r="H79" s="172">
        <f>ROUND(F79*G79,2)</f>
        <v/>
      </c>
    </row>
    <row r="80" ht="15.6" customFormat="1" customHeight="1" s="149"/>
    <row r="81" ht="15.6" customFormat="1" customHeight="1" s="149">
      <c r="D81" s="149" t="n"/>
      <c r="E81" s="149" t="n"/>
      <c r="F81" s="149" t="n"/>
    </row>
    <row r="82" ht="15.6" customFormat="1" customHeight="1" s="149">
      <c r="D82" s="149" t="inlineStr">
        <is>
          <t>Составил ______________________        М.С. Колотиевская</t>
        </is>
      </c>
      <c r="E82" s="149" t="n"/>
      <c r="F82" s="149" t="n"/>
    </row>
    <row r="83" ht="15.6" customFormat="1" customHeight="1" s="149">
      <c r="D83" s="74" t="inlineStr">
        <is>
          <t xml:space="preserve">                         (подпись, инициалы, фамилия)</t>
        </is>
      </c>
      <c r="E83" s="149" t="n"/>
      <c r="F83" s="149" t="n"/>
    </row>
    <row r="84" ht="15.6" customFormat="1" customHeight="1" s="149">
      <c r="D84" s="149" t="n"/>
      <c r="E84" s="149" t="n"/>
      <c r="F84" s="149" t="n"/>
    </row>
    <row r="85" ht="15.6" customFormat="1" customHeight="1" s="149">
      <c r="D85" s="149" t="inlineStr">
        <is>
          <t>Проверил ______________________      А.В. Костянецкая</t>
        </is>
      </c>
      <c r="E85" s="149" t="n"/>
      <c r="F85" s="149" t="n"/>
    </row>
    <row r="86" ht="15.6" customFormat="1" customHeight="1" s="149">
      <c r="D86" s="74" t="inlineStr">
        <is>
          <t xml:space="preserve">                        (подпись, инициалы, фамилия)</t>
        </is>
      </c>
      <c r="E86" s="149" t="n"/>
      <c r="F86" s="149" t="n"/>
    </row>
    <row r="87" ht="15.6" customFormat="1" customHeight="1" s="149">
      <c r="C87" s="149" t="n"/>
    </row>
    <row r="88" ht="15.6" customFormat="1" customHeight="1" s="149"/>
  </sheetData>
  <mergeCells count="14">
    <mergeCell ref="A4:H4"/>
    <mergeCell ref="C9:C10"/>
    <mergeCell ref="A12:E12"/>
    <mergeCell ref="E9:E10"/>
    <mergeCell ref="D9:D10"/>
    <mergeCell ref="B9:B10"/>
    <mergeCell ref="A24:E24"/>
    <mergeCell ref="A7:H7"/>
    <mergeCell ref="A9:A10"/>
    <mergeCell ref="F9:F10"/>
    <mergeCell ref="A5:H5"/>
    <mergeCell ref="G9:H9"/>
    <mergeCell ref="A22:E22"/>
    <mergeCell ref="A40:E40"/>
  </mergeCells>
  <conditionalFormatting sqref="F12:F79">
    <cfRule type="expression" priority="1" dxfId="0" stopIfTrue="1">
      <formula>ROUND(F12*10000,0)/10000=F12</formula>
    </cfRule>
  </conditionalFormatting>
  <pageMargins left="0.7086614173228351" right="0.7086614173228351" top="0.748031496062992" bottom="0.748031496062992" header="0.31496062992126" footer="0.31496062992126"/>
  <pageSetup orientation="landscape" paperSize="9" scale="84" fitToHeight="0" cellComments="atEnd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K47"/>
  <sheetViews>
    <sheetView view="pageBreakPreview" topLeftCell="A28" zoomScale="60" zoomScaleNormal="100" workbookViewId="0">
      <selection activeCell="B26" sqref="B26:D31"/>
    </sheetView>
  </sheetViews>
  <sheetFormatPr baseColWidth="8" defaultColWidth="9.140625" defaultRowHeight="15"/>
  <cols>
    <col width="4.140625" customWidth="1" style="118" min="1" max="1"/>
    <col width="36.28515625" customWidth="1" style="118" min="2" max="2"/>
    <col width="18.85546875" customWidth="1" style="118" min="3" max="3"/>
    <col width="18.28515625" customWidth="1" style="118" min="4" max="4"/>
    <col width="20.85546875" customWidth="1" style="118" min="5" max="5"/>
    <col width="9.140625" customWidth="1" style="118" min="6" max="10"/>
    <col width="13.5703125" customWidth="1" style="118" min="11" max="11"/>
    <col width="9.140625" customWidth="1" style="118" min="12" max="12"/>
  </cols>
  <sheetData>
    <row r="1" ht="15.6" customHeight="1" s="118">
      <c r="A1" s="49" t="n"/>
      <c r="B1" s="149" t="n"/>
      <c r="C1" s="149" t="n"/>
      <c r="D1" s="149" t="n"/>
      <c r="E1" s="149" t="n"/>
    </row>
    <row r="2" ht="15.6" customHeight="1" s="118">
      <c r="B2" s="149" t="n"/>
      <c r="C2" s="149" t="n"/>
      <c r="D2" s="149" t="n"/>
      <c r="E2" s="173" t="inlineStr">
        <is>
          <t>Приложение № 4</t>
        </is>
      </c>
    </row>
    <row r="3" ht="15.6" customHeight="1" s="118">
      <c r="B3" s="149" t="n"/>
      <c r="C3" s="149" t="n"/>
      <c r="D3" s="149" t="n"/>
      <c r="E3" s="149" t="n"/>
    </row>
    <row r="4" ht="15.6" customHeight="1" s="118">
      <c r="B4" s="149" t="n"/>
      <c r="C4" s="149" t="n"/>
      <c r="D4" s="149" t="n"/>
      <c r="E4" s="149" t="n"/>
    </row>
    <row r="5" ht="15.6" customHeight="1" s="118">
      <c r="B5" s="161" t="inlineStr">
        <is>
          <t>Ресурсная модель</t>
        </is>
      </c>
    </row>
    <row r="6" ht="15.6" customHeight="1" s="118">
      <c r="B6" s="157" t="n"/>
      <c r="C6" s="149" t="n"/>
      <c r="D6" s="149" t="n"/>
      <c r="E6" s="149" t="n"/>
    </row>
    <row r="7" ht="15.6" customHeight="1" s="118">
      <c r="B7" s="74" t="inlineStr">
        <is>
          <t xml:space="preserve">Наименование разрабатываемой расценки УНЦ —  </t>
        </is>
      </c>
      <c r="C7" s="74" t="n"/>
      <c r="D7" s="168" t="inlineStr">
        <is>
          <t>Н2-03 БРТМ Каб.каналы Без ПИР</t>
        </is>
      </c>
    </row>
    <row r="8" ht="15.6" customHeight="1" s="118">
      <c r="B8" s="167" t="inlineStr">
        <is>
          <t xml:space="preserve">Единица измерения  — </t>
        </is>
      </c>
    </row>
    <row r="9">
      <c r="B9" s="54" t="n"/>
      <c r="C9" s="55" t="n"/>
      <c r="D9" s="55" t="n"/>
      <c r="E9" s="55" t="n"/>
    </row>
    <row r="10" ht="62.45" customFormat="1" customHeight="1" s="149">
      <c r="B10" s="162" t="inlineStr">
        <is>
          <t>Наименование</t>
        </is>
      </c>
      <c r="C10" s="162" t="inlineStr">
        <is>
          <t>Сметная стоимость в ценах на 01.01.2023
 (руб.)</t>
        </is>
      </c>
      <c r="D10" s="162" t="inlineStr">
        <is>
          <t>Удельный вес, 
(в СМР)</t>
        </is>
      </c>
      <c r="E10" s="162" t="inlineStr">
        <is>
          <t>Удельный вес, % 
(от всего по РМ)</t>
        </is>
      </c>
    </row>
    <row r="11" ht="15" customFormat="1" customHeight="1" s="149">
      <c r="B11" s="176" t="inlineStr">
        <is>
          <t>Оплата труда рабочих</t>
        </is>
      </c>
      <c r="C11" s="115">
        <f>'Прил.5 Расчет СМР и ОБ'!J14</f>
        <v/>
      </c>
      <c r="D11" s="59">
        <f>C11/C24</f>
        <v/>
      </c>
      <c r="E11" s="59">
        <f>C11/C40</f>
        <v/>
      </c>
    </row>
    <row r="12" ht="15" customFormat="1" customHeight="1" s="149">
      <c r="B12" s="176" t="inlineStr">
        <is>
          <t>Эксплуатация машин основных</t>
        </is>
      </c>
      <c r="C12" s="115">
        <f>'Прил.5 Расчет СМР и ОБ'!J24</f>
        <v/>
      </c>
      <c r="D12" s="59">
        <f>C12/C24</f>
        <v/>
      </c>
      <c r="E12" s="59">
        <f>C12/C40</f>
        <v/>
      </c>
    </row>
    <row r="13" ht="15" customFormat="1" customHeight="1" s="149">
      <c r="B13" s="176" t="inlineStr">
        <is>
          <t>Эксплуатация машин прочих</t>
        </is>
      </c>
      <c r="C13" s="115">
        <f>'Прил.5 Расчет СМР и ОБ'!J35</f>
        <v/>
      </c>
      <c r="D13" s="59">
        <f>C13/C24</f>
        <v/>
      </c>
      <c r="E13" s="59">
        <f>C13/C40</f>
        <v/>
      </c>
    </row>
    <row r="14" ht="15" customFormat="1" customHeight="1" s="149">
      <c r="B14" s="176" t="inlineStr">
        <is>
          <t>ЭКСПЛУАТАЦИЯ МАШИН, ВСЕГО:</t>
        </is>
      </c>
      <c r="C14" s="115">
        <f>C13+C12</f>
        <v/>
      </c>
      <c r="D14" s="59">
        <f>C14/C24</f>
        <v/>
      </c>
      <c r="E14" s="59">
        <f>C14/C40</f>
        <v/>
      </c>
    </row>
    <row r="15" ht="15" customFormat="1" customHeight="1" s="149">
      <c r="B15" s="176" t="inlineStr">
        <is>
          <t>в том числе зарплата машинистов</t>
        </is>
      </c>
      <c r="C15" s="115">
        <f>'Прил.5 Расчет СМР и ОБ'!J16</f>
        <v/>
      </c>
      <c r="D15" s="59">
        <f>C15/C24</f>
        <v/>
      </c>
      <c r="E15" s="59">
        <f>C15/C40</f>
        <v/>
      </c>
    </row>
    <row r="16" ht="15" customFormat="1" customHeight="1" s="149">
      <c r="B16" s="176" t="inlineStr">
        <is>
          <t>Материалы основные</t>
        </is>
      </c>
      <c r="C16" s="115">
        <f>'Прил.5 Расчет СМР и ОБ'!J52</f>
        <v/>
      </c>
      <c r="D16" s="59">
        <f>C16/C24</f>
        <v/>
      </c>
      <c r="E16" s="59">
        <f>C16/C40</f>
        <v/>
      </c>
    </row>
    <row r="17" ht="15" customFormat="1" customHeight="1" s="149">
      <c r="B17" s="176" t="inlineStr">
        <is>
          <t>Материалы прочие</t>
        </is>
      </c>
      <c r="C17" s="115">
        <f>'Прил.5 Расчет СМР и ОБ'!J85</f>
        <v/>
      </c>
      <c r="D17" s="59">
        <f>C17/C24</f>
        <v/>
      </c>
      <c r="E17" s="59">
        <f>C17/C40</f>
        <v/>
      </c>
    </row>
    <row r="18" ht="15" customFormat="1" customHeight="1" s="149">
      <c r="B18" s="176" t="inlineStr">
        <is>
          <t>МАТЕРИАЛЫ, ВСЕГО:</t>
        </is>
      </c>
      <c r="C18" s="115">
        <f>C17+C16</f>
        <v/>
      </c>
      <c r="D18" s="59">
        <f>C18/C24</f>
        <v/>
      </c>
      <c r="E18" s="59">
        <f>C18/C40</f>
        <v/>
      </c>
    </row>
    <row r="19" ht="15" customFormat="1" customHeight="1" s="149">
      <c r="B19" s="176" t="inlineStr">
        <is>
          <t>ИТОГО</t>
        </is>
      </c>
      <c r="C19" s="115">
        <f>C18+C14+C11</f>
        <v/>
      </c>
      <c r="D19" s="59">
        <f>C19/C24</f>
        <v/>
      </c>
      <c r="E19" s="60">
        <f>C19/C40</f>
        <v/>
      </c>
    </row>
    <row r="20" ht="15" customFormat="1" customHeight="1" s="149">
      <c r="B20" s="176" t="inlineStr">
        <is>
          <t>Сметная прибыль, руб.</t>
        </is>
      </c>
      <c r="C20" s="115">
        <f>'Прил.5 Расчет СМР и ОБ'!J89</f>
        <v/>
      </c>
      <c r="D20" s="59">
        <f>C20/C24</f>
        <v/>
      </c>
      <c r="E20" s="59">
        <f>C20/C40</f>
        <v/>
      </c>
    </row>
    <row r="21" ht="15" customFormat="1" customHeight="1" s="149">
      <c r="B21" s="176" t="inlineStr">
        <is>
          <t>Сметная прибыль, %</t>
        </is>
      </c>
      <c r="C21" s="61">
        <f>C20/(C11+C15)</f>
        <v/>
      </c>
      <c r="D21" s="59" t="n"/>
      <c r="E21" s="60" t="n"/>
    </row>
    <row r="22" ht="15" customFormat="1" customHeight="1" s="149">
      <c r="B22" s="176" t="inlineStr">
        <is>
          <t>Накладные расходы, руб.</t>
        </is>
      </c>
      <c r="C22" s="115">
        <f>'Прил.5 Расчет СМР и ОБ'!J88</f>
        <v/>
      </c>
      <c r="D22" s="59">
        <f>C22/C24</f>
        <v/>
      </c>
      <c r="E22" s="59">
        <f>C22/C40</f>
        <v/>
      </c>
    </row>
    <row r="23" ht="15" customFormat="1" customHeight="1" s="149">
      <c r="B23" s="176" t="inlineStr">
        <is>
          <t>Накладные расходы, %</t>
        </is>
      </c>
      <c r="C23" s="61">
        <f>C22/(C11+C15)</f>
        <v/>
      </c>
      <c r="D23" s="59" t="n"/>
      <c r="E23" s="60" t="n"/>
    </row>
    <row r="24" ht="15" customFormat="1" customHeight="1" s="149">
      <c r="B24" s="176" t="inlineStr">
        <is>
          <t>ВСЕГО СМР с НР и СП</t>
        </is>
      </c>
      <c r="C24" s="115">
        <f>C19+C20+C22</f>
        <v/>
      </c>
      <c r="D24" s="59">
        <f>C24/C24</f>
        <v/>
      </c>
      <c r="E24" s="59">
        <f>C24/C40</f>
        <v/>
      </c>
    </row>
    <row r="25" ht="31.15" customFormat="1" customHeight="1" s="149">
      <c r="B25" s="176" t="inlineStr">
        <is>
          <t>ВСЕГО стоимость оборудования, в том числе</t>
        </is>
      </c>
      <c r="C25" s="115" t="n"/>
      <c r="D25" s="59" t="n"/>
      <c r="E25" s="59">
        <f>C25/C40</f>
        <v/>
      </c>
    </row>
    <row r="26" ht="31.15" customFormat="1" customHeight="1" s="149">
      <c r="B26" s="176" t="inlineStr">
        <is>
          <t>стоимость оборудования технологического</t>
        </is>
      </c>
      <c r="C26" s="115">
        <f>C25</f>
        <v/>
      </c>
      <c r="D26" s="59" t="n"/>
      <c r="E26" s="59">
        <f>C26/C40</f>
        <v/>
      </c>
    </row>
    <row r="27" ht="15" customFormat="1" customHeight="1" s="149">
      <c r="B27" s="176" t="inlineStr">
        <is>
          <t>ИТОГО (СМР + ОБОРУДОВАНИЕ)</t>
        </is>
      </c>
      <c r="C27" s="62">
        <f>C24+C25</f>
        <v/>
      </c>
      <c r="D27" s="59" t="n"/>
      <c r="E27" s="59">
        <f>C27/C40</f>
        <v/>
      </c>
    </row>
    <row r="28" ht="33" customFormat="1" customHeight="1" s="149">
      <c r="B28" s="176" t="inlineStr">
        <is>
          <t>ПРОЧ. ЗАТР., УЧТЕННЫЕ ПОКАЗАТЕЛЕМ,  в том числе</t>
        </is>
      </c>
      <c r="C28" s="176" t="n"/>
      <c r="D28" s="60" t="n"/>
      <c r="E28" s="60" t="n"/>
    </row>
    <row r="29" ht="31.15" customFormat="1" customHeight="1" s="149">
      <c r="B29" s="176" t="inlineStr">
        <is>
          <t>Временные здания и сооружения - 2,5%</t>
        </is>
      </c>
      <c r="C29" s="62">
        <f>ROUND(C24*0.025,2)</f>
        <v/>
      </c>
      <c r="D29" s="60" t="n"/>
      <c r="E29" s="59">
        <f>C29/C40</f>
        <v/>
      </c>
    </row>
    <row r="30" ht="62.45" customFormat="1" customHeight="1" s="149">
      <c r="B30" s="176" t="inlineStr">
        <is>
          <t>Дополнительные затраты при производстве строительно-монтажных работ в зимнее время - 1,9%</t>
        </is>
      </c>
      <c r="C30" s="62">
        <f>ROUND((C24+C29)*0.019,2)</f>
        <v/>
      </c>
      <c r="D30" s="60" t="n"/>
      <c r="E30" s="59">
        <f>C30/C40</f>
        <v/>
      </c>
    </row>
    <row r="31" ht="15.6" customFormat="1" customHeight="1" s="149">
      <c r="B31" s="176" t="inlineStr">
        <is>
          <t>Пусконаладочные работы</t>
        </is>
      </c>
      <c r="C31" s="62">
        <f>ROUND(C25*80%*7%,2)</f>
        <v/>
      </c>
      <c r="D31" s="60" t="n"/>
      <c r="E31" s="59">
        <f>C31/C40</f>
        <v/>
      </c>
    </row>
    <row r="32" ht="31.15" customFormat="1" customHeight="1" s="149">
      <c r="B32" s="176" t="inlineStr">
        <is>
          <t>Затраты по перевозке работников к месту работы и обратно</t>
        </is>
      </c>
      <c r="C32" s="62" t="n">
        <v>0</v>
      </c>
      <c r="D32" s="60" t="n"/>
      <c r="E32" s="59">
        <f>C32/C40</f>
        <v/>
      </c>
    </row>
    <row r="33" ht="46.9" customFormat="1" customHeight="1" s="149">
      <c r="B33" s="176" t="inlineStr">
        <is>
          <t>Затраты, связанные с осуществлением работ вахтовым методом</t>
        </is>
      </c>
      <c r="C33" s="62" t="n">
        <v>0</v>
      </c>
      <c r="D33" s="60" t="n"/>
      <c r="E33" s="59">
        <f>C33/C40</f>
        <v/>
      </c>
    </row>
    <row r="34" ht="62.45" customFormat="1" customHeight="1" s="149">
      <c r="B34" s="176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62" t="n">
        <v>0</v>
      </c>
      <c r="D34" s="60" t="n"/>
      <c r="E34" s="59">
        <f>C34/C40</f>
        <v/>
      </c>
    </row>
    <row r="35" ht="93.59999999999999" customFormat="1" customHeight="1" s="149">
      <c r="B35" s="176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62" t="n">
        <v>0</v>
      </c>
      <c r="D35" s="60" t="n"/>
      <c r="E35" s="59">
        <f>C35/C40</f>
        <v/>
      </c>
    </row>
    <row r="36" ht="46.9" customFormat="1" customHeight="1" s="149">
      <c r="B36" s="63" t="inlineStr">
        <is>
          <t>Строительный контроль и содержание службы заказчика - 2,14%</t>
        </is>
      </c>
      <c r="C36" s="64">
        <f>ROUND((C27+C29+C31+C30)*0.0214,2)</f>
        <v/>
      </c>
      <c r="D36" s="65" t="n"/>
      <c r="E36" s="66">
        <f>C36/C40</f>
        <v/>
      </c>
      <c r="K36" s="67" t="n"/>
    </row>
    <row r="37" ht="15.6" customFormat="1" customHeight="1" s="149">
      <c r="B37" s="171" t="inlineStr">
        <is>
          <t>Авторский надзор - 0,2%</t>
        </is>
      </c>
      <c r="C37" s="171">
        <f>ROUND((C27+C29+C30+C31)*0.002,2)</f>
        <v/>
      </c>
      <c r="D37" s="69" t="n"/>
      <c r="E37" s="69">
        <f>C37/C40</f>
        <v/>
      </c>
    </row>
    <row r="38" ht="62.45" customFormat="1" customHeight="1" s="149">
      <c r="B38" s="70" t="inlineStr">
        <is>
          <t>ИТОГО (СМР+ОБОРУДОВАНИЕ+ПРОЧ. ЗАТР., УЧТЕННЫЕ ПОКАЗАТЕЛЕМ)</t>
        </is>
      </c>
      <c r="C38" s="71">
        <f>C27+C29+C30+C31+C36+C37</f>
        <v/>
      </c>
      <c r="D38" s="72" t="n"/>
      <c r="E38" s="73">
        <f>C38/C40</f>
        <v/>
      </c>
    </row>
    <row r="39" ht="15.6" customFormat="1" customHeight="1" s="149">
      <c r="B39" s="176" t="inlineStr">
        <is>
          <t>Непредвиденные расходы</t>
        </is>
      </c>
      <c r="C39" s="115">
        <f>ROUND(C38*0.03,2)</f>
        <v/>
      </c>
      <c r="D39" s="60" t="n"/>
      <c r="E39" s="59">
        <f>C39/C40</f>
        <v/>
      </c>
    </row>
    <row r="40" ht="15.6" customFormat="1" customHeight="1" s="149">
      <c r="B40" s="176" t="inlineStr">
        <is>
          <t>ВСЕГО:</t>
        </is>
      </c>
      <c r="C40" s="115">
        <f>C39+C38</f>
        <v/>
      </c>
      <c r="D40" s="60" t="n"/>
      <c r="E40" s="59">
        <f>C40/C40</f>
        <v/>
      </c>
    </row>
    <row r="41" ht="31.15" customFormat="1" customHeight="1" s="149">
      <c r="B41" s="176" t="inlineStr">
        <is>
          <t>ИТОГО ПОКАЗАТЕЛЬ НА ЕД. ИЗМ.</t>
        </is>
      </c>
      <c r="C41" s="115">
        <f>C40/'Прил.5 Расчет СМР и ОБ'!E92</f>
        <v/>
      </c>
      <c r="D41" s="60" t="n"/>
      <c r="E41" s="60" t="n"/>
    </row>
    <row r="42" ht="15.6" customFormat="1" customHeight="1" s="149">
      <c r="B42" s="149" t="n"/>
      <c r="C42" s="149" t="n"/>
      <c r="D42" s="149" t="n"/>
    </row>
    <row r="43" ht="15.6" customFormat="1" customHeight="1" s="149">
      <c r="B43" s="149" t="inlineStr">
        <is>
          <t>Составил ______________________        М.С. Колотиевская</t>
        </is>
      </c>
      <c r="C43" s="149" t="n"/>
      <c r="D43" s="149" t="n"/>
    </row>
    <row r="44" ht="15.6" customFormat="1" customHeight="1" s="149">
      <c r="B44" s="74" t="inlineStr">
        <is>
          <t xml:space="preserve">                         (подпись, инициалы, фамилия)</t>
        </is>
      </c>
      <c r="C44" s="149" t="n"/>
      <c r="D44" s="149" t="n"/>
    </row>
    <row r="45" ht="15.6" customFormat="1" customHeight="1" s="149">
      <c r="B45" s="149" t="n"/>
      <c r="C45" s="149" t="n"/>
      <c r="D45" s="149" t="n"/>
    </row>
    <row r="46" ht="15.6" customFormat="1" customHeight="1" s="149">
      <c r="B46" s="149" t="inlineStr">
        <is>
          <t>Проверил ______________________      А.В. Костянецкая</t>
        </is>
      </c>
      <c r="C46" s="149" t="n"/>
      <c r="D46" s="149" t="n"/>
    </row>
    <row r="47" ht="15.6" customFormat="1" customHeight="1" s="149">
      <c r="B47" s="74" t="inlineStr">
        <is>
          <t xml:space="preserve">                        (подпись, инициалы, фамилия)</t>
        </is>
      </c>
      <c r="C47" s="149" t="n"/>
      <c r="D47" s="149" t="n"/>
    </row>
    <row r="48" ht="15.6" customFormat="1" customHeight="1" s="149"/>
  </sheetData>
  <mergeCells count="3">
    <mergeCell ref="B5:E5"/>
    <mergeCell ref="B8:E8"/>
    <mergeCell ref="D7:E7"/>
  </mergeCells>
  <pageMargins left="0.7" right="0.7" top="0.75" bottom="0.75" header="0.3" footer="0.3"/>
  <pageSetup orientation="portrait" paperSize="9" scale="66" cellComments="atEnd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L99"/>
  <sheetViews>
    <sheetView tabSelected="1" view="pageBreakPreview" zoomScale="55" zoomScaleNormal="85" zoomScaleSheetLayoutView="55" workbookViewId="0">
      <selection activeCell="AA41" sqref="AA40:AA41"/>
    </sheetView>
  </sheetViews>
  <sheetFormatPr baseColWidth="8" defaultColWidth="9.140625" defaultRowHeight="15" outlineLevelRow="1"/>
  <cols>
    <col width="5.7109375" customWidth="1" style="93" min="1" max="1"/>
    <col width="22.5703125" customWidth="1" style="93" min="2" max="2"/>
    <col width="39.140625" customWidth="1" style="93" min="3" max="3"/>
    <col width="10.7109375" customWidth="1" style="93" min="4" max="4"/>
    <col width="12.7109375" customWidth="1" style="93" min="5" max="5"/>
    <col width="14.5703125" customWidth="1" style="93" min="6" max="6"/>
    <col width="13.42578125" customWidth="1" style="93" min="7" max="7"/>
    <col width="12.7109375" customWidth="1" style="93" min="8" max="8"/>
    <col width="14.5703125" customWidth="1" style="93" min="9" max="9"/>
    <col width="15.140625" customWidth="1" style="93" min="10" max="10"/>
    <col width="22.42578125" customWidth="1" style="93" min="11" max="11"/>
    <col width="16.28515625" customWidth="1" style="93" min="12" max="12"/>
    <col width="10.85546875" customWidth="1" style="93" min="13" max="13"/>
    <col width="9.140625" customWidth="1" style="93" min="14" max="14"/>
    <col width="9.140625" customWidth="1" style="118" min="15" max="15"/>
  </cols>
  <sheetData>
    <row r="1">
      <c r="A1" s="55" t="n"/>
    </row>
    <row r="2" ht="15.6" customHeight="1" s="118">
      <c r="A2" s="149" t="n"/>
      <c r="B2" s="149" t="n"/>
      <c r="C2" s="149" t="n"/>
      <c r="D2" s="149" t="n"/>
      <c r="E2" s="149" t="n"/>
      <c r="F2" s="149" t="n"/>
      <c r="G2" s="149" t="n"/>
      <c r="H2" s="173" t="inlineStr">
        <is>
          <t>Приложение №5</t>
        </is>
      </c>
    </row>
    <row r="3" ht="15.6" customHeight="1" s="118">
      <c r="A3" s="149" t="n"/>
      <c r="B3" s="149" t="n"/>
      <c r="C3" s="149" t="n"/>
      <c r="D3" s="149" t="n"/>
      <c r="E3" s="149" t="n"/>
      <c r="F3" s="149" t="n"/>
      <c r="G3" s="149" t="n"/>
      <c r="H3" s="149" t="n"/>
      <c r="I3" s="149" t="n"/>
      <c r="J3" s="149" t="n"/>
    </row>
    <row r="4" ht="15.6" customFormat="1" customHeight="1" s="55">
      <c r="A4" s="161" t="inlineStr">
        <is>
          <t>Расчет стоимости СМР и оборудования</t>
        </is>
      </c>
      <c r="I4" s="161" t="n"/>
      <c r="J4" s="161" t="n"/>
    </row>
    <row r="5" ht="15.6" customFormat="1" customHeight="1" s="55">
      <c r="A5" s="161" t="n"/>
      <c r="B5" s="161" t="n"/>
      <c r="C5" s="161" t="n"/>
      <c r="D5" s="161" t="n"/>
      <c r="E5" s="161" t="n"/>
      <c r="F5" s="161" t="n"/>
      <c r="G5" s="161" t="n"/>
      <c r="H5" s="161" t="n"/>
      <c r="I5" s="161" t="n"/>
      <c r="J5" s="161" t="n"/>
    </row>
    <row r="6" ht="15.6" customHeight="1" s="118">
      <c r="B6" s="74" t="inlineStr">
        <is>
          <t xml:space="preserve">Наименование разрабатываемой расценки УНЦ —  </t>
        </is>
      </c>
      <c r="C6" s="74" t="n"/>
      <c r="D6" s="74" t="inlineStr">
        <is>
          <t>Н2-03 БРТМ Каб.каналы Без ПИР</t>
        </is>
      </c>
      <c r="E6" s="74" t="n"/>
    </row>
    <row r="7" ht="15.6" customFormat="1" customHeight="1" s="55">
      <c r="A7" s="174" t="inlineStr">
        <is>
          <t xml:space="preserve">Единица измерения  — </t>
        </is>
      </c>
      <c r="I7" s="175" t="n"/>
      <c r="J7" s="175" t="n"/>
    </row>
    <row r="8" ht="15.6" customFormat="1" customHeight="1" s="55">
      <c r="A8" s="149" t="n"/>
      <c r="B8" s="149" t="n"/>
      <c r="C8" s="149" t="n"/>
      <c r="D8" s="149" t="n"/>
      <c r="E8" s="149" t="n"/>
      <c r="F8" s="149" t="n"/>
      <c r="G8" s="149" t="n"/>
      <c r="H8" s="149" t="n"/>
      <c r="I8" s="149" t="n"/>
      <c r="J8" s="149" t="n"/>
    </row>
    <row r="9" ht="27" customFormat="1" customHeight="1" s="149">
      <c r="A9" s="176" t="inlineStr">
        <is>
          <t>№ пп.</t>
        </is>
      </c>
      <c r="B9" s="162" t="inlineStr">
        <is>
          <t>Код ресурса</t>
        </is>
      </c>
      <c r="C9" s="162" t="inlineStr">
        <is>
          <t>Наименование</t>
        </is>
      </c>
      <c r="D9" s="162" t="inlineStr">
        <is>
          <t>Ед. изм.</t>
        </is>
      </c>
      <c r="E9" s="162" t="inlineStr">
        <is>
          <t>Кол-во единиц по проектным данным</t>
        </is>
      </c>
      <c r="F9" s="162" t="inlineStr">
        <is>
          <t>Сметная стоимость в ценах на 01.01.2000 (руб.)</t>
        </is>
      </c>
      <c r="G9" s="194" t="n"/>
      <c r="H9" s="162" t="inlineStr">
        <is>
          <t>Удельный вес, %</t>
        </is>
      </c>
      <c r="I9" s="162" t="inlineStr">
        <is>
          <t>Сметная стоимость в ценах на 01.01.2023 (руб.)</t>
        </is>
      </c>
      <c r="J9" s="194" t="n"/>
      <c r="K9" s="41" t="n"/>
    </row>
    <row r="10" ht="28.5" customFormat="1" customHeight="1" s="149">
      <c r="A10" s="196" t="n"/>
      <c r="B10" s="196" t="n"/>
      <c r="C10" s="196" t="n"/>
      <c r="D10" s="196" t="n"/>
      <c r="E10" s="196" t="n"/>
      <c r="F10" s="162" t="inlineStr">
        <is>
          <t>на ед. изм.</t>
        </is>
      </c>
      <c r="G10" s="162" t="inlineStr">
        <is>
          <t>общая</t>
        </is>
      </c>
      <c r="H10" s="196" t="n"/>
      <c r="I10" s="162" t="inlineStr">
        <is>
          <t>на ед. изм.</t>
        </is>
      </c>
      <c r="J10" s="162" t="inlineStr">
        <is>
          <t>общая</t>
        </is>
      </c>
    </row>
    <row r="11" ht="15.6" customFormat="1" customHeight="1" s="149">
      <c r="A11" s="176" t="n">
        <v>1</v>
      </c>
      <c r="B11" s="162" t="n">
        <v>2</v>
      </c>
      <c r="C11" s="162" t="n">
        <v>3</v>
      </c>
      <c r="D11" s="162" t="n">
        <v>4</v>
      </c>
      <c r="E11" s="162" t="n">
        <v>5</v>
      </c>
      <c r="F11" s="162" t="n">
        <v>6</v>
      </c>
      <c r="G11" s="162" t="n">
        <v>7</v>
      </c>
      <c r="H11" s="162" t="n">
        <v>8</v>
      </c>
      <c r="I11" s="162" t="n">
        <v>9</v>
      </c>
      <c r="J11" s="162" t="n">
        <v>10</v>
      </c>
    </row>
    <row r="12" ht="15.6" customFormat="1" customHeight="1" s="149">
      <c r="A12" s="171" t="n"/>
      <c r="B12" s="169" t="inlineStr">
        <is>
          <t>Затраты труда рабочих-строителей</t>
        </is>
      </c>
      <c r="C12" s="193" t="n"/>
      <c r="D12" s="193" t="n"/>
      <c r="E12" s="193" t="n"/>
      <c r="F12" s="193" t="n"/>
      <c r="G12" s="193" t="n"/>
      <c r="H12" s="194" t="n"/>
      <c r="I12" s="171" t="n"/>
      <c r="J12" s="171" t="n"/>
    </row>
    <row r="13" ht="31.15" customFormat="1" customHeight="1" s="149">
      <c r="A13" s="166" t="n">
        <v>1</v>
      </c>
      <c r="B13" s="166" t="inlineStr">
        <is>
          <t>1-100-35</t>
        </is>
      </c>
      <c r="C13" s="165" t="inlineStr">
        <is>
          <t>Затраты труда рабочих (Средний разряд работы 3,5)</t>
        </is>
      </c>
      <c r="D13" s="166" t="inlineStr">
        <is>
          <t>чел.-ч</t>
        </is>
      </c>
      <c r="E13" s="166">
        <f>Прил.3!F12</f>
        <v/>
      </c>
      <c r="F13" s="172">
        <f>G13/E13</f>
        <v/>
      </c>
      <c r="G13" s="172">
        <f>Прил.3!H12</f>
        <v/>
      </c>
      <c r="H13" s="25">
        <f>G13/G14</f>
        <v/>
      </c>
      <c r="I13" s="172">
        <f>ФОТр.тек.!E13</f>
        <v/>
      </c>
      <c r="J13" s="172">
        <f>ROUND(I13*E13,2)</f>
        <v/>
      </c>
    </row>
    <row r="14" ht="31.15" customFormat="1" customHeight="1" s="149">
      <c r="A14" s="166" t="n"/>
      <c r="B14" s="166" t="n"/>
      <c r="C14" s="165" t="inlineStr">
        <is>
          <t>Итого по разделу "Затраты труда рабочих-строителей"</t>
        </is>
      </c>
      <c r="D14" s="166" t="inlineStr">
        <is>
          <t>чел.-ч</t>
        </is>
      </c>
      <c r="E14" s="166">
        <f>SUM(E13:E13)</f>
        <v/>
      </c>
      <c r="F14" s="172" t="n"/>
      <c r="G14" s="172">
        <f>SUM(G13:G13)</f>
        <v/>
      </c>
      <c r="H14" s="25" t="n">
        <v>1</v>
      </c>
      <c r="I14" s="172" t="n"/>
      <c r="J14" s="172">
        <f>SUM(J13:J13)</f>
        <v/>
      </c>
    </row>
    <row r="15" ht="15.6" customFormat="1" customHeight="1" s="149">
      <c r="A15" s="166" t="n"/>
      <c r="B15" s="166" t="inlineStr">
        <is>
          <t>Затраты труда машинистов</t>
        </is>
      </c>
      <c r="C15" s="193" t="n"/>
      <c r="D15" s="193" t="n"/>
      <c r="E15" s="193" t="n"/>
      <c r="F15" s="193" t="n"/>
      <c r="G15" s="193" t="n"/>
      <c r="H15" s="194" t="n"/>
      <c r="I15" s="172" t="n"/>
      <c r="J15" s="172" t="n"/>
    </row>
    <row r="16" ht="15.6" customFormat="1" customHeight="1" s="149">
      <c r="A16" s="166" t="n">
        <v>2</v>
      </c>
      <c r="B16" s="166" t="n">
        <v>2</v>
      </c>
      <c r="C16" s="165" t="inlineStr">
        <is>
          <t>Затраты труда машинистов</t>
        </is>
      </c>
      <c r="D16" s="166" t="inlineStr">
        <is>
          <t>чел.-ч</t>
        </is>
      </c>
      <c r="E16" s="166" t="n">
        <v>107.161023</v>
      </c>
      <c r="F16" s="172" t="n">
        <v>13.47</v>
      </c>
      <c r="G16" s="172">
        <f>ROUND(F16*E16,2)</f>
        <v/>
      </c>
      <c r="H16" s="25" t="n">
        <v>1</v>
      </c>
      <c r="I16" s="172">
        <f>ROUND(F16*Прил.10!$D$10,2)</f>
        <v/>
      </c>
      <c r="J16" s="172">
        <f>ROUND(I16*E16,2)</f>
        <v/>
      </c>
    </row>
    <row r="17" ht="15.6" customFormat="1" customHeight="1" s="149">
      <c r="A17" s="166" t="n"/>
      <c r="B17" s="164" t="inlineStr">
        <is>
          <t>Машины и механизмы</t>
        </is>
      </c>
      <c r="C17" s="193" t="n"/>
      <c r="D17" s="193" t="n"/>
      <c r="E17" s="193" t="n"/>
      <c r="F17" s="193" t="n"/>
      <c r="G17" s="193" t="n"/>
      <c r="H17" s="194" t="n"/>
      <c r="I17" s="172" t="n"/>
      <c r="J17" s="172" t="n"/>
    </row>
    <row r="18" ht="15.6" customFormat="1" customHeight="1" s="149">
      <c r="A18" s="166" t="n"/>
      <c r="B18" s="166" t="inlineStr">
        <is>
          <t>Основные Машины и механизмы</t>
        </is>
      </c>
      <c r="C18" s="193" t="n"/>
      <c r="D18" s="193" t="n"/>
      <c r="E18" s="193" t="n"/>
      <c r="F18" s="193" t="n"/>
      <c r="G18" s="193" t="n"/>
      <c r="H18" s="194" t="n"/>
      <c r="I18" s="172" t="n"/>
      <c r="J18" s="172" t="n"/>
    </row>
    <row r="19" ht="31.15" customFormat="1" customHeight="1" s="149">
      <c r="A19" s="166" t="n">
        <v>3</v>
      </c>
      <c r="B19" s="177" t="inlineStr">
        <is>
          <t>91.05.06-012</t>
        </is>
      </c>
      <c r="C19" s="187" t="inlineStr">
        <is>
          <t>Краны на гусеничном ходу, грузоподъемность до 16 т</t>
        </is>
      </c>
      <c r="D19" s="190" t="inlineStr">
        <is>
          <t>маш.час</t>
        </is>
      </c>
      <c r="E19" s="188" t="n">
        <v>71.54528000000001</v>
      </c>
      <c r="F19" s="29" t="n">
        <v>96.89</v>
      </c>
      <c r="G19" s="172">
        <f>ROUND(F19*E19,2)</f>
        <v/>
      </c>
      <c r="H19" s="25">
        <f>G19/G36</f>
        <v/>
      </c>
      <c r="I19" s="172">
        <f>ROUND(F19*Прил.10!$D$11,2)</f>
        <v/>
      </c>
      <c r="J19" s="172">
        <f>ROUND(I19*E19,2)</f>
        <v/>
      </c>
    </row>
    <row r="20" ht="15.6" customFormat="1" customHeight="1" s="149">
      <c r="A20" s="166" t="n">
        <v>4</v>
      </c>
      <c r="B20" s="177" t="inlineStr">
        <is>
          <t>91.08.04-021</t>
        </is>
      </c>
      <c r="C20" s="187" t="inlineStr">
        <is>
          <t>Котлы битумные передвижные 400 л</t>
        </is>
      </c>
      <c r="D20" s="190" t="inlineStr">
        <is>
          <t>маш.час</t>
        </is>
      </c>
      <c r="E20" s="188" t="n">
        <v>60.13571</v>
      </c>
      <c r="F20" s="29" t="n">
        <v>30</v>
      </c>
      <c r="G20" s="172">
        <f>ROUND(F20*E20,2)</f>
        <v/>
      </c>
      <c r="H20" s="25">
        <f>G20/G36</f>
        <v/>
      </c>
      <c r="I20" s="172">
        <f>ROUND(F20*Прил.10!$D$11,2)</f>
        <v/>
      </c>
      <c r="J20" s="172">
        <f>ROUND(I20*E20,2)</f>
        <v/>
      </c>
    </row>
    <row r="21" ht="46.9" customFormat="1" customHeight="1" s="149">
      <c r="A21" s="166" t="n">
        <v>5</v>
      </c>
      <c r="B21" s="177" t="inlineStr">
        <is>
          <t>91.01.05-086</t>
        </is>
      </c>
      <c r="C21" s="187" t="inlineStr">
        <is>
          <t>Экскаваторы одноковшовые дизельные на гусеничном ходу, емкость ковша 0,65 м3</t>
        </is>
      </c>
      <c r="D21" s="190" t="inlineStr">
        <is>
          <t>маш.час</t>
        </is>
      </c>
      <c r="E21" s="188" t="n">
        <v>12.985</v>
      </c>
      <c r="F21" s="29" t="n">
        <v>115.27</v>
      </c>
      <c r="G21" s="172">
        <f>ROUND(F21*E21,2)</f>
        <v/>
      </c>
      <c r="H21" s="25">
        <f>G21/G36</f>
        <v/>
      </c>
      <c r="I21" s="172">
        <f>ROUND(F21*Прил.10!$D$11,2)</f>
        <v/>
      </c>
      <c r="J21" s="172">
        <f>ROUND(I21*E21,2)</f>
        <v/>
      </c>
    </row>
    <row r="22" ht="31.15" customFormat="1" customHeight="1" s="149">
      <c r="A22" s="166" t="n">
        <v>6</v>
      </c>
      <c r="B22" s="177" t="inlineStr">
        <is>
          <t>91.14.02-001</t>
        </is>
      </c>
      <c r="C22" s="187" t="inlineStr">
        <is>
          <t>Автомобили бортовые, грузоподъемность до 5 т</t>
        </is>
      </c>
      <c r="D22" s="190" t="inlineStr">
        <is>
          <t>маш.час</t>
        </is>
      </c>
      <c r="E22" s="188" t="n">
        <v>10.7194958</v>
      </c>
      <c r="F22" s="29" t="n">
        <v>65.70999999999999</v>
      </c>
      <c r="G22" s="172">
        <f>ROUND(F22*E22,2)</f>
        <v/>
      </c>
      <c r="H22" s="25">
        <f>G22/G36</f>
        <v/>
      </c>
      <c r="I22" s="172">
        <f>ROUND(F22*Прил.10!$D$11,2)</f>
        <v/>
      </c>
      <c r="J22" s="172">
        <f>ROUND(I22*E22,2)</f>
        <v/>
      </c>
    </row>
    <row r="23" ht="31.15" customFormat="1" customHeight="1" s="149">
      <c r="A23" s="166" t="n">
        <v>7</v>
      </c>
      <c r="B23" s="177" t="inlineStr">
        <is>
          <t>91.17.04-233</t>
        </is>
      </c>
      <c r="C23" s="187" t="inlineStr">
        <is>
          <t>Установки для сварки ручной дуговой (постоянного тока)</t>
        </is>
      </c>
      <c r="D23" s="190" t="inlineStr">
        <is>
          <t>маш.час</t>
        </is>
      </c>
      <c r="E23" s="188" t="n">
        <v>84.19722</v>
      </c>
      <c r="F23" s="29" t="n">
        <v>8.1</v>
      </c>
      <c r="G23" s="172">
        <f>ROUND(F23*E23,2)</f>
        <v/>
      </c>
      <c r="H23" s="25">
        <f>G23/G36</f>
        <v/>
      </c>
      <c r="I23" s="172">
        <f>ROUND(F23*Прил.10!$D$11,2)</f>
        <v/>
      </c>
      <c r="J23" s="172">
        <f>ROUND(I23*E23,2)</f>
        <v/>
      </c>
    </row>
    <row r="24" ht="15.6" customFormat="1" customHeight="1" s="149">
      <c r="A24" s="166" t="n"/>
      <c r="B24" s="177" t="inlineStr">
        <is>
          <t>Итого основные Машины и механизмы</t>
        </is>
      </c>
      <c r="C24" s="193" t="n"/>
      <c r="D24" s="193" t="n"/>
      <c r="E24" s="193" t="n"/>
      <c r="F24" s="194" t="n"/>
      <c r="G24" s="29">
        <f>SUM(G19:G23)</f>
        <v/>
      </c>
      <c r="H24" s="25">
        <f>SUM(H19:H23)</f>
        <v/>
      </c>
      <c r="I24" s="172" t="n"/>
      <c r="J24" s="172">
        <f>SUM(J19:J23)</f>
        <v/>
      </c>
    </row>
    <row r="25" hidden="1" outlineLevel="1" ht="31.15" customFormat="1" customHeight="1" s="149">
      <c r="A25" s="166" t="n">
        <v>8</v>
      </c>
      <c r="B25" s="177" t="inlineStr">
        <is>
          <t>91.05.01-017</t>
        </is>
      </c>
      <c r="C25" s="187" t="inlineStr">
        <is>
          <t>Краны башенные, грузоподъемность 8 т</t>
        </is>
      </c>
      <c r="D25" s="190" t="inlineStr">
        <is>
          <t>маш.час</t>
        </is>
      </c>
      <c r="E25" s="188" t="n">
        <v>4.62494</v>
      </c>
      <c r="F25" s="29" t="n">
        <v>86.40000000000001</v>
      </c>
      <c r="G25" s="172">
        <f>ROUND(F25*E25,2)</f>
        <v/>
      </c>
      <c r="H25" s="25">
        <f>G25/G36</f>
        <v/>
      </c>
      <c r="I25" s="172">
        <f>ROUND(F25*Прил.10!$D$11,2)</f>
        <v/>
      </c>
      <c r="J25" s="172">
        <f>ROUND(I25*E25,2)</f>
        <v/>
      </c>
    </row>
    <row r="26" hidden="1" outlineLevel="1" ht="31.15" customFormat="1" customHeight="1" s="149">
      <c r="A26" s="166" t="n">
        <v>9</v>
      </c>
      <c r="B26" s="177" t="inlineStr">
        <is>
          <t>91.05.05-015</t>
        </is>
      </c>
      <c r="C26" s="187" t="inlineStr">
        <is>
          <t>Краны на автомобильном ходу, грузоподъемность 16 т</t>
        </is>
      </c>
      <c r="D26" s="190" t="inlineStr">
        <is>
          <t>маш.час</t>
        </is>
      </c>
      <c r="E26" s="188" t="n">
        <v>3.2556572</v>
      </c>
      <c r="F26" s="29" t="n">
        <v>115.4</v>
      </c>
      <c r="G26" s="172">
        <f>ROUND(F26*E26,2)</f>
        <v/>
      </c>
      <c r="H26" s="25">
        <f>G26/G36</f>
        <v/>
      </c>
      <c r="I26" s="172">
        <f>ROUND(F26*Прил.10!$D$11,2)</f>
        <v/>
      </c>
      <c r="J26" s="172">
        <f>ROUND(I26*E26,2)</f>
        <v/>
      </c>
    </row>
    <row r="27" hidden="1" outlineLevel="1" ht="62.45" customFormat="1" customHeight="1" s="149">
      <c r="A27" s="166" t="n">
        <v>10</v>
      </c>
      <c r="B27" s="177" t="inlineStr">
        <is>
          <t>91.06.05-057</t>
        </is>
      </c>
      <c r="C27" s="187" t="inlineStr">
        <is>
          <t>Погрузчики одноковшовые универсальные фронтальные пневмоколесные, грузоподъемность 3 т</t>
        </is>
      </c>
      <c r="D27" s="190" t="inlineStr">
        <is>
          <t>маш.час</t>
        </is>
      </c>
      <c r="E27" s="188" t="n">
        <v>3.1304</v>
      </c>
      <c r="F27" s="29" t="n">
        <v>90.40000000000001</v>
      </c>
      <c r="G27" s="172">
        <f>ROUND(F27*E27,2)</f>
        <v/>
      </c>
      <c r="H27" s="25">
        <f>G27/G36</f>
        <v/>
      </c>
      <c r="I27" s="172">
        <f>ROUND(F27*Прил.10!$D$11,2)</f>
        <v/>
      </c>
      <c r="J27" s="172">
        <f>ROUND(I27*E27,2)</f>
        <v/>
      </c>
    </row>
    <row r="28" hidden="1" outlineLevel="1" ht="31.15" customFormat="1" customHeight="1" s="149">
      <c r="A28" s="166" t="n">
        <v>11</v>
      </c>
      <c r="B28" s="177" t="inlineStr">
        <is>
          <t>91.08.09-024</t>
        </is>
      </c>
      <c r="C28" s="187" t="inlineStr">
        <is>
          <t>Трамбовки пневматические при работе от стационарного компрессора</t>
        </is>
      </c>
      <c r="D28" s="190" t="inlineStr">
        <is>
          <t>маш.час</t>
        </is>
      </c>
      <c r="E28" s="188" t="n">
        <v>17.888</v>
      </c>
      <c r="F28" s="29" t="n">
        <v>4.91</v>
      </c>
      <c r="G28" s="172">
        <f>ROUND(F28*E28,2)</f>
        <v/>
      </c>
      <c r="H28" s="25">
        <f>G28/G36</f>
        <v/>
      </c>
      <c r="I28" s="172">
        <f>ROUND(F28*Прил.10!$D$11,2)</f>
        <v/>
      </c>
      <c r="J28" s="172">
        <f>ROUND(I28*E28,2)</f>
        <v/>
      </c>
    </row>
    <row r="29" hidden="1" outlineLevel="1" ht="15.6" customFormat="1" customHeight="1" s="149">
      <c r="A29" s="166" t="n">
        <v>12</v>
      </c>
      <c r="B29" s="177" t="inlineStr">
        <is>
          <t>91.06.05-011</t>
        </is>
      </c>
      <c r="C29" s="187" t="inlineStr">
        <is>
          <t>Погрузчики, грузоподъемность 5 т</t>
        </is>
      </c>
      <c r="D29" s="190" t="inlineStr">
        <is>
          <t>маш.час</t>
        </is>
      </c>
      <c r="E29" s="188" t="n">
        <v>0.90025</v>
      </c>
      <c r="F29" s="29" t="n">
        <v>89.98999999999999</v>
      </c>
      <c r="G29" s="172">
        <f>ROUND(F29*E29,2)</f>
        <v/>
      </c>
      <c r="H29" s="25">
        <f>G29/G36</f>
        <v/>
      </c>
      <c r="I29" s="172">
        <f>ROUND(F29*Прил.10!$D$11,2)</f>
        <v/>
      </c>
      <c r="J29" s="172">
        <f>ROUND(I29*E29,2)</f>
        <v/>
      </c>
    </row>
    <row r="30" hidden="1" outlineLevel="1" ht="46.9" customFormat="1" customHeight="1" s="149">
      <c r="A30" s="166" t="n">
        <v>13</v>
      </c>
      <c r="B30" s="177" t="inlineStr">
        <is>
          <t>91.18.01-508</t>
        </is>
      </c>
      <c r="C30" s="187" t="inlineStr">
        <is>
          <t>Компрессоры передвижные с электродвигателем, производительность до 5,0 м3/мин</t>
        </is>
      </c>
      <c r="D30" s="190" t="inlineStr">
        <is>
          <t>маш.час</t>
        </is>
      </c>
      <c r="E30" s="188" t="n">
        <v>1.5546</v>
      </c>
      <c r="F30" s="29" t="n">
        <v>48.81</v>
      </c>
      <c r="G30" s="172">
        <f>ROUND(F30*E30,2)</f>
        <v/>
      </c>
      <c r="H30" s="25">
        <f>G30/G36</f>
        <v/>
      </c>
      <c r="I30" s="172">
        <f>ROUND(F30*Прил.10!$D$11,2)</f>
        <v/>
      </c>
      <c r="J30" s="172">
        <f>ROUND(I30*E30,2)</f>
        <v/>
      </c>
    </row>
    <row r="31" hidden="1" outlineLevel="1" ht="15.6" customFormat="1" customHeight="1" s="149">
      <c r="A31" s="166" t="n">
        <v>14</v>
      </c>
      <c r="B31" s="177" t="inlineStr">
        <is>
          <t>91.07.04-001</t>
        </is>
      </c>
      <c r="C31" s="187" t="inlineStr">
        <is>
          <t>Вибраторы глубинные</t>
        </is>
      </c>
      <c r="D31" s="190" t="inlineStr">
        <is>
          <t>маш.час</t>
        </is>
      </c>
      <c r="E31" s="188" t="n">
        <v>10.321</v>
      </c>
      <c r="F31" s="29" t="n">
        <v>1.9</v>
      </c>
      <c r="G31" s="172">
        <f>ROUND(F31*E31,2)</f>
        <v/>
      </c>
      <c r="H31" s="25">
        <f>G31/G36</f>
        <v/>
      </c>
      <c r="I31" s="172">
        <f>ROUND(F31*Прил.10!$D$11,2)</f>
        <v/>
      </c>
      <c r="J31" s="172">
        <f>ROUND(I31*E31,2)</f>
        <v/>
      </c>
    </row>
    <row r="32" hidden="1" outlineLevel="1" ht="46.9" customFormat="1" customHeight="1" s="149">
      <c r="A32" s="166" t="n">
        <v>15</v>
      </c>
      <c r="B32" s="177" t="inlineStr">
        <is>
          <t>91.21.10-003</t>
        </is>
      </c>
      <c r="C32" s="187" t="inlineStr">
        <is>
          <t>Молотки при работе от передвижных компрессорных станций отбойные пневматические</t>
        </is>
      </c>
      <c r="D32" s="190" t="inlineStr">
        <is>
          <t>маш.час</t>
        </is>
      </c>
      <c r="E32" s="188" t="n">
        <v>0.9651999999999999</v>
      </c>
      <c r="F32" s="29" t="n">
        <v>1.53</v>
      </c>
      <c r="G32" s="172">
        <f>ROUND(F32*E32,2)</f>
        <v/>
      </c>
      <c r="H32" s="25">
        <f>G32/G36</f>
        <v/>
      </c>
      <c r="I32" s="172">
        <f>ROUND(F32*Прил.10!$D$11,2)</f>
        <v/>
      </c>
      <c r="J32" s="172">
        <f>ROUND(I32*E32,2)</f>
        <v/>
      </c>
    </row>
    <row r="33" hidden="1" outlineLevel="1" ht="46.9" customFormat="1" customHeight="1" s="149">
      <c r="A33" s="166" t="n">
        <v>16</v>
      </c>
      <c r="B33" s="177" t="inlineStr">
        <is>
          <t>91.08.09-023</t>
        </is>
      </c>
      <c r="C33" s="187" t="inlineStr">
        <is>
          <t>Трамбовки пневматические при работе от передвижных компрессорных станций</t>
        </is>
      </c>
      <c r="D33" s="190" t="inlineStr">
        <is>
          <t>маш.час</t>
        </is>
      </c>
      <c r="E33" s="188" t="n">
        <v>1.072</v>
      </c>
      <c r="F33" s="29" t="n">
        <v>0.55</v>
      </c>
      <c r="G33" s="172">
        <f>ROUND(F33*E33,2)</f>
        <v/>
      </c>
      <c r="H33" s="25">
        <f>G33/G36</f>
        <v/>
      </c>
      <c r="I33" s="172">
        <f>ROUND(F33*Прил.10!$D$11,2)</f>
        <v/>
      </c>
      <c r="J33" s="172">
        <f>ROUND(I33*E33,2)</f>
        <v/>
      </c>
    </row>
    <row r="34" hidden="1" outlineLevel="1" ht="15.6" customFormat="1" customHeight="1" s="149">
      <c r="A34" s="166" t="n">
        <v>17</v>
      </c>
      <c r="B34" s="177" t="inlineStr">
        <is>
          <t>91.07.04-002</t>
        </is>
      </c>
      <c r="C34" s="187" t="inlineStr">
        <is>
          <t>Вибраторы поверхностные</t>
        </is>
      </c>
      <c r="D34" s="190" t="inlineStr">
        <is>
          <t>маш.час</t>
        </is>
      </c>
      <c r="E34" s="188" t="n">
        <v>0.2965</v>
      </c>
      <c r="F34" s="29" t="n">
        <v>0.5</v>
      </c>
      <c r="G34" s="172">
        <f>ROUND(F34*E34,2)</f>
        <v/>
      </c>
      <c r="H34" s="25">
        <f>G34/G36</f>
        <v/>
      </c>
      <c r="I34" s="172">
        <f>ROUND(F34*Прил.10!$D$11,2)</f>
        <v/>
      </c>
      <c r="J34" s="172">
        <f>ROUND(I34*E34,2)</f>
        <v/>
      </c>
    </row>
    <row r="35" collapsed="1" ht="15.6" customFormat="1" customHeight="1" s="149">
      <c r="A35" s="166" t="n"/>
      <c r="B35" s="166" t="inlineStr">
        <is>
          <t>Итого прочие Машины и механизмы</t>
        </is>
      </c>
      <c r="C35" s="193" t="n"/>
      <c r="D35" s="193" t="n"/>
      <c r="E35" s="193" t="n"/>
      <c r="F35" s="194" t="n"/>
      <c r="G35" s="172">
        <f>SUM(G25:G34)</f>
        <v/>
      </c>
      <c r="H35" s="25">
        <f>SUM(H25:H34)</f>
        <v/>
      </c>
      <c r="I35" s="172" t="n"/>
      <c r="J35" s="172">
        <f>SUM(J25:J34)</f>
        <v/>
      </c>
    </row>
    <row r="36" ht="15.6" customFormat="1" customHeight="1" s="149">
      <c r="A36" s="166" t="n"/>
      <c r="B36" s="166" t="inlineStr">
        <is>
          <t>Итого по разделу "Машины и механизмы"</t>
        </is>
      </c>
      <c r="C36" s="193" t="n"/>
      <c r="D36" s="193" t="n"/>
      <c r="E36" s="193" t="n"/>
      <c r="F36" s="194" t="n"/>
      <c r="G36" s="172">
        <f>G24+G35</f>
        <v/>
      </c>
      <c r="H36" s="25">
        <f>H24+H35</f>
        <v/>
      </c>
      <c r="I36" s="172" t="n"/>
      <c r="J36" s="172">
        <f>J24+J35</f>
        <v/>
      </c>
    </row>
    <row r="37" ht="14.25" customFormat="1" customHeight="1" s="93">
      <c r="A37" s="162" t="n"/>
      <c r="B37" s="178" t="inlineStr">
        <is>
          <t>Оборудование</t>
        </is>
      </c>
      <c r="C37" s="193" t="n"/>
      <c r="D37" s="193" t="n"/>
      <c r="E37" s="193" t="n"/>
      <c r="F37" s="193" t="n"/>
      <c r="G37" s="193" t="n"/>
      <c r="H37" s="194" t="n"/>
      <c r="I37" s="171" t="n"/>
      <c r="J37" s="171" t="n"/>
    </row>
    <row r="38" ht="15.6" customHeight="1" s="118">
      <c r="A38" s="162" t="n"/>
      <c r="B38" s="183" t="inlineStr">
        <is>
          <t>Основное оборудование</t>
        </is>
      </c>
      <c r="C38" s="193" t="n"/>
      <c r="D38" s="193" t="n"/>
      <c r="E38" s="193" t="n"/>
      <c r="F38" s="193" t="n"/>
      <c r="G38" s="193" t="n"/>
      <c r="H38" s="194" t="n"/>
      <c r="I38" s="171" t="n"/>
      <c r="J38" s="171" t="n"/>
      <c r="K38" s="93" t="n"/>
      <c r="L38" s="93" t="n"/>
    </row>
    <row r="39" ht="15.6" customHeight="1" s="118">
      <c r="A39" s="162" t="n"/>
      <c r="B39" s="162" t="n"/>
      <c r="C39" s="183" t="inlineStr">
        <is>
          <t>Итого основное оборудование</t>
        </is>
      </c>
      <c r="D39" s="162" t="n"/>
      <c r="E39" s="99" t="n"/>
      <c r="F39" s="185" t="n"/>
      <c r="G39" s="101" t="n">
        <v>0</v>
      </c>
      <c r="H39" s="186" t="n">
        <v>0</v>
      </c>
      <c r="I39" s="103" t="n"/>
      <c r="J39" s="101" t="n">
        <v>0</v>
      </c>
      <c r="K39" s="93" t="n"/>
      <c r="L39" s="93" t="n"/>
    </row>
    <row r="40" ht="15.6" customHeight="1" s="118">
      <c r="A40" s="162" t="n"/>
      <c r="B40" s="162" t="n"/>
      <c r="C40" s="183" t="inlineStr">
        <is>
          <t>Итого прочее оборудование</t>
        </is>
      </c>
      <c r="D40" s="162" t="n"/>
      <c r="E40" s="99" t="n"/>
      <c r="F40" s="185" t="n"/>
      <c r="G40" s="101" t="n">
        <v>0</v>
      </c>
      <c r="H40" s="186" t="n">
        <v>0</v>
      </c>
      <c r="I40" s="103" t="n"/>
      <c r="J40" s="101" t="n">
        <v>0</v>
      </c>
      <c r="K40" s="93" t="n"/>
      <c r="L40" s="93" t="n"/>
    </row>
    <row r="41" ht="15.6" customHeight="1" s="118">
      <c r="A41" s="162" t="n"/>
      <c r="B41" s="162" t="n"/>
      <c r="C41" s="178" t="inlineStr">
        <is>
          <t>Итого по разделу «Оборудование»</t>
        </is>
      </c>
      <c r="D41" s="162" t="n"/>
      <c r="E41" s="184" t="n"/>
      <c r="F41" s="185" t="n"/>
      <c r="G41" s="101">
        <f>G39+G40</f>
        <v/>
      </c>
      <c r="H41" s="186" t="n">
        <v>0</v>
      </c>
      <c r="I41" s="103" t="n"/>
      <c r="J41" s="101">
        <f>J40+J39</f>
        <v/>
      </c>
      <c r="K41" s="93" t="n"/>
      <c r="L41" s="93" t="n"/>
    </row>
    <row r="42" ht="31.15" customHeight="1" s="118">
      <c r="A42" s="162" t="n"/>
      <c r="B42" s="162" t="n"/>
      <c r="C42" s="183" t="inlineStr">
        <is>
          <t>в том числе технологическое оборудование</t>
        </is>
      </c>
      <c r="D42" s="162" t="n"/>
      <c r="E42" s="106" t="n"/>
      <c r="F42" s="185" t="n"/>
      <c r="G42" s="101">
        <f>G41</f>
        <v/>
      </c>
      <c r="H42" s="186" t="n"/>
      <c r="I42" s="103" t="n"/>
      <c r="J42" s="101">
        <f>J41</f>
        <v/>
      </c>
      <c r="K42" s="93" t="n"/>
      <c r="L42" s="93" t="n"/>
    </row>
    <row r="43" ht="15.6" customFormat="1" customHeight="1" s="149">
      <c r="A43" s="166" t="n"/>
      <c r="B43" s="164" t="inlineStr">
        <is>
          <t>Материалы</t>
        </is>
      </c>
      <c r="C43" s="193" t="n"/>
      <c r="D43" s="193" t="n"/>
      <c r="E43" s="193" t="n"/>
      <c r="F43" s="193" t="n"/>
      <c r="G43" s="193" t="n"/>
      <c r="H43" s="194" t="n"/>
      <c r="I43" s="172" t="n"/>
      <c r="J43" s="172" t="n"/>
    </row>
    <row r="44" ht="15.6" customFormat="1" customHeight="1" s="149">
      <c r="A44" s="166" t="n"/>
      <c r="B44" s="166" t="inlineStr">
        <is>
          <t>Основные Материалы</t>
        </is>
      </c>
      <c r="C44" s="193" t="n"/>
      <c r="D44" s="193" t="n"/>
      <c r="E44" s="193" t="n"/>
      <c r="F44" s="193" t="n"/>
      <c r="G44" s="193" t="n"/>
      <c r="H44" s="194" t="n"/>
      <c r="I44" s="172" t="n"/>
      <c r="J44" s="172" t="n"/>
    </row>
    <row r="45" ht="31.15" customFormat="1" customHeight="1" s="149">
      <c r="A45" s="166" t="n">
        <v>18</v>
      </c>
      <c r="B45" s="177" t="inlineStr">
        <is>
          <t>05.1.01.10-0101</t>
        </is>
      </c>
      <c r="C45" s="187" t="inlineStr">
        <is>
          <t>Лотки железобетонные водопропускные</t>
        </is>
      </c>
      <c r="D45" s="190" t="inlineStr">
        <is>
          <t>м3</t>
        </is>
      </c>
      <c r="E45" s="188" t="n">
        <v>62.6</v>
      </c>
      <c r="F45" s="29" t="n">
        <v>2269.12</v>
      </c>
      <c r="G45" s="172">
        <f>ROUND(F45*E45,2)</f>
        <v/>
      </c>
      <c r="H45" s="25">
        <f>G45/G86</f>
        <v/>
      </c>
      <c r="I45" s="172">
        <f>ROUND(F45*Прил.10!$D$12,2)</f>
        <v/>
      </c>
      <c r="J45" s="172">
        <f>ROUND(I45*E45,2)</f>
        <v/>
      </c>
    </row>
    <row r="46" ht="46.9" customFormat="1" customHeight="1" s="149">
      <c r="A46" s="166" t="n">
        <v>19</v>
      </c>
      <c r="B46" s="177" t="inlineStr">
        <is>
          <t>05.1.01.12-0013</t>
        </is>
      </c>
      <c r="C46" s="187" t="inlineStr">
        <is>
          <t>Плита перекрытия лотков и каналов ПО-4, бетон В25 (М350), объем 0,61 м3, расход арматуры 52,7 кг</t>
        </is>
      </c>
      <c r="D46" s="190" t="inlineStr">
        <is>
          <t>шт</t>
        </is>
      </c>
      <c r="E46" s="188" t="n">
        <v>31</v>
      </c>
      <c r="F46" s="29" t="n">
        <v>1243.1</v>
      </c>
      <c r="G46" s="172">
        <f>ROUND(F46*E46,2)</f>
        <v/>
      </c>
      <c r="H46" s="25">
        <f>G46/G86</f>
        <v/>
      </c>
      <c r="I46" s="172">
        <f>ROUND(F46*Прил.10!$D$12,2)</f>
        <v/>
      </c>
      <c r="J46" s="172">
        <f>ROUND(I46*E46,2)</f>
        <v/>
      </c>
    </row>
    <row r="47" ht="64.5" customFormat="1" customHeight="1" s="149">
      <c r="A47" s="166" t="n">
        <v>20</v>
      </c>
      <c r="B47" s="177" t="inlineStr">
        <is>
          <t>07.2.07.12-0026</t>
        </is>
      </c>
      <c r="C47" s="187" t="inlineStr">
        <is>
          <t>Отдельные конструктивные элементы зданий и сооружений с преобладанием толстолистовой стали, средняя масса сборочной единицы свыше 1 до 3 т</t>
        </is>
      </c>
      <c r="D47" s="190" t="inlineStr">
        <is>
          <t>т</t>
        </is>
      </c>
      <c r="E47" s="188" t="n">
        <v>4.148</v>
      </c>
      <c r="F47" s="29" t="n">
        <v>7887.4</v>
      </c>
      <c r="G47" s="172">
        <f>ROUND(F47*E47,2)</f>
        <v/>
      </c>
      <c r="H47" s="25">
        <f>G47/G86</f>
        <v/>
      </c>
      <c r="I47" s="172">
        <f>ROUND(F47*Прил.10!$D$12,2)</f>
        <v/>
      </c>
      <c r="J47" s="172">
        <f>ROUND(I47*E47,2)</f>
        <v/>
      </c>
    </row>
    <row r="48" ht="31.15" customFormat="1" customHeight="1" s="149">
      <c r="A48" s="166" t="n">
        <v>21</v>
      </c>
      <c r="B48" s="177" t="inlineStr">
        <is>
          <t>04.1.02.05-0009</t>
        </is>
      </c>
      <c r="C48" s="187" t="inlineStr">
        <is>
          <t>Смеси бетонные тяжелого бетона (БСТ), класс В25 (М350)</t>
        </is>
      </c>
      <c r="D48" s="190" t="inlineStr">
        <is>
          <t>м3</t>
        </is>
      </c>
      <c r="E48" s="188" t="n">
        <v>30.044</v>
      </c>
      <c r="F48" s="29" t="n">
        <v>725.6900000000001</v>
      </c>
      <c r="G48" s="172">
        <f>ROUND(F48*E48,2)</f>
        <v/>
      </c>
      <c r="H48" s="25">
        <f>G48/G86</f>
        <v/>
      </c>
      <c r="I48" s="172">
        <f>ROUND(F48*Прил.10!$D$12,2)</f>
        <v/>
      </c>
      <c r="J48" s="172">
        <f>ROUND(I48*E48,2)</f>
        <v/>
      </c>
    </row>
    <row r="49" ht="62.45" customFormat="1" customHeight="1" s="149">
      <c r="A49" s="166" t="n">
        <v>22</v>
      </c>
      <c r="B49" s="177" t="inlineStr">
        <is>
          <t>08.4.02.03-1032</t>
        </is>
      </c>
      <c r="C49" s="187" t="inlineStr">
        <is>
          <t>Каркасы и сетки арматурные плоские, собранные и сваренные (связанные) в арматурные изделия, класс А-I, диаметр 12 мм</t>
        </is>
      </c>
      <c r="D49" s="190" t="inlineStr">
        <is>
          <t>т</t>
        </is>
      </c>
      <c r="E49" s="188" t="n">
        <v>3.3115</v>
      </c>
      <c r="F49" s="29" t="n">
        <v>5582.57</v>
      </c>
      <c r="G49" s="172">
        <f>ROUND(F49*E49,2)</f>
        <v/>
      </c>
      <c r="H49" s="25">
        <f>G49/G86</f>
        <v/>
      </c>
      <c r="I49" s="172">
        <f>ROUND(F49*Прил.10!$D$12,2)</f>
        <v/>
      </c>
      <c r="J49" s="172">
        <f>ROUND(I49*E49,2)</f>
        <v/>
      </c>
    </row>
    <row r="50" ht="93.59999999999999" customFormat="1" customHeight="1" s="149">
      <c r="A50" s="166" t="n">
        <v>23</v>
      </c>
      <c r="B50" s="177" t="inlineStr">
        <is>
          <t>05.1.06.04-0007</t>
        </is>
      </c>
      <c r="C50" s="187" t="inlineStr">
        <is>
          <t>Плиты перекрытий многопустотные преднапряженные безопалубочного формования из бетона класса B22,5, пролетом 7,3-7,4 м, ПБЗ, с расходом стали 14,7 кг/м3  (блок БДЛ 40.6 0,4м3 х 40 шт=16м3)</t>
        </is>
      </c>
      <c r="D50" s="190" t="inlineStr">
        <is>
          <t>м3</t>
        </is>
      </c>
      <c r="E50" s="188" t="n">
        <v>16</v>
      </c>
      <c r="F50" s="29" t="n">
        <v>809.5</v>
      </c>
      <c r="G50" s="172">
        <f>ROUND(F50*E50,2)</f>
        <v/>
      </c>
      <c r="H50" s="25">
        <f>G50/G86</f>
        <v/>
      </c>
      <c r="I50" s="172">
        <f>ROUND(F50*Прил.10!$D$12,2)</f>
        <v/>
      </c>
      <c r="J50" s="172">
        <f>ROUND(I50*E50,2)</f>
        <v/>
      </c>
    </row>
    <row r="51" ht="46.9" customFormat="1" customHeight="1" s="149">
      <c r="A51" s="166" t="n">
        <v>24</v>
      </c>
      <c r="B51" s="177" t="inlineStr">
        <is>
          <t>24.2.05.01-0002</t>
        </is>
      </c>
      <c r="C51" s="187" t="inlineStr">
        <is>
          <t>Трубы хризотилцементные безнапорные, номинальный диаметр 150 мм</t>
        </is>
      </c>
      <c r="D51" s="190" t="inlineStr">
        <is>
          <t>м</t>
        </is>
      </c>
      <c r="E51" s="188" t="n">
        <v>272.16</v>
      </c>
      <c r="F51" s="29" t="n">
        <v>32.67</v>
      </c>
      <c r="G51" s="172">
        <f>ROUND(F51*E51,2)</f>
        <v/>
      </c>
      <c r="H51" s="25">
        <f>G51/G86</f>
        <v/>
      </c>
      <c r="I51" s="172">
        <f>ROUND(F51*Прил.10!$D$12,2)</f>
        <v/>
      </c>
      <c r="J51" s="172">
        <f>ROUND(I51*E51,2)</f>
        <v/>
      </c>
    </row>
    <row r="52" ht="15.6" customFormat="1" customHeight="1" s="149">
      <c r="A52" s="166" t="n"/>
      <c r="B52" s="177" t="inlineStr">
        <is>
          <t>Итого основные Материалы</t>
        </is>
      </c>
      <c r="C52" s="193" t="n"/>
      <c r="D52" s="193" t="n"/>
      <c r="E52" s="193" t="n"/>
      <c r="F52" s="194" t="n"/>
      <c r="G52" s="29">
        <f>SUM(G45:G51)</f>
        <v/>
      </c>
      <c r="H52" s="25">
        <f>SUM(H45:H51)</f>
        <v/>
      </c>
      <c r="I52" s="172" t="n"/>
      <c r="J52" s="172">
        <f>SUM(J45:J51)</f>
        <v/>
      </c>
    </row>
    <row r="53" hidden="1" outlineLevel="1" ht="31.15" customFormat="1" customHeight="1" s="149">
      <c r="A53" s="166" t="n">
        <v>25</v>
      </c>
      <c r="B53" s="177" t="inlineStr">
        <is>
          <t>01.2.03.03-0107</t>
        </is>
      </c>
      <c r="C53" s="187" t="inlineStr">
        <is>
          <t>Мастика битумно-масляная морозостойкая горячего применения</t>
        </is>
      </c>
      <c r="D53" s="190" t="inlineStr">
        <is>
          <t>т</t>
        </is>
      </c>
      <c r="E53" s="188" t="n">
        <v>2.1276</v>
      </c>
      <c r="F53" s="29" t="n">
        <v>3960</v>
      </c>
      <c r="G53" s="172">
        <f>ROUND(F53*E53,2)</f>
        <v/>
      </c>
      <c r="H53" s="25">
        <f>G53/G86</f>
        <v/>
      </c>
      <c r="I53" s="172">
        <f>ROUND(F53*Прил.10!$D$12,2)</f>
        <v/>
      </c>
      <c r="J53" s="172">
        <f>ROUND(I53*E53,2)</f>
        <v/>
      </c>
    </row>
    <row r="54" hidden="1" outlineLevel="1" ht="31.15" customFormat="1" customHeight="1" s="149">
      <c r="A54" s="166" t="n">
        <v>26</v>
      </c>
      <c r="B54" s="177" t="inlineStr">
        <is>
          <t>02.2.05.04-1792</t>
        </is>
      </c>
      <c r="C54" s="187" t="inlineStr">
        <is>
          <t>Щебень М 1400, фракция 20-40 мм, группа 2</t>
        </is>
      </c>
      <c r="D54" s="190" t="inlineStr">
        <is>
          <t>м3</t>
        </is>
      </c>
      <c r="E54" s="188" t="n">
        <v>51.428</v>
      </c>
      <c r="F54" s="29" t="n">
        <v>140.9</v>
      </c>
      <c r="G54" s="172">
        <f>ROUND(F54*E54,2)</f>
        <v/>
      </c>
      <c r="H54" s="25">
        <f>G54/G86</f>
        <v/>
      </c>
      <c r="I54" s="172">
        <f>ROUND(F54*Прил.10!$D$12,2)</f>
        <v/>
      </c>
      <c r="J54" s="172">
        <f>ROUND(I54*E54,2)</f>
        <v/>
      </c>
    </row>
    <row r="55" hidden="1" outlineLevel="1" ht="31.15" customFormat="1" customHeight="1" s="149">
      <c r="A55" s="166" t="n">
        <v>27</v>
      </c>
      <c r="B55" s="177" t="inlineStr">
        <is>
          <t>06.1.01.05-0015</t>
        </is>
      </c>
      <c r="C55" s="187" t="inlineStr">
        <is>
          <t>Кирпич керамический лицевой, размер 250х120х65 мм, марка 100</t>
        </is>
      </c>
      <c r="D55" s="190" t="inlineStr">
        <is>
          <t>1000 шт</t>
        </is>
      </c>
      <c r="E55" s="188" t="n">
        <v>2.72</v>
      </c>
      <c r="F55" s="29" t="n">
        <v>1740.2</v>
      </c>
      <c r="G55" s="172">
        <f>ROUND(F55*E55,2)</f>
        <v/>
      </c>
      <c r="H55" s="25">
        <f>G55/G86</f>
        <v/>
      </c>
      <c r="I55" s="172">
        <f>ROUND(F55*Прил.10!$D$12,2)</f>
        <v/>
      </c>
      <c r="J55" s="172">
        <f>ROUND(I55*E55,2)</f>
        <v/>
      </c>
    </row>
    <row r="56" hidden="1" outlineLevel="1" ht="31.15" customFormat="1" customHeight="1" s="149">
      <c r="A56" s="166" t="n">
        <v>28</v>
      </c>
      <c r="B56" s="177" t="inlineStr">
        <is>
          <t>01.2.01.02-0052</t>
        </is>
      </c>
      <c r="C56" s="187" t="inlineStr">
        <is>
          <t>Битумы нефтяные строительные БН-70/30</t>
        </is>
      </c>
      <c r="D56" s="190" t="inlineStr">
        <is>
          <t>т</t>
        </is>
      </c>
      <c r="E56" s="188" t="n">
        <v>2.7676</v>
      </c>
      <c r="F56" s="29" t="n">
        <v>1525.5</v>
      </c>
      <c r="G56" s="172">
        <f>ROUND(F56*E56,2)</f>
        <v/>
      </c>
      <c r="H56" s="25">
        <f>G56/G86</f>
        <v/>
      </c>
      <c r="I56" s="172">
        <f>ROUND(F56*Прил.10!$D$12,2)</f>
        <v/>
      </c>
      <c r="J56" s="172">
        <f>ROUND(I56*E56,2)</f>
        <v/>
      </c>
    </row>
    <row r="57" hidden="1" outlineLevel="1" ht="31.15" customFormat="1" customHeight="1" s="149">
      <c r="A57" s="166" t="n">
        <v>29</v>
      </c>
      <c r="B57" s="177" t="inlineStr">
        <is>
          <t>01.2.01.02-0042</t>
        </is>
      </c>
      <c r="C57" s="187" t="inlineStr">
        <is>
          <t>Битумы нефтяные строительные кровельные БНК-90/30</t>
        </is>
      </c>
      <c r="D57" s="190" t="inlineStr">
        <is>
          <t>т</t>
        </is>
      </c>
      <c r="E57" s="188" t="n">
        <v>2.7676</v>
      </c>
      <c r="F57" s="29" t="n">
        <v>1412.5</v>
      </c>
      <c r="G57" s="172">
        <f>ROUND(F57*E57,2)</f>
        <v/>
      </c>
      <c r="H57" s="25">
        <f>G57/G86</f>
        <v/>
      </c>
      <c r="I57" s="172">
        <f>ROUND(F57*Прил.10!$D$12,2)</f>
        <v/>
      </c>
      <c r="J57" s="172">
        <f>ROUND(I57*E57,2)</f>
        <v/>
      </c>
    </row>
    <row r="58" hidden="1" outlineLevel="1" ht="31.15" customFormat="1" customHeight="1" s="149">
      <c r="A58" s="166" t="n">
        <v>30</v>
      </c>
      <c r="B58" s="177" t="inlineStr">
        <is>
          <t>04.1.02.05-0004</t>
        </is>
      </c>
      <c r="C58" s="187" t="inlineStr">
        <is>
          <t>Смеси бетонные тяжелого бетона (БСТ), класс В10 (М150)</t>
        </is>
      </c>
      <c r="D58" s="190" t="inlineStr">
        <is>
          <t>м3</t>
        </is>
      </c>
      <c r="E58" s="188" t="n">
        <v>5.1</v>
      </c>
      <c r="F58" s="29" t="n">
        <v>490</v>
      </c>
      <c r="G58" s="172">
        <f>ROUND(F58*E58,2)</f>
        <v/>
      </c>
      <c r="H58" s="25">
        <f>G58/G86</f>
        <v/>
      </c>
      <c r="I58" s="172">
        <f>ROUND(F58*Прил.10!$D$12,2)</f>
        <v/>
      </c>
      <c r="J58" s="172">
        <f>ROUND(I58*E58,2)</f>
        <v/>
      </c>
    </row>
    <row r="59" hidden="1" outlineLevel="1" ht="62.45" customFormat="1" customHeight="1" s="149">
      <c r="A59" s="166" t="n">
        <v>31</v>
      </c>
      <c r="B59" s="177" t="inlineStr">
        <is>
          <t>08.4.01.02-0011</t>
        </is>
      </c>
      <c r="C59" s="187" t="inlineStr">
        <is>
          <t>Детали закладные и накладные, изготовленные без применения сварки, гнутья, сверления (пробивки) отверстий, поставляемые отдельно</t>
        </is>
      </c>
      <c r="D59" s="190" t="inlineStr">
        <is>
          <t>т</t>
        </is>
      </c>
      <c r="E59" s="188" t="n">
        <v>0.273</v>
      </c>
      <c r="F59" s="29" t="n">
        <v>5804</v>
      </c>
      <c r="G59" s="172">
        <f>ROUND(F59*E59,2)</f>
        <v/>
      </c>
      <c r="H59" s="25">
        <f>G59/G86</f>
        <v/>
      </c>
      <c r="I59" s="172">
        <f>ROUND(F59*Прил.10!$D$12,2)</f>
        <v/>
      </c>
      <c r="J59" s="172">
        <f>ROUND(I59*E59,2)</f>
        <v/>
      </c>
    </row>
    <row r="60" hidden="1" outlineLevel="1" ht="15.6" customFormat="1" customHeight="1" s="149">
      <c r="A60" s="166" t="n">
        <v>32</v>
      </c>
      <c r="B60" s="177" t="inlineStr">
        <is>
          <t>01.7.07.29-0031</t>
        </is>
      </c>
      <c r="C60" s="187" t="inlineStr">
        <is>
          <t>Каболка</t>
        </is>
      </c>
      <c r="D60" s="190" t="inlineStr">
        <is>
          <t>т</t>
        </is>
      </c>
      <c r="E60" s="188" t="n">
        <v>0.0329173</v>
      </c>
      <c r="F60" s="29" t="n">
        <v>30030</v>
      </c>
      <c r="G60" s="172">
        <f>ROUND(F60*E60,2)</f>
        <v/>
      </c>
      <c r="H60" s="25">
        <f>G60/G86</f>
        <v/>
      </c>
      <c r="I60" s="172">
        <f>ROUND(F60*Прил.10!$D$12,2)</f>
        <v/>
      </c>
      <c r="J60" s="172">
        <f>ROUND(I60*E60,2)</f>
        <v/>
      </c>
    </row>
    <row r="61" hidden="1" outlineLevel="1" ht="31.15" customFormat="1" customHeight="1" s="149">
      <c r="A61" s="166" t="n">
        <v>33</v>
      </c>
      <c r="B61" s="177" t="inlineStr">
        <is>
          <t>01.7.11.07-0032</t>
        </is>
      </c>
      <c r="C61" s="187" t="inlineStr">
        <is>
          <t>Электроды сварочные Э42, диаметр 4 мм</t>
        </is>
      </c>
      <c r="D61" s="190" t="inlineStr">
        <is>
          <t>т</t>
        </is>
      </c>
      <c r="E61" s="188" t="n">
        <v>0.09065380000000001</v>
      </c>
      <c r="F61" s="29" t="n">
        <v>10315.01</v>
      </c>
      <c r="G61" s="172">
        <f>ROUND(F61*E61,2)</f>
        <v/>
      </c>
      <c r="H61" s="25">
        <f>G61/G86</f>
        <v/>
      </c>
      <c r="I61" s="172">
        <f>ROUND(F61*Прил.10!$D$12,2)</f>
        <v/>
      </c>
      <c r="J61" s="172">
        <f>ROUND(I61*E61,2)</f>
        <v/>
      </c>
    </row>
    <row r="62" hidden="1" outlineLevel="1" ht="31.15" customFormat="1" customHeight="1" s="149">
      <c r="A62" s="166" t="n">
        <v>34</v>
      </c>
      <c r="B62" s="177" t="inlineStr">
        <is>
          <t>04.3.01.09-0016</t>
        </is>
      </c>
      <c r="C62" s="187" t="inlineStr">
        <is>
          <t>Раствор готовый кладочный, цементный, М200</t>
        </is>
      </c>
      <c r="D62" s="190" t="inlineStr">
        <is>
          <t>м3</t>
        </is>
      </c>
      <c r="E62" s="188" t="n">
        <v>1.5028</v>
      </c>
      <c r="F62" s="29" t="n">
        <v>600</v>
      </c>
      <c r="G62" s="172">
        <f>ROUND(F62*E62,2)</f>
        <v/>
      </c>
      <c r="H62" s="25">
        <f>G62/G86</f>
        <v/>
      </c>
      <c r="I62" s="172">
        <f>ROUND(F62*Прил.10!$D$12,2)</f>
        <v/>
      </c>
      <c r="J62" s="172">
        <f>ROUND(I62*E62,2)</f>
        <v/>
      </c>
    </row>
    <row r="63" hidden="1" outlineLevel="1" ht="31.15" customFormat="1" customHeight="1" s="149">
      <c r="A63" s="166" t="n">
        <v>35</v>
      </c>
      <c r="B63" s="177" t="inlineStr">
        <is>
          <t>01.3.01.08-0002</t>
        </is>
      </c>
      <c r="C63" s="187" t="inlineStr">
        <is>
          <t>Топливо дизельное из малосернистых нефтей</t>
        </is>
      </c>
      <c r="D63" s="190" t="inlineStr">
        <is>
          <t>т</t>
        </is>
      </c>
      <c r="E63" s="188" t="n">
        <v>0.13838</v>
      </c>
      <c r="F63" s="29" t="n">
        <v>6250</v>
      </c>
      <c r="G63" s="172">
        <f>ROUND(F63*E63,2)</f>
        <v/>
      </c>
      <c r="H63" s="25">
        <f>G63/G86</f>
        <v/>
      </c>
      <c r="I63" s="172">
        <f>ROUND(F63*Прил.10!$D$12,2)</f>
        <v/>
      </c>
      <c r="J63" s="172">
        <f>ROUND(I63*E63,2)</f>
        <v/>
      </c>
    </row>
    <row r="64" hidden="1" outlineLevel="1" ht="46.9" customFormat="1" customHeight="1" s="149">
      <c r="A64" s="166" t="n">
        <v>36</v>
      </c>
      <c r="B64" s="177" t="inlineStr">
        <is>
          <t>24.2.06.04-0001</t>
        </is>
      </c>
      <c r="C64" s="187" t="inlineStr">
        <is>
          <t>Муфты хризотилцементные БНМ для безнапорных труб, номинальный диаметр 100 мм</t>
        </is>
      </c>
      <c r="D64" s="190" t="inlineStr">
        <is>
          <t>шт</t>
        </is>
      </c>
      <c r="E64" s="188" t="n">
        <v>95.91426</v>
      </c>
      <c r="F64" s="29" t="n">
        <v>7.55</v>
      </c>
      <c r="G64" s="172">
        <f>ROUND(F64*E64,2)</f>
        <v/>
      </c>
      <c r="H64" s="25">
        <f>G64/G86</f>
        <v/>
      </c>
      <c r="I64" s="172">
        <f>ROUND(F64*Прил.10!$D$12,2)</f>
        <v/>
      </c>
      <c r="J64" s="172">
        <f>ROUND(I64*E64,2)</f>
        <v/>
      </c>
    </row>
    <row r="65" hidden="1" outlineLevel="1" ht="15.6" customFormat="1" customHeight="1" s="149">
      <c r="A65" s="166" t="n">
        <v>37</v>
      </c>
      <c r="B65" s="177" t="inlineStr">
        <is>
          <t>01.7.15.06-0111</t>
        </is>
      </c>
      <c r="C65" s="187" t="inlineStr">
        <is>
          <t>Гвозди строительные</t>
        </is>
      </c>
      <c r="D65" s="190" t="inlineStr">
        <is>
          <t>т</t>
        </is>
      </c>
      <c r="E65" s="188" t="n">
        <v>0.057594</v>
      </c>
      <c r="F65" s="29" t="n">
        <v>11978</v>
      </c>
      <c r="G65" s="172">
        <f>ROUND(F65*E65,2)</f>
        <v/>
      </c>
      <c r="H65" s="25">
        <f>G65/G86</f>
        <v/>
      </c>
      <c r="I65" s="172">
        <f>ROUND(F65*Прил.10!$D$12,2)</f>
        <v/>
      </c>
      <c r="J65" s="172">
        <f>ROUND(I65*E65,2)</f>
        <v/>
      </c>
    </row>
    <row r="66" hidden="1" outlineLevel="1" ht="46.9" customFormat="1" customHeight="1" s="149">
      <c r="A66" s="166" t="n">
        <v>38</v>
      </c>
      <c r="B66" s="177" t="inlineStr">
        <is>
          <t>01.7.19.02-0031</t>
        </is>
      </c>
      <c r="C66" s="187" t="inlineStr">
        <is>
          <t>Кольца резиновые для хризотилцементных напорных муфт САМ</t>
        </is>
      </c>
      <c r="D66" s="190" t="inlineStr">
        <is>
          <t>кг</t>
        </is>
      </c>
      <c r="E66" s="188" t="n">
        <v>23.26914</v>
      </c>
      <c r="F66" s="29" t="n">
        <v>28.33</v>
      </c>
      <c r="G66" s="172">
        <f>ROUND(F66*E66,2)</f>
        <v/>
      </c>
      <c r="H66" s="25">
        <f>G66/G86</f>
        <v/>
      </c>
      <c r="I66" s="172">
        <f>ROUND(F66*Прил.10!$D$12,2)</f>
        <v/>
      </c>
      <c r="J66" s="172">
        <f>ROUND(I66*E66,2)</f>
        <v/>
      </c>
    </row>
    <row r="67" hidden="1" outlineLevel="1" ht="15.6" customFormat="1" customHeight="1" s="149">
      <c r="A67" s="166" t="n">
        <v>39</v>
      </c>
      <c r="B67" s="177" t="inlineStr">
        <is>
          <t>01.3.01.03-0002</t>
        </is>
      </c>
      <c r="C67" s="187" t="inlineStr">
        <is>
          <t>Керосин для технических целей</t>
        </is>
      </c>
      <c r="D67" s="190" t="inlineStr">
        <is>
          <t>т</t>
        </is>
      </c>
      <c r="E67" s="188" t="n">
        <v>0.21276</v>
      </c>
      <c r="F67" s="29" t="n">
        <v>2606.9</v>
      </c>
      <c r="G67" s="172">
        <f>ROUND(F67*E67,2)</f>
        <v/>
      </c>
      <c r="H67" s="25">
        <f>G67/G86</f>
        <v/>
      </c>
      <c r="I67" s="172">
        <f>ROUND(F67*Прил.10!$D$12,2)</f>
        <v/>
      </c>
      <c r="J67" s="172">
        <f>ROUND(I67*E67,2)</f>
        <v/>
      </c>
    </row>
    <row r="68" hidden="1" outlineLevel="1" ht="15.6" customFormat="1" customHeight="1" s="149">
      <c r="A68" s="166" t="n">
        <v>40</v>
      </c>
      <c r="B68" s="177" t="inlineStr">
        <is>
          <t>01.2.01.02-0001</t>
        </is>
      </c>
      <c r="C68" s="187" t="inlineStr">
        <is>
          <t>Битум горячий</t>
        </is>
      </c>
      <c r="D68" s="190" t="inlineStr">
        <is>
          <t>т</t>
        </is>
      </c>
      <c r="E68" s="188" t="n">
        <v>0.14184</v>
      </c>
      <c r="F68" s="29" t="n">
        <v>1946.91</v>
      </c>
      <c r="G68" s="172">
        <f>ROUND(F68*E68,2)</f>
        <v/>
      </c>
      <c r="H68" s="25">
        <f>G68/G86</f>
        <v/>
      </c>
      <c r="I68" s="172">
        <f>ROUND(F68*Прил.10!$D$12,2)</f>
        <v/>
      </c>
      <c r="J68" s="172">
        <f>ROUND(I68*E68,2)</f>
        <v/>
      </c>
    </row>
    <row r="69" hidden="1" outlineLevel="1" ht="46.9" customFormat="1" customHeight="1" s="149">
      <c r="A69" s="166" t="n">
        <v>41</v>
      </c>
      <c r="B69" s="177" t="inlineStr">
        <is>
          <t>11.1.03.06-0091</t>
        </is>
      </c>
      <c r="C69" s="187" t="inlineStr">
        <is>
          <t>Доска обрезная, хвойных пород, ширина 75-150 мм, толщина 32-40 мм, длина 4-6,5 м, сорт III</t>
        </is>
      </c>
      <c r="D69" s="190" t="inlineStr">
        <is>
          <t>м3</t>
        </is>
      </c>
      <c r="E69" s="188" t="n">
        <v>0.21164</v>
      </c>
      <c r="F69" s="29" t="n">
        <v>1155</v>
      </c>
      <c r="G69" s="172">
        <f>ROUND(F69*E69,2)</f>
        <v/>
      </c>
      <c r="H69" s="25">
        <f>G69/G86</f>
        <v/>
      </c>
      <c r="I69" s="172">
        <f>ROUND(F69*Прил.10!$D$12,2)</f>
        <v/>
      </c>
      <c r="J69" s="172">
        <f>ROUND(I69*E69,2)</f>
        <v/>
      </c>
    </row>
    <row r="70" hidden="1" outlineLevel="1" ht="46.9" customFormat="1" customHeight="1" s="149">
      <c r="A70" s="166" t="n">
        <v>42</v>
      </c>
      <c r="B70" s="177" t="inlineStr">
        <is>
          <t>24.2.05.01-0001</t>
        </is>
      </c>
      <c r="C70" s="187" t="inlineStr">
        <is>
          <t>Трубы хризотилцементные безнапорные, номинальный диаметр 100 мм</t>
        </is>
      </c>
      <c r="D70" s="190" t="inlineStr">
        <is>
          <t>м</t>
        </is>
      </c>
      <c r="E70" s="188" t="n">
        <v>13.88016</v>
      </c>
      <c r="F70" s="29" t="n">
        <v>14.5</v>
      </c>
      <c r="G70" s="172">
        <f>ROUND(F70*E70,2)</f>
        <v/>
      </c>
      <c r="H70" s="25">
        <f>G70/G86</f>
        <v/>
      </c>
      <c r="I70" s="172">
        <f>ROUND(F70*Прил.10!$D$12,2)</f>
        <v/>
      </c>
      <c r="J70" s="172">
        <f>ROUND(I70*E70,2)</f>
        <v/>
      </c>
    </row>
    <row r="71" hidden="1" outlineLevel="1" ht="31.15" customFormat="1" customHeight="1" s="149">
      <c r="A71" s="166" t="n">
        <v>43</v>
      </c>
      <c r="B71" s="177" t="inlineStr">
        <is>
          <t>04.3.01.09-0014</t>
        </is>
      </c>
      <c r="C71" s="187" t="inlineStr">
        <is>
          <t>Раствор готовый кладочный, цементный, М100</t>
        </is>
      </c>
      <c r="D71" s="190" t="inlineStr">
        <is>
          <t>м3</t>
        </is>
      </c>
      <c r="E71" s="188" t="n">
        <v>0.2639061</v>
      </c>
      <c r="F71" s="29" t="n">
        <v>519.8</v>
      </c>
      <c r="G71" s="172">
        <f>ROUND(F71*E71,2)</f>
        <v/>
      </c>
      <c r="H71" s="25">
        <f>G71/G86</f>
        <v/>
      </c>
      <c r="I71" s="172">
        <f>ROUND(F71*Прил.10!$D$12,2)</f>
        <v/>
      </c>
      <c r="J71" s="172">
        <f>ROUND(I71*E71,2)</f>
        <v/>
      </c>
    </row>
    <row r="72" hidden="1" outlineLevel="1" ht="15.6" customFormat="1" customHeight="1" s="149">
      <c r="A72" s="166" t="n">
        <v>44</v>
      </c>
      <c r="B72" s="177" t="inlineStr">
        <is>
          <t>11.2.13.04-0011</t>
        </is>
      </c>
      <c r="C72" s="187" t="inlineStr">
        <is>
          <t>Щиты из досок, толщина 25 мм</t>
        </is>
      </c>
      <c r="D72" s="190" t="inlineStr">
        <is>
          <t>м2</t>
        </is>
      </c>
      <c r="E72" s="188" t="n">
        <v>2.7911</v>
      </c>
      <c r="F72" s="29" t="n">
        <v>35.53</v>
      </c>
      <c r="G72" s="172">
        <f>ROUND(F72*E72,2)</f>
        <v/>
      </c>
      <c r="H72" s="25">
        <f>G72/G86</f>
        <v/>
      </c>
      <c r="I72" s="172">
        <f>ROUND(F72*Прил.10!$D$12,2)</f>
        <v/>
      </c>
      <c r="J72" s="172">
        <f>ROUND(I72*E72,2)</f>
        <v/>
      </c>
    </row>
    <row r="73" hidden="1" outlineLevel="1" ht="31.15" customFormat="1" customHeight="1" s="149">
      <c r="A73" s="166" t="n">
        <v>45</v>
      </c>
      <c r="B73" s="177" t="inlineStr">
        <is>
          <t>08.1.02.11-0001</t>
        </is>
      </c>
      <c r="C73" s="187" t="inlineStr">
        <is>
          <t>Поковки из квадратных заготовок, масса 1,8 кг</t>
        </is>
      </c>
      <c r="D73" s="190" t="inlineStr">
        <is>
          <t>т</t>
        </is>
      </c>
      <c r="E73" s="188" t="n">
        <v>0.01564</v>
      </c>
      <c r="F73" s="29" t="n">
        <v>5989</v>
      </c>
      <c r="G73" s="172">
        <f>ROUND(F73*E73,2)</f>
        <v/>
      </c>
      <c r="H73" s="25">
        <f>G73/G86</f>
        <v/>
      </c>
      <c r="I73" s="172">
        <f>ROUND(F73*Прил.10!$D$12,2)</f>
        <v/>
      </c>
      <c r="J73" s="172">
        <f>ROUND(I73*E73,2)</f>
        <v/>
      </c>
    </row>
    <row r="74" hidden="1" outlineLevel="1" ht="31.15" customFormat="1" customHeight="1" s="149">
      <c r="A74" s="166" t="n">
        <v>46</v>
      </c>
      <c r="B74" s="177" t="inlineStr">
        <is>
          <t>04.1.02.05-0004</t>
        </is>
      </c>
      <c r="C74" s="187" t="inlineStr">
        <is>
          <t>Смеси бетонные тяжелого бетона (БСТ), класс В10 (М150)</t>
        </is>
      </c>
      <c r="D74" s="190" t="inlineStr">
        <is>
          <t>м3</t>
        </is>
      </c>
      <c r="E74" s="188" t="n">
        <v>0.14326</v>
      </c>
      <c r="F74" s="29" t="n">
        <v>490</v>
      </c>
      <c r="G74" s="172">
        <f>ROUND(F74*E74,2)</f>
        <v/>
      </c>
      <c r="H74" s="25">
        <f>G74/G86</f>
        <v/>
      </c>
      <c r="I74" s="172">
        <f>ROUND(F74*Прил.10!$D$12,2)</f>
        <v/>
      </c>
      <c r="J74" s="172">
        <f>ROUND(I74*E74,2)</f>
        <v/>
      </c>
    </row>
    <row r="75" hidden="1" outlineLevel="1" ht="46.9" customFormat="1" customHeight="1" s="149">
      <c r="A75" s="166" t="n">
        <v>47</v>
      </c>
      <c r="B75" s="177" t="inlineStr">
        <is>
          <t>11.1.03.06-0099</t>
        </is>
      </c>
      <c r="C75" s="187" t="inlineStr">
        <is>
          <t>Доска обрезная, хвойных пород, ширина 75-150, мм толщина 19-22 мм, длина 4-6,5 м, сорт III</t>
        </is>
      </c>
      <c r="D75" s="190" t="inlineStr">
        <is>
          <t>м3</t>
        </is>
      </c>
      <c r="E75" s="188" t="n">
        <v>0.04199</v>
      </c>
      <c r="F75" s="29" t="n">
        <v>1242.2</v>
      </c>
      <c r="G75" s="172">
        <f>ROUND(F75*E75,2)</f>
        <v/>
      </c>
      <c r="H75" s="25">
        <f>G75/G86</f>
        <v/>
      </c>
      <c r="I75" s="172">
        <f>ROUND(F75*Прил.10!$D$12,2)</f>
        <v/>
      </c>
      <c r="J75" s="172">
        <f>ROUND(I75*E75,2)</f>
        <v/>
      </c>
    </row>
    <row r="76" hidden="1" outlineLevel="1" ht="31.15" customFormat="1" customHeight="1" s="149">
      <c r="A76" s="166" t="n">
        <v>48</v>
      </c>
      <c r="B76" s="177" t="inlineStr">
        <is>
          <t>01.7.07.12-0024</t>
        </is>
      </c>
      <c r="C76" s="187" t="inlineStr">
        <is>
          <t>Пленка полиэтиленовая, толщина 0,15 мм</t>
        </is>
      </c>
      <c r="D76" s="190" t="inlineStr">
        <is>
          <t>м2</t>
        </is>
      </c>
      <c r="E76" s="188" t="n">
        <v>13.97</v>
      </c>
      <c r="F76" s="29" t="n">
        <v>3.62</v>
      </c>
      <c r="G76" s="172">
        <f>ROUND(F76*E76,2)</f>
        <v/>
      </c>
      <c r="H76" s="25">
        <f>G76/G86</f>
        <v/>
      </c>
      <c r="I76" s="172">
        <f>ROUND(F76*Прил.10!$D$12,2)</f>
        <v/>
      </c>
      <c r="J76" s="172">
        <f>ROUND(I76*E76,2)</f>
        <v/>
      </c>
    </row>
    <row r="77" hidden="1" outlineLevel="1" ht="46.9" customFormat="1" customHeight="1" s="149">
      <c r="A77" s="166" t="n">
        <v>49</v>
      </c>
      <c r="B77" s="177" t="inlineStr">
        <is>
          <t>11.1.03.06-0095</t>
        </is>
      </c>
      <c r="C77" s="187" t="inlineStr">
        <is>
          <t>Доска обрезная, хвойных пород, ширина 75-150 мм, толщина 44 мм и более, длина 4-6,5 м, сорт III</t>
        </is>
      </c>
      <c r="D77" s="190" t="inlineStr">
        <is>
          <t>м3</t>
        </is>
      </c>
      <c r="E77" s="188" t="n">
        <v>0.03901</v>
      </c>
      <c r="F77" s="29" t="n">
        <v>1056</v>
      </c>
      <c r="G77" s="172">
        <f>ROUND(F77*E77,2)</f>
        <v/>
      </c>
      <c r="H77" s="25">
        <f>G77/G86</f>
        <v/>
      </c>
      <c r="I77" s="172">
        <f>ROUND(F77*Прил.10!$D$12,2)</f>
        <v/>
      </c>
      <c r="J77" s="172">
        <f>ROUND(I77*E77,2)</f>
        <v/>
      </c>
    </row>
    <row r="78" hidden="1" outlineLevel="1" ht="15.6" customFormat="1" customHeight="1" s="149">
      <c r="A78" s="166" t="n">
        <v>50</v>
      </c>
      <c r="B78" s="177" t="inlineStr">
        <is>
          <t>01.7.03.01-0001</t>
        </is>
      </c>
      <c r="C78" s="187" t="inlineStr">
        <is>
          <t>Вода</t>
        </is>
      </c>
      <c r="D78" s="190" t="inlineStr">
        <is>
          <t>м3</t>
        </is>
      </c>
      <c r="E78" s="188" t="n">
        <v>15.105662</v>
      </c>
      <c r="F78" s="29" t="n">
        <v>2.44</v>
      </c>
      <c r="G78" s="172">
        <f>ROUND(F78*E78,2)</f>
        <v/>
      </c>
      <c r="H78" s="25">
        <f>G78/G86</f>
        <v/>
      </c>
      <c r="I78" s="172">
        <f>ROUND(F78*Прил.10!$D$12,2)</f>
        <v/>
      </c>
      <c r="J78" s="172">
        <f>ROUND(I78*E78,2)</f>
        <v/>
      </c>
    </row>
    <row r="79" hidden="1" outlineLevel="1" ht="46.9" customFormat="1" customHeight="1" s="149">
      <c r="A79" s="166" t="n">
        <v>51</v>
      </c>
      <c r="B79" s="177" t="inlineStr">
        <is>
          <t>11.1.03.01-0079</t>
        </is>
      </c>
      <c r="C79" s="187" t="inlineStr">
        <is>
          <t>Бруски обрезные, хвойных пород, длина 4-6,5 м, ширина 75-150 мм, толщина 40-75 мм, сорт III</t>
        </is>
      </c>
      <c r="D79" s="190" t="inlineStr">
        <is>
          <t>м3</t>
        </is>
      </c>
      <c r="E79" s="188" t="n">
        <v>0.0198639</v>
      </c>
      <c r="F79" s="29" t="n">
        <v>1287</v>
      </c>
      <c r="G79" s="172">
        <f>ROUND(F79*E79,2)</f>
        <v/>
      </c>
      <c r="H79" s="25">
        <f>G79/G86</f>
        <v/>
      </c>
      <c r="I79" s="172">
        <f>ROUND(F79*Прил.10!$D$12,2)</f>
        <v/>
      </c>
      <c r="J79" s="172">
        <f>ROUND(I79*E79,2)</f>
        <v/>
      </c>
    </row>
    <row r="80" hidden="1" outlineLevel="1" ht="46.9" customFormat="1" customHeight="1" s="149">
      <c r="A80" s="166" t="n">
        <v>52</v>
      </c>
      <c r="B80" s="177" t="inlineStr">
        <is>
          <t>11.1.03.06-0087</t>
        </is>
      </c>
      <c r="C80" s="187" t="inlineStr">
        <is>
          <t>Доска обрезная, хвойных пород, ширина 75-150 мм, толщина 25 мм, длина 4-6,5 м, сорт III</t>
        </is>
      </c>
      <c r="D80" s="190" t="inlineStr">
        <is>
          <t>м3</t>
        </is>
      </c>
      <c r="E80" s="188" t="n">
        <v>0.01729</v>
      </c>
      <c r="F80" s="29" t="n">
        <v>1100</v>
      </c>
      <c r="G80" s="172">
        <f>ROUND(F80*E80,2)</f>
        <v/>
      </c>
      <c r="H80" s="25">
        <f>G80/G86</f>
        <v/>
      </c>
      <c r="I80" s="172">
        <f>ROUND(F80*Прил.10!$D$12,2)</f>
        <v/>
      </c>
      <c r="J80" s="172">
        <f>ROUND(I80*E80,2)</f>
        <v/>
      </c>
    </row>
    <row r="81" hidden="1" outlineLevel="1" ht="15.6" customFormat="1" customHeight="1" s="149">
      <c r="A81" s="166" t="n">
        <v>53</v>
      </c>
      <c r="B81" s="177" t="inlineStr">
        <is>
          <t>11.2.13.04-0012</t>
        </is>
      </c>
      <c r="C81" s="187" t="inlineStr">
        <is>
          <t>Щиты из досок, толщина 40 мм</t>
        </is>
      </c>
      <c r="D81" s="190" t="inlineStr">
        <is>
          <t>м2</t>
        </is>
      </c>
      <c r="E81" s="188" t="n">
        <v>0.1764</v>
      </c>
      <c r="F81" s="29" t="n">
        <v>57.63</v>
      </c>
      <c r="G81" s="172">
        <f>ROUND(F81*E81,2)</f>
        <v/>
      </c>
      <c r="H81" s="25">
        <f>G81/G86</f>
        <v/>
      </c>
      <c r="I81" s="172">
        <f>ROUND(F81*Прил.10!$D$12,2)</f>
        <v/>
      </c>
      <c r="J81" s="172">
        <f>ROUND(I81*E81,2)</f>
        <v/>
      </c>
    </row>
    <row r="82" hidden="1" outlineLevel="1" ht="31.15" customFormat="1" customHeight="1" s="149">
      <c r="A82" s="166" t="n">
        <v>54</v>
      </c>
      <c r="B82" s="177" t="inlineStr">
        <is>
          <t>03.1.02.03-0011</t>
        </is>
      </c>
      <c r="C82" s="187" t="inlineStr">
        <is>
          <t>Известь строительная негашеная комовая, сорт I</t>
        </is>
      </c>
      <c r="D82" s="190" t="inlineStr">
        <is>
          <t>т</t>
        </is>
      </c>
      <c r="E82" s="188" t="n">
        <v>0.013334</v>
      </c>
      <c r="F82" s="29" t="n">
        <v>734.5</v>
      </c>
      <c r="G82" s="172">
        <f>ROUND(F82*E82,2)</f>
        <v/>
      </c>
      <c r="H82" s="25">
        <f>G82/G86</f>
        <v/>
      </c>
      <c r="I82" s="172">
        <f>ROUND(F82*Прил.10!$D$12,2)</f>
        <v/>
      </c>
      <c r="J82" s="172">
        <f>ROUND(I82*E82,2)</f>
        <v/>
      </c>
    </row>
    <row r="83" hidden="1" outlineLevel="1" ht="31.15" customFormat="1" customHeight="1" s="149">
      <c r="A83" s="166" t="n">
        <v>55</v>
      </c>
      <c r="B83" s="177" t="inlineStr">
        <is>
          <t>08.3.03.06-0002</t>
        </is>
      </c>
      <c r="C83" s="187" t="inlineStr">
        <is>
          <t>Проволока горячекатаная в мотках, диаметр 6,3-6,5 мм</t>
        </is>
      </c>
      <c r="D83" s="190" t="inlineStr">
        <is>
          <t>т</t>
        </is>
      </c>
      <c r="E83" s="188" t="n">
        <v>0.0009146</v>
      </c>
      <c r="F83" s="29" t="n">
        <v>4455.2</v>
      </c>
      <c r="G83" s="172">
        <f>ROUND(F83*E83,2)</f>
        <v/>
      </c>
      <c r="H83" s="25">
        <f>G83/G86</f>
        <v/>
      </c>
      <c r="I83" s="172">
        <f>ROUND(F83*Прил.10!$D$12,2)</f>
        <v/>
      </c>
      <c r="J83" s="172">
        <f>ROUND(I83*E83,2)</f>
        <v/>
      </c>
    </row>
    <row r="84" hidden="1" outlineLevel="1" ht="15.6" customFormat="1" customHeight="1" s="149">
      <c r="A84" s="166" t="n">
        <v>56</v>
      </c>
      <c r="B84" s="177" t="inlineStr">
        <is>
          <t>01.7.20.08-0051</t>
        </is>
      </c>
      <c r="C84" s="187" t="inlineStr">
        <is>
          <t>Ветошь</t>
        </is>
      </c>
      <c r="D84" s="190" t="inlineStr">
        <is>
          <t>кг</t>
        </is>
      </c>
      <c r="E84" s="188" t="n">
        <v>0.8865</v>
      </c>
      <c r="F84" s="29" t="n">
        <v>1.82</v>
      </c>
      <c r="G84" s="172">
        <f>ROUND(F84*E84,2)</f>
        <v/>
      </c>
      <c r="H84" s="25">
        <f>G84/G86</f>
        <v/>
      </c>
      <c r="I84" s="172">
        <f>ROUND(F84*Прил.10!$D$12,2)</f>
        <v/>
      </c>
      <c r="J84" s="172">
        <f>ROUND(I84*E84,2)</f>
        <v/>
      </c>
    </row>
    <row r="85" collapsed="1" ht="15.6" customFormat="1" customHeight="1" s="149">
      <c r="A85" s="166" t="n"/>
      <c r="B85" s="166" t="inlineStr">
        <is>
          <t>Итого прочие Материалы</t>
        </is>
      </c>
      <c r="C85" s="193" t="n"/>
      <c r="D85" s="193" t="n"/>
      <c r="E85" s="193" t="n"/>
      <c r="F85" s="194" t="n"/>
      <c r="G85" s="172">
        <f>SUM(G53:G84)</f>
        <v/>
      </c>
      <c r="H85" s="25">
        <f>SUM(H53:H84)</f>
        <v/>
      </c>
      <c r="I85" s="172" t="n"/>
      <c r="J85" s="172">
        <f>SUM(J53:J84)</f>
        <v/>
      </c>
    </row>
    <row r="86" ht="15.6" customFormat="1" customHeight="1" s="149">
      <c r="A86" s="166" t="n"/>
      <c r="B86" s="166" t="inlineStr">
        <is>
          <t>Итого по разделу "Материалы"</t>
        </is>
      </c>
      <c r="C86" s="193" t="n"/>
      <c r="D86" s="193" t="n"/>
      <c r="E86" s="193" t="n"/>
      <c r="F86" s="194" t="n"/>
      <c r="G86" s="172">
        <f>G52+G85</f>
        <v/>
      </c>
      <c r="H86" s="25">
        <f>H52+H85</f>
        <v/>
      </c>
      <c r="I86" s="172" t="n"/>
      <c r="J86" s="172">
        <f>J52+J85</f>
        <v/>
      </c>
    </row>
    <row r="87" ht="15.6" customFormat="1" customHeight="1" s="149">
      <c r="A87" s="166" t="n"/>
      <c r="B87" s="190" t="n"/>
      <c r="C87" s="187" t="inlineStr">
        <is>
          <t>ИТОГО ПО РМ</t>
        </is>
      </c>
      <c r="D87" s="190" t="n"/>
      <c r="E87" s="190" t="n"/>
      <c r="F87" s="189" t="n"/>
      <c r="G87" s="189">
        <f>+G14+G36+G86</f>
        <v/>
      </c>
      <c r="H87" s="35" t="n"/>
      <c r="I87" s="172" t="n"/>
      <c r="J87" s="189">
        <f>+J14+J36+J86</f>
        <v/>
      </c>
    </row>
    <row r="88" ht="15.6" customFormat="1" customHeight="1" s="149">
      <c r="A88" s="166" t="n"/>
      <c r="B88" s="190" t="n"/>
      <c r="C88" s="187" t="inlineStr">
        <is>
          <t>Накладные расходы</t>
        </is>
      </c>
      <c r="D88" s="37" t="n">
        <v>1.0706407742447</v>
      </c>
      <c r="E88" s="190" t="n"/>
      <c r="F88" s="189" t="n"/>
      <c r="G88" s="189">
        <f>(G14+G16)*D88</f>
        <v/>
      </c>
      <c r="H88" s="35" t="n"/>
      <c r="I88" s="172" t="n"/>
      <c r="J88" s="172">
        <f>(J14+J16)*D88</f>
        <v/>
      </c>
    </row>
    <row r="89" ht="15.6" customFormat="1" customHeight="1" s="149">
      <c r="A89" s="166" t="n"/>
      <c r="B89" s="190" t="n"/>
      <c r="C89" s="187" t="inlineStr">
        <is>
          <t>Сметная прибыль</t>
        </is>
      </c>
      <c r="D89" s="37" t="n">
        <v>0.65999798444952</v>
      </c>
      <c r="E89" s="190" t="n"/>
      <c r="F89" s="189" t="n"/>
      <c r="G89" s="189">
        <f>(G14+G16)*D89</f>
        <v/>
      </c>
      <c r="H89" s="35" t="n"/>
      <c r="I89" s="172" t="n"/>
      <c r="J89" s="172">
        <f>(J14+J16)*D89</f>
        <v/>
      </c>
    </row>
    <row r="90" ht="15.6" customFormat="1" customHeight="1" s="149">
      <c r="A90" s="166" t="n"/>
      <c r="B90" s="190" t="n"/>
      <c r="C90" s="187" t="inlineStr">
        <is>
          <t>Итого СМР (с НР и СП)</t>
        </is>
      </c>
      <c r="D90" s="190" t="n"/>
      <c r="E90" s="190" t="n"/>
      <c r="F90" s="189" t="n"/>
      <c r="G90" s="189">
        <f>G87+G88+G89</f>
        <v/>
      </c>
      <c r="H90" s="35" t="n"/>
      <c r="I90" s="172" t="n"/>
      <c r="J90" s="189">
        <f>J87+J88+J89</f>
        <v/>
      </c>
    </row>
    <row r="91" ht="15.6" customFormat="1" customHeight="1" s="149">
      <c r="A91" s="166" t="n"/>
      <c r="B91" s="190" t="n"/>
      <c r="C91" s="187" t="inlineStr">
        <is>
          <t>ВСЕГО СМР + ОБОРУДОВАНИЕ</t>
        </is>
      </c>
      <c r="D91" s="190" t="n"/>
      <c r="E91" s="190" t="n"/>
      <c r="F91" s="189" t="n"/>
      <c r="G91" s="189">
        <f>G90</f>
        <v/>
      </c>
      <c r="H91" s="35" t="n"/>
      <c r="I91" s="172" t="n"/>
      <c r="J91" s="172">
        <f>J90</f>
        <v/>
      </c>
    </row>
    <row r="92" ht="15.6" customFormat="1" customHeight="1" s="149">
      <c r="A92" s="166" t="n"/>
      <c r="B92" s="190" t="n"/>
      <c r="C92" s="187" t="inlineStr">
        <is>
          <t>ИТОГО ПОКАЗАТЕЛЬ НА ЕД. ИЗМ.</t>
        </is>
      </c>
      <c r="D92" s="190" t="inlineStr">
        <is>
          <t>м</t>
        </is>
      </c>
      <c r="E92" s="190" t="n">
        <v>196.95</v>
      </c>
      <c r="F92" s="189" t="n"/>
      <c r="G92" s="189">
        <f>G91/E92</f>
        <v/>
      </c>
      <c r="H92" s="35" t="n"/>
      <c r="I92" s="172" t="n"/>
      <c r="J92" s="189">
        <f>J91/E92</f>
        <v/>
      </c>
    </row>
    <row r="93" ht="15.6" customFormat="1" customHeight="1" s="149">
      <c r="A93" s="149" t="n"/>
      <c r="B93" s="149" t="n"/>
      <c r="C93" s="149" t="n"/>
      <c r="E93" s="149" t="n"/>
      <c r="F93" s="67" t="n"/>
      <c r="G93" s="67" t="n"/>
      <c r="I93" s="67" t="n"/>
      <c r="J93" s="67" t="n"/>
    </row>
    <row r="94" ht="15.6" customFormat="1" customHeight="1" s="149">
      <c r="A94" s="149" t="inlineStr">
        <is>
          <t>Составил ______________________        М.С. Колотиевская</t>
        </is>
      </c>
      <c r="B94" s="149" t="n"/>
      <c r="C94" s="149" t="n"/>
      <c r="E94" s="149" t="n"/>
      <c r="F94" s="67" t="n"/>
      <c r="G94" s="67" t="n"/>
      <c r="I94" s="67" t="n"/>
      <c r="J94" s="67" t="n"/>
    </row>
    <row r="95" ht="15.6" customFormat="1" customHeight="1" s="149">
      <c r="A95" s="74" t="inlineStr">
        <is>
          <t xml:space="preserve">                         (подпись, инициалы, фамилия)</t>
        </is>
      </c>
      <c r="B95" s="149" t="n"/>
      <c r="C95" s="149" t="n"/>
      <c r="E95" s="149" t="n"/>
      <c r="F95" s="67" t="n"/>
      <c r="G95" s="67" t="n"/>
      <c r="I95" s="67" t="n"/>
      <c r="J95" s="67" t="n"/>
    </row>
    <row r="96" ht="15.6" customFormat="1" customHeight="1" s="149">
      <c r="A96" s="149" t="n"/>
      <c r="B96" s="149" t="n"/>
      <c r="C96" s="149" t="n"/>
      <c r="E96" s="149" t="n"/>
      <c r="F96" s="67" t="n"/>
      <c r="G96" s="67" t="n"/>
      <c r="I96" s="67" t="n"/>
      <c r="J96" s="67" t="n"/>
    </row>
    <row r="97" ht="15.6" customFormat="1" customHeight="1" s="149">
      <c r="A97" s="149" t="inlineStr">
        <is>
          <t>Проверил ______________________      А.В. Костянецкая</t>
        </is>
      </c>
      <c r="B97" s="149" t="n"/>
      <c r="C97" s="149" t="n"/>
      <c r="E97" s="149" t="n"/>
      <c r="F97" s="67" t="n"/>
      <c r="G97" s="67" t="n"/>
      <c r="I97" s="67" t="n"/>
      <c r="J97" s="67" t="n"/>
    </row>
    <row r="98" ht="15.6" customFormat="1" customHeight="1" s="149">
      <c r="A98" s="74" t="inlineStr">
        <is>
          <t xml:space="preserve">                        (подпись, инициалы, фамилия)</t>
        </is>
      </c>
      <c r="B98" s="149" t="n"/>
      <c r="C98" s="149" t="n"/>
      <c r="E98" s="149" t="n"/>
      <c r="F98" s="67" t="n"/>
      <c r="G98" s="67" t="n"/>
      <c r="I98" s="67" t="n"/>
      <c r="J98" s="67" t="n"/>
    </row>
    <row r="99" ht="15.6" customFormat="1" customHeight="1" s="149">
      <c r="E99" s="149" t="n"/>
      <c r="F99" s="67" t="n"/>
      <c r="G99" s="67" t="n"/>
      <c r="I99" s="67" t="n"/>
      <c r="J99" s="67" t="n"/>
    </row>
  </sheetData>
  <mergeCells count="25">
    <mergeCell ref="H9:H10"/>
    <mergeCell ref="B15:H15"/>
    <mergeCell ref="H2:J2"/>
    <mergeCell ref="B52:F52"/>
    <mergeCell ref="C9:C10"/>
    <mergeCell ref="E9:E10"/>
    <mergeCell ref="B86:F86"/>
    <mergeCell ref="A7:H7"/>
    <mergeCell ref="B9:B10"/>
    <mergeCell ref="D9:D10"/>
    <mergeCell ref="B18:H18"/>
    <mergeCell ref="B43:H43"/>
    <mergeCell ref="B12:H12"/>
    <mergeCell ref="F9:G9"/>
    <mergeCell ref="A4:H4"/>
    <mergeCell ref="B17:H17"/>
    <mergeCell ref="B24:F24"/>
    <mergeCell ref="A9:A10"/>
    <mergeCell ref="B44:H44"/>
    <mergeCell ref="B38:H38"/>
    <mergeCell ref="B85:F85"/>
    <mergeCell ref="B36:F36"/>
    <mergeCell ref="B37:H37"/>
    <mergeCell ref="I9:J9"/>
    <mergeCell ref="B35:F35"/>
  </mergeCells>
  <conditionalFormatting sqref="E13:E99">
    <cfRule type="expression" priority="1" dxfId="0" stopIfTrue="1">
      <formula>E13&gt;=1/10000</formula>
    </cfRule>
  </conditionalFormatting>
  <pageMargins left="0.7086614173228351" right="0.7086614173228351" top="0.748031496062992" bottom="0.748031496062992" header="0.31496062992126" footer="0.31496062992126"/>
  <pageSetup orientation="landscape" paperSize="9" scale="81" fitToHeight="0" cellComments="atEnd"/>
  <rowBreaks count="1" manualBreakCount="1">
    <brk id="49" min="0" max="9" man="1"/>
  </rowBreaks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G19"/>
  <sheetViews>
    <sheetView view="pageBreakPreview" zoomScale="60" zoomScaleNormal="100" workbookViewId="0">
      <selection activeCell="B26" sqref="B26:D31"/>
    </sheetView>
  </sheetViews>
  <sheetFormatPr baseColWidth="8" defaultColWidth="9.140625" defaultRowHeight="15"/>
  <cols>
    <col width="5.7109375" customWidth="1" style="118" min="1" max="1"/>
    <col width="14.85546875" customWidth="1" style="118" min="2" max="2"/>
    <col width="39.140625" customWidth="1" style="118" min="3" max="3"/>
    <col width="8.28515625" customWidth="1" style="118" min="4" max="4"/>
    <col width="13.5703125" customWidth="1" style="118" min="5" max="5"/>
    <col width="12.42578125" customWidth="1" style="118" min="6" max="6"/>
    <col width="14.140625" customWidth="1" style="118" min="7" max="7"/>
    <col width="9.140625" customWidth="1" style="118" min="8" max="8"/>
  </cols>
  <sheetData>
    <row r="1" ht="15.6" customHeight="1" s="118">
      <c r="A1" s="173" t="inlineStr">
        <is>
          <t>Приложение №6</t>
        </is>
      </c>
    </row>
    <row r="2" ht="21.75" customHeight="1" s="118">
      <c r="A2" s="173" t="n"/>
      <c r="B2" s="173" t="n"/>
      <c r="C2" s="173" t="n"/>
      <c r="D2" s="173" t="n"/>
      <c r="E2" s="173" t="n"/>
      <c r="F2" s="173" t="n"/>
      <c r="G2" s="173" t="n"/>
    </row>
    <row r="3" ht="15.6" customHeight="1" s="118">
      <c r="A3" s="161" t="inlineStr">
        <is>
          <t>Расчет стоимости оборудования</t>
        </is>
      </c>
    </row>
    <row r="4" ht="25.5" customHeight="1" s="118">
      <c r="A4" s="174" t="inlineStr">
        <is>
          <t>Наименование разрабатываемого показателя УНЦ —  Н2-05 БРТМ Каб.коллектор не глубокого заложения</t>
        </is>
      </c>
    </row>
    <row r="5" ht="15.6" customHeight="1" s="118">
      <c r="A5" s="149" t="n"/>
      <c r="B5" s="149" t="n"/>
      <c r="C5" s="149" t="n"/>
      <c r="D5" s="149" t="n"/>
      <c r="E5" s="149" t="n"/>
      <c r="F5" s="149" t="n"/>
      <c r="G5" s="149" t="n"/>
    </row>
    <row r="6" ht="30" customFormat="1" customHeight="1" s="149">
      <c r="A6" s="190" t="inlineStr">
        <is>
          <t>№ пп.</t>
        </is>
      </c>
      <c r="B6" s="190" t="inlineStr">
        <is>
          <t>Код ресурса</t>
        </is>
      </c>
      <c r="C6" s="190" t="inlineStr">
        <is>
          <t>Наименование</t>
        </is>
      </c>
      <c r="D6" s="190" t="inlineStr">
        <is>
          <t>Ед. изм.</t>
        </is>
      </c>
      <c r="E6" s="162" t="inlineStr">
        <is>
          <t>Кол-во единиц по проектным данным</t>
        </is>
      </c>
      <c r="F6" s="190" t="inlineStr">
        <is>
          <t>Сметная стоимость в ценах на 01.01.2000 (руб.)</t>
        </is>
      </c>
      <c r="G6" s="194" t="n"/>
    </row>
    <row r="7" ht="15.6" customFormat="1" customHeight="1" s="149">
      <c r="A7" s="196" t="n"/>
      <c r="B7" s="196" t="n"/>
      <c r="C7" s="196" t="n"/>
      <c r="D7" s="196" t="n"/>
      <c r="E7" s="196" t="n"/>
      <c r="F7" s="162" t="inlineStr">
        <is>
          <t>на ед. изм.</t>
        </is>
      </c>
      <c r="G7" s="162" t="inlineStr">
        <is>
          <t>общая</t>
        </is>
      </c>
    </row>
    <row r="8" ht="15.6" customFormat="1" customHeight="1" s="149">
      <c r="A8" s="162" t="n">
        <v>1</v>
      </c>
      <c r="B8" s="162" t="n">
        <v>2</v>
      </c>
      <c r="C8" s="162" t="n">
        <v>3</v>
      </c>
      <c r="D8" s="162" t="n">
        <v>4</v>
      </c>
      <c r="E8" s="162" t="n">
        <v>5</v>
      </c>
      <c r="F8" s="162" t="n">
        <v>6</v>
      </c>
      <c r="G8" s="162" t="n">
        <v>7</v>
      </c>
    </row>
    <row r="9" ht="15.6" customFormat="1" customHeight="1" s="149">
      <c r="A9" s="165" t="n"/>
      <c r="B9" s="187" t="inlineStr">
        <is>
          <t>ИНЖЕНЕРНОЕ ОБОРУДОВАНИЕ</t>
        </is>
      </c>
      <c r="C9" s="193" t="n"/>
      <c r="D9" s="193" t="n"/>
      <c r="E9" s="193" t="n"/>
      <c r="F9" s="193" t="n"/>
      <c r="G9" s="194" t="n"/>
    </row>
    <row r="10" ht="31.15" customFormat="1" customHeight="1" s="149">
      <c r="A10" s="190" t="n"/>
      <c r="B10" s="86" t="n"/>
      <c r="C10" s="187" t="inlineStr">
        <is>
          <t>ИТОГО ИНЖЕНЕРНОЕ ОБОРУДОВАНИЕ</t>
        </is>
      </c>
      <c r="D10" s="86" t="n"/>
      <c r="E10" s="87" t="n"/>
      <c r="F10" s="189" t="n"/>
      <c r="G10" s="189" t="n">
        <v>0</v>
      </c>
    </row>
    <row r="11" ht="15.6" customFormat="1" customHeight="1" s="149">
      <c r="A11" s="190" t="n"/>
      <c r="B11" s="187" t="inlineStr">
        <is>
          <t>ТЕХНОЛОГИЧЕСКОЕ ОБОРУДОВАНИЕ</t>
        </is>
      </c>
      <c r="C11" s="193" t="n"/>
      <c r="D11" s="193" t="n"/>
      <c r="E11" s="193" t="n"/>
      <c r="F11" s="193" t="n"/>
      <c r="G11" s="194" t="n"/>
    </row>
    <row r="12" ht="31.15" customFormat="1" customHeight="1" s="149">
      <c r="A12" s="190" t="n"/>
      <c r="B12" s="187" t="n"/>
      <c r="C12" s="187" t="inlineStr">
        <is>
          <t>ИТОГО ТЕХНОЛОГИЧЕСКОЕ ОБОРУДОВАНИЕ</t>
        </is>
      </c>
      <c r="D12" s="187" t="n"/>
      <c r="E12" s="188" t="n"/>
      <c r="F12" s="189" t="n"/>
      <c r="G12" s="189" t="n">
        <v>0</v>
      </c>
    </row>
    <row r="13" ht="15.6" customFormat="1" customHeight="1" s="149">
      <c r="A13" s="190" t="n"/>
      <c r="B13" s="187" t="n"/>
      <c r="C13" s="187" t="inlineStr">
        <is>
          <t>Итого по разделу "Оборудование"</t>
        </is>
      </c>
      <c r="D13" s="187" t="n"/>
      <c r="E13" s="188" t="n"/>
      <c r="F13" s="189" t="n"/>
      <c r="G13" s="189">
        <f>G12</f>
        <v/>
      </c>
    </row>
    <row r="14" ht="15.6" customFormat="1" customHeight="1" s="149">
      <c r="A14" s="149" t="n"/>
      <c r="B14" s="149" t="n"/>
      <c r="C14" s="149" t="n"/>
    </row>
    <row r="15" ht="15.6" customFormat="1" customHeight="1" s="149">
      <c r="A15" s="149" t="inlineStr">
        <is>
          <t>Составил ______________________        М.С. Колотиевская</t>
        </is>
      </c>
      <c r="B15" s="149" t="n"/>
      <c r="C15" s="149" t="n"/>
    </row>
    <row r="16" ht="15.6" customFormat="1" customHeight="1" s="149">
      <c r="A16" s="74" t="inlineStr">
        <is>
          <t xml:space="preserve">                         (подпись, инициалы, фамилия)</t>
        </is>
      </c>
      <c r="B16" s="149" t="n"/>
      <c r="C16" s="149" t="n"/>
    </row>
    <row r="17" ht="15.6" customFormat="1" customHeight="1" s="149">
      <c r="A17" s="149" t="n"/>
      <c r="B17" s="149" t="n"/>
      <c r="C17" s="149" t="n"/>
    </row>
    <row r="18" ht="15.6" customFormat="1" customHeight="1" s="149">
      <c r="A18" s="149" t="inlineStr">
        <is>
          <t>Проверил ______________________      А.В. Костянецкая</t>
        </is>
      </c>
      <c r="B18" s="149" t="n"/>
      <c r="C18" s="149" t="n"/>
    </row>
    <row r="19" ht="15.6" customFormat="1" customHeight="1" s="149">
      <c r="A19" s="74" t="inlineStr">
        <is>
          <t xml:space="preserve">                        (подпись, инициалы, фамилия)</t>
        </is>
      </c>
      <c r="B19" s="149" t="n"/>
      <c r="C19" s="149" t="n"/>
    </row>
    <row r="20" ht="15.6" customFormat="1" customHeight="1" s="149"/>
  </sheetData>
  <mergeCells count="11">
    <mergeCell ref="A1:G1"/>
    <mergeCell ref="A3:G3"/>
    <mergeCell ref="B9:G9"/>
    <mergeCell ref="A4:G4"/>
    <mergeCell ref="F6:G6"/>
    <mergeCell ref="E6:E7"/>
    <mergeCell ref="C6:C7"/>
    <mergeCell ref="A6:A7"/>
    <mergeCell ref="D6:D7"/>
    <mergeCell ref="B6:B7"/>
    <mergeCell ref="B11:G11"/>
  </mergeCells>
  <conditionalFormatting sqref="E10:E13">
    <cfRule type="expression" priority="1" dxfId="0" stopIfTrue="1">
      <formula>E10&gt;=1/10000</formula>
    </cfRule>
  </conditionalFormatting>
  <pageMargins left="0.7" right="0.7" top="0.75" bottom="0.75" header="0.3" footer="0.3"/>
  <pageSetup orientation="portrait" paperSize="9" scale="81" cellComments="atEnd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D17"/>
  <sheetViews>
    <sheetView view="pageBreakPreview" workbookViewId="0">
      <selection activeCell="B26" sqref="B26:D31"/>
    </sheetView>
  </sheetViews>
  <sheetFormatPr baseColWidth="8" defaultRowHeight="15"/>
  <cols>
    <col width="12.7109375" customWidth="1" style="118" min="1" max="1"/>
    <col width="22.42578125" customWidth="1" style="118" min="2" max="2"/>
    <col width="37.140625" customWidth="1" style="118" min="3" max="3"/>
    <col width="49" customWidth="1" style="118" min="4" max="4"/>
    <col width="9.140625" customWidth="1" style="118" min="5" max="5"/>
  </cols>
  <sheetData>
    <row r="1" ht="15.75" customHeight="1" s="118">
      <c r="A1" s="149" t="n"/>
      <c r="B1" s="149" t="n"/>
      <c r="C1" s="149" t="n"/>
      <c r="D1" s="149" t="inlineStr">
        <is>
          <t>Приложение №7</t>
        </is>
      </c>
    </row>
    <row r="2" ht="15.75" customHeight="1" s="118">
      <c r="A2" s="149" t="n"/>
      <c r="B2" s="149" t="n"/>
      <c r="C2" s="149" t="n"/>
      <c r="D2" s="149" t="n"/>
    </row>
    <row r="3" ht="15.75" customHeight="1" s="118">
      <c r="A3" s="149" t="n"/>
      <c r="B3" s="111" t="inlineStr">
        <is>
          <t>Расчет показателя УНЦ</t>
        </is>
      </c>
      <c r="C3" s="149" t="n"/>
      <c r="D3" s="149" t="n"/>
    </row>
    <row r="4" ht="15.75" customHeight="1" s="118">
      <c r="A4" s="149" t="n"/>
      <c r="B4" s="149" t="n"/>
      <c r="C4" s="149" t="n"/>
      <c r="D4" s="149" t="n"/>
    </row>
    <row r="5" ht="15.75" customHeight="1" s="118">
      <c r="A5" s="174" t="inlineStr">
        <is>
          <t xml:space="preserve">Наименование разрабатываемого показателя УНЦ - </t>
        </is>
      </c>
      <c r="D5" s="174">
        <f>'Прил.5 Расчет СМР и ОБ'!D6:J6</f>
        <v/>
      </c>
    </row>
    <row r="6" ht="15.75" customHeight="1" s="118">
      <c r="A6" s="149" t="inlineStr">
        <is>
          <t>Единица измерения  — 1 м</t>
        </is>
      </c>
      <c r="B6" s="149" t="n"/>
      <c r="C6" s="149" t="n"/>
      <c r="D6" s="149" t="n"/>
    </row>
    <row r="7" ht="15.75" customHeight="1" s="118">
      <c r="A7" s="149" t="n"/>
      <c r="B7" s="149" t="n"/>
      <c r="C7" s="149" t="n"/>
      <c r="D7" s="149" t="n"/>
    </row>
    <row r="8">
      <c r="A8" s="162" t="inlineStr">
        <is>
          <t>Код показателя</t>
        </is>
      </c>
      <c r="B8" s="162" t="inlineStr">
        <is>
          <t>Наименование показателя</t>
        </is>
      </c>
      <c r="C8" s="162" t="inlineStr">
        <is>
          <t>Наименование РМ, входящих в состав показателя</t>
        </is>
      </c>
      <c r="D8" s="162" t="inlineStr">
        <is>
          <t>Норматив цены на 01.01.2023, тыс.руб.</t>
        </is>
      </c>
    </row>
    <row r="9">
      <c r="A9" s="196" t="n"/>
      <c r="B9" s="196" t="n"/>
      <c r="C9" s="196" t="n"/>
      <c r="D9" s="196" t="n"/>
    </row>
    <row r="10" ht="15.75" customHeight="1" s="118">
      <c r="A10" s="162" t="n">
        <v>1</v>
      </c>
      <c r="B10" s="162" t="n">
        <v>2</v>
      </c>
      <c r="C10" s="162" t="n">
        <v>3</v>
      </c>
      <c r="D10" s="162" t="n">
        <v>4</v>
      </c>
    </row>
    <row r="11" ht="63" customHeight="1" s="118">
      <c r="A11" s="162" t="inlineStr">
        <is>
          <t>Н2-03</t>
        </is>
      </c>
      <c r="B11" s="162" t="inlineStr">
        <is>
          <t xml:space="preserve">УНЦ кабельных сооружений для прокладки кабельной линии </t>
        </is>
      </c>
      <c r="C11" s="115">
        <f>D5</f>
        <v/>
      </c>
      <c r="D11" s="126">
        <f>'Прил.4 РМ'!C41/1000</f>
        <v/>
      </c>
    </row>
    <row r="12" ht="15.75" customHeight="1" s="118">
      <c r="A12" s="149" t="n"/>
      <c r="B12" s="149" t="n"/>
      <c r="C12" s="149" t="n"/>
    </row>
    <row r="13" ht="15.75" customHeight="1" s="118">
      <c r="A13" s="149" t="inlineStr">
        <is>
          <t>Составил ______________________        М.С. Колотиевская</t>
        </is>
      </c>
      <c r="B13" s="149" t="n"/>
      <c r="C13" s="149" t="n"/>
      <c r="D13" s="117" t="n"/>
    </row>
    <row r="14" ht="15.75" customHeight="1" s="118">
      <c r="A14" s="74" t="inlineStr">
        <is>
          <t xml:space="preserve">                         (подпись, инициалы, фамилия)</t>
        </is>
      </c>
      <c r="B14" s="149" t="n"/>
      <c r="C14" s="149" t="n"/>
      <c r="D14" s="117" t="n"/>
    </row>
    <row r="15" ht="15.75" customHeight="1" s="118">
      <c r="A15" s="149" t="n"/>
      <c r="B15" s="149" t="n"/>
      <c r="C15" s="149" t="n"/>
      <c r="D15" s="117" t="n"/>
    </row>
    <row r="16" ht="15.75" customHeight="1" s="118">
      <c r="A16" s="149" t="inlineStr">
        <is>
          <t>Проверил ______________________      А.В. Костянецкая</t>
        </is>
      </c>
      <c r="B16" s="149" t="n"/>
      <c r="C16" s="149" t="n"/>
      <c r="D16" s="117" t="n"/>
    </row>
    <row r="17" ht="20.25" customHeight="1" s="118">
      <c r="A17" s="74" t="inlineStr">
        <is>
          <t xml:space="preserve">                        (подпись, инициалы, фамилия)</t>
        </is>
      </c>
      <c r="B17" s="149" t="n"/>
      <c r="C17" s="149" t="n"/>
      <c r="D17" s="117" t="n"/>
    </row>
  </sheetData>
  <mergeCells count="5">
    <mergeCell ref="A8:A9"/>
    <mergeCell ref="C8:C9"/>
    <mergeCell ref="A5:C5"/>
    <mergeCell ref="D8:D9"/>
    <mergeCell ref="B8:B9"/>
  </mergeCells>
  <pageMargins left="0.7" right="0.7" top="0.75" bottom="0.75" header="0.3" footer="0.3"/>
  <pageSetup orientation="portrait" paperSize="9" scale="72" cellComments="atEnd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B4:E30"/>
  <sheetViews>
    <sheetView view="pageBreakPreview" topLeftCell="A13" zoomScale="60" zoomScaleNormal="100" workbookViewId="0">
      <selection activeCell="D39" sqref="D39"/>
    </sheetView>
  </sheetViews>
  <sheetFormatPr baseColWidth="8" defaultColWidth="9.140625" defaultRowHeight="15"/>
  <cols>
    <col width="9.140625" customWidth="1" style="118" min="1" max="1"/>
    <col width="40.7109375" customWidth="1" style="118" min="2" max="2"/>
    <col width="37" customWidth="1" style="118" min="3" max="3"/>
    <col width="32" customWidth="1" style="118" min="4" max="4"/>
    <col width="9.140625" customWidth="1" style="118" min="5" max="5"/>
  </cols>
  <sheetData>
    <row r="4" ht="15.6" customHeight="1" s="118">
      <c r="B4" s="158" t="inlineStr">
        <is>
          <t>Приложение № 10</t>
        </is>
      </c>
    </row>
    <row r="5" ht="18" customHeight="1" s="118">
      <c r="B5" s="47" t="n"/>
    </row>
    <row r="6" ht="15.6" customHeight="1" s="118">
      <c r="B6" s="161" t="inlineStr">
        <is>
          <t>Используемые индексы изменений сметной стоимости и нормы сопутствующих затрат</t>
        </is>
      </c>
    </row>
    <row r="7" ht="18" customHeight="1" s="118">
      <c r="B7" s="140" t="n"/>
    </row>
    <row r="8" ht="46.9" customFormat="1" customHeight="1" s="149">
      <c r="B8" s="162" t="inlineStr">
        <is>
          <t>Наименование индекса / норм сопутствующих затрат</t>
        </is>
      </c>
      <c r="C8" s="162" t="inlineStr">
        <is>
          <t>Дата применения и обоснование индекса / норм сопутствующих затрат</t>
        </is>
      </c>
      <c r="D8" s="162" t="inlineStr">
        <is>
          <t>Размер индекса / норма сопутствующих затрат</t>
        </is>
      </c>
    </row>
    <row r="9" ht="15.6" customFormat="1" customHeight="1" s="149">
      <c r="B9" s="162" t="n">
        <v>1</v>
      </c>
      <c r="C9" s="162" t="n">
        <v>2</v>
      </c>
      <c r="D9" s="162" t="n">
        <v>3</v>
      </c>
    </row>
    <row r="10" ht="45" customFormat="1" customHeight="1" s="149">
      <c r="B10" s="162" t="inlineStr">
        <is>
          <t xml:space="preserve">Индекс изменения сметной стоимости на 1 квартал 2023 года. ОЗП </t>
        </is>
      </c>
      <c r="C10" s="162" t="inlineStr">
        <is>
          <t>Письмо Минстроя России от 30.03.2023г. №17106-ИФ/09  прил.1</t>
        </is>
      </c>
      <c r="D10" s="162" t="n">
        <v>44.29</v>
      </c>
    </row>
    <row r="11" ht="29.25" customFormat="1" customHeight="1" s="149">
      <c r="B11" s="162" t="inlineStr">
        <is>
          <t>Индекс изменения сметной стоимости на 1 квартал 2023 года. ЭМ</t>
        </is>
      </c>
      <c r="C11" s="162" t="inlineStr">
        <is>
          <t>Письмо Минстроя России от 30.03.2023г. №17106-ИФ/09  прил.1</t>
        </is>
      </c>
      <c r="D11" s="162" t="n">
        <v>13.47</v>
      </c>
    </row>
    <row r="12" ht="29.25" customFormat="1" customHeight="1" s="149">
      <c r="B12" s="162" t="inlineStr">
        <is>
          <t>Индекс изменения сметной стоимости на 1 квартал 2023 года. МАТ</t>
        </is>
      </c>
      <c r="C12" s="162" t="inlineStr">
        <is>
          <t>Письмо Минстроя России от 30.03.2023г. №17106-ИФ/09  прил.1</t>
        </is>
      </c>
      <c r="D12" s="162" t="n">
        <v>8.039999999999999</v>
      </c>
    </row>
    <row r="13" ht="30.75" customFormat="1" customHeight="1" s="149">
      <c r="B13" s="162" t="inlineStr">
        <is>
          <t>Индекс изменения сметной стоимости на 1 квартал 2023 года. ОБ</t>
        </is>
      </c>
      <c r="C13" s="145" t="inlineStr">
        <is>
          <t>Письмо Минстроя России от 23.02.2023г. №9791-ИФ/09 прил.6</t>
        </is>
      </c>
      <c r="D13" s="162" t="n">
        <v>6.26</v>
      </c>
    </row>
    <row r="14" ht="89.25" customFormat="1" customHeight="1" s="149">
      <c r="B14" s="162" t="inlineStr">
        <is>
          <t>Временные здания и сооружения</t>
        </is>
      </c>
      <c r="C14" s="162" t="inlineStr">
        <is>
          <t xml:space="preserve">п.22 Приложения №1 Методики орпределения затрат на строительство временных зданий и сооружений   по приказу Минстроя РФ №332/пр от 19.06.2020  </t>
        </is>
      </c>
      <c r="D14" s="48" t="n">
        <v>0.039</v>
      </c>
    </row>
    <row r="15" ht="78" customFormat="1" customHeight="1" s="149">
      <c r="B15" s="162" t="inlineStr">
        <is>
          <t>Дополнительные затраты при производстве строительно-монтажных работ в зимнее время</t>
        </is>
      </c>
      <c r="C15" s="162" t="inlineStr">
        <is>
          <t xml:space="preserve">п.37 Приложения №1 Методики орпределения дополнительных  затрат при производстве работ в зимнее время по приказу Минстроя РФ №325/пр от 25.05.2021  </t>
        </is>
      </c>
      <c r="D15" s="48" t="n">
        <v>0.021</v>
      </c>
      <c r="E15" s="41" t="n"/>
    </row>
    <row r="16" ht="34.5" customFormat="1" customHeight="1" s="149">
      <c r="B16" s="162" t="inlineStr">
        <is>
          <t>Пусконаладочные работы</t>
        </is>
      </c>
      <c r="C16" s="162" t="n"/>
      <c r="D16" s="162" t="inlineStr">
        <is>
          <t>80% от 7% стоимости оборудования</t>
        </is>
      </c>
    </row>
    <row r="17" ht="31.5" customFormat="1" customHeight="1" s="149">
      <c r="B17" s="162" t="inlineStr">
        <is>
          <t>Строительный контроль</t>
        </is>
      </c>
      <c r="C17" s="162" t="inlineStr">
        <is>
          <t>Постановление Правительства РФ от 21.06.10 г. № 468</t>
        </is>
      </c>
      <c r="D17" s="48" t="n">
        <v>0.0214</v>
      </c>
    </row>
    <row r="18" ht="31.5" customFormat="1" customHeight="1" s="149">
      <c r="B18" s="162" t="inlineStr">
        <is>
          <t>Авторский надзор</t>
        </is>
      </c>
      <c r="C18" s="162" t="inlineStr">
        <is>
          <t>Приказ от 4.08.2020 № 421/пр п.173</t>
        </is>
      </c>
      <c r="D18" s="48" t="n">
        <v>0.002</v>
      </c>
    </row>
    <row r="19" ht="24" customFormat="1" customHeight="1" s="149">
      <c r="B19" s="162" t="inlineStr">
        <is>
          <t>Непредвиденные расходы</t>
        </is>
      </c>
      <c r="C19" s="162" t="inlineStr">
        <is>
          <t>Приказ от 4.08.2020 № 421/пр п.179</t>
        </is>
      </c>
      <c r="D19" s="48" t="n">
        <v>0.03</v>
      </c>
    </row>
    <row r="20" ht="15.6" customFormat="1" customHeight="1" s="149">
      <c r="B20" s="157" t="n"/>
    </row>
    <row r="21" ht="15.6" customFormat="1" customHeight="1" s="149">
      <c r="B21" s="157" t="n"/>
    </row>
    <row r="22" ht="15.6" customFormat="1" customHeight="1" s="149">
      <c r="B22" s="157" t="n"/>
    </row>
    <row r="23" ht="15.6" customFormat="1" customHeight="1" s="149">
      <c r="B23" s="157" t="n"/>
    </row>
    <row r="24" ht="15.6" customFormat="1" customHeight="1" s="149"/>
    <row r="25" ht="15.6" customFormat="1" customHeight="1" s="149">
      <c r="B25" s="149" t="n"/>
      <c r="C25" s="149" t="n"/>
      <c r="D25" s="149" t="n"/>
    </row>
    <row r="26" ht="15.6" customFormat="1" customHeight="1" s="149">
      <c r="B26" s="149" t="inlineStr">
        <is>
          <t>Составил ______________________        М.С. Колотиевская</t>
        </is>
      </c>
      <c r="C26" s="149" t="n"/>
      <c r="D26" s="149" t="n"/>
    </row>
    <row r="27" ht="15.6" customFormat="1" customHeight="1" s="149">
      <c r="B27" s="74" t="inlineStr">
        <is>
          <t xml:space="preserve">                         (подпись, инициалы, фамилия)</t>
        </is>
      </c>
      <c r="C27" s="149" t="n"/>
      <c r="D27" s="149" t="n"/>
    </row>
    <row r="28" ht="15.6" customFormat="1" customHeight="1" s="149">
      <c r="B28" s="149" t="n"/>
      <c r="C28" s="149" t="n"/>
      <c r="D28" s="149" t="n"/>
    </row>
    <row r="29" ht="15.6" customFormat="1" customHeight="1" s="149">
      <c r="B29" s="149" t="inlineStr">
        <is>
          <t>Проверил ______________________      А.В. Костянецкая</t>
        </is>
      </c>
      <c r="C29" s="149" t="n"/>
      <c r="D29" s="149" t="n"/>
    </row>
    <row r="30" ht="15.6" customFormat="1" customHeight="1" s="149">
      <c r="B30" s="74" t="inlineStr">
        <is>
          <t xml:space="preserve">                        (подпись, инициалы, фамилия)</t>
        </is>
      </c>
      <c r="C30" s="149" t="n"/>
      <c r="D30" s="149" t="n"/>
    </row>
    <row r="31" ht="15.6" customFormat="1" customHeight="1" s="149"/>
  </sheetData>
  <mergeCells count="2">
    <mergeCell ref="B6:D6"/>
    <mergeCell ref="B4:D4"/>
  </mergeCells>
  <pageMargins left="0.7" right="0.7" top="0.75" bottom="0.75" header="0.3" footer="0.3"/>
  <pageSetup orientation="portrait" paperSize="9" scale="74" cellComments="atEnd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2:G13"/>
  <sheetViews>
    <sheetView view="pageBreakPreview" zoomScale="60" zoomScaleNormal="100" workbookViewId="0">
      <selection activeCell="U29" sqref="U29"/>
    </sheetView>
  </sheetViews>
  <sheetFormatPr baseColWidth="8" defaultColWidth="9.140625" defaultRowHeight="15"/>
  <cols>
    <col width="44.85546875" customWidth="1" style="118" min="2" max="2"/>
    <col width="13" customWidth="1" style="118" min="3" max="3"/>
    <col width="22.85546875" customWidth="1" style="118" min="4" max="4"/>
    <col width="21.5703125" customWidth="1" style="118" min="5" max="5"/>
    <col width="43.85546875" customWidth="1" style="118" min="6" max="6"/>
  </cols>
  <sheetData>
    <row r="1" s="118"/>
    <row r="2" ht="17.25" customHeight="1" s="118">
      <c r="A2" s="161" t="inlineStr">
        <is>
          <t>Расчет размера средств на оплату труда рабочих-строителей в текущем уровне цен (ФОТр.тек.)</t>
        </is>
      </c>
    </row>
    <row r="3" s="118"/>
    <row r="4" ht="18" customHeight="1" s="118">
      <c r="A4" s="119" t="inlineStr">
        <is>
          <t>Составлен в уровне цен на 01.01.2023 г.</t>
        </is>
      </c>
      <c r="B4" s="149" t="n"/>
      <c r="C4" s="149" t="n"/>
      <c r="D4" s="149" t="n"/>
      <c r="E4" s="149" t="n"/>
      <c r="F4" s="149" t="n"/>
      <c r="G4" s="149" t="n"/>
    </row>
    <row r="5" ht="15.75" customHeight="1" s="118">
      <c r="A5" s="121" t="inlineStr">
        <is>
          <t>№ пп.</t>
        </is>
      </c>
      <c r="B5" s="121" t="inlineStr">
        <is>
          <t>Наименование элемента</t>
        </is>
      </c>
      <c r="C5" s="121" t="inlineStr">
        <is>
          <t>Обозначение</t>
        </is>
      </c>
      <c r="D5" s="121" t="inlineStr">
        <is>
          <t>Формула</t>
        </is>
      </c>
      <c r="E5" s="121" t="inlineStr">
        <is>
          <t>Величина элемента</t>
        </is>
      </c>
      <c r="F5" s="121" t="inlineStr">
        <is>
          <t>Наименования обосновывающих документов</t>
        </is>
      </c>
      <c r="G5" s="149" t="n"/>
    </row>
    <row r="6" ht="15.75" customHeight="1" s="118">
      <c r="A6" s="121" t="n">
        <v>1</v>
      </c>
      <c r="B6" s="121" t="n">
        <v>2</v>
      </c>
      <c r="C6" s="121" t="n">
        <v>3</v>
      </c>
      <c r="D6" s="121" t="n">
        <v>4</v>
      </c>
      <c r="E6" s="121" t="n">
        <v>5</v>
      </c>
      <c r="F6" s="121" t="n">
        <v>6</v>
      </c>
      <c r="G6" s="149" t="n"/>
    </row>
    <row r="7" ht="110.25" customHeight="1" s="118">
      <c r="A7" s="122" t="inlineStr">
        <is>
          <t>1.1</t>
        </is>
      </c>
      <c r="B7" s="183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162" t="inlineStr">
        <is>
          <t>С1ср</t>
        </is>
      </c>
      <c r="D7" s="162" t="inlineStr">
        <is>
          <t>-</t>
        </is>
      </c>
      <c r="E7" s="125" t="n">
        <v>47872.94</v>
      </c>
      <c r="F7" s="183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149" t="n"/>
    </row>
    <row r="8" ht="31.5" customHeight="1" s="118">
      <c r="A8" s="122" t="inlineStr">
        <is>
          <t>1.2</t>
        </is>
      </c>
      <c r="B8" s="183" t="inlineStr">
        <is>
          <t>Среднегодовое нормативное число часов работы одного рабочего в месяц, часы (ч.)</t>
        </is>
      </c>
      <c r="C8" s="162" t="inlineStr">
        <is>
          <t>tср</t>
        </is>
      </c>
      <c r="D8" s="162" t="inlineStr">
        <is>
          <t>1973ч/12мес.</t>
        </is>
      </c>
      <c r="E8" s="126">
        <f>1973/12</f>
        <v/>
      </c>
      <c r="F8" s="183" t="inlineStr">
        <is>
          <t>Производственный календарь 2023 год
(40-часов.неделя)</t>
        </is>
      </c>
      <c r="G8" s="129" t="n"/>
    </row>
    <row r="9" ht="15.75" customHeight="1" s="118">
      <c r="A9" s="122" t="inlineStr">
        <is>
          <t>1.3</t>
        </is>
      </c>
      <c r="B9" s="183" t="inlineStr">
        <is>
          <t>Коэффициент увеличения</t>
        </is>
      </c>
      <c r="C9" s="162" t="inlineStr">
        <is>
          <t>Кув</t>
        </is>
      </c>
      <c r="D9" s="162" t="inlineStr">
        <is>
          <t>-</t>
        </is>
      </c>
      <c r="E9" s="126" t="n">
        <v>1</v>
      </c>
      <c r="F9" s="183" t="n"/>
      <c r="G9" s="129" t="n"/>
    </row>
    <row r="10" ht="15.75" customHeight="1" s="118">
      <c r="A10" s="122" t="inlineStr">
        <is>
          <t>1.4</t>
        </is>
      </c>
      <c r="B10" s="183" t="inlineStr">
        <is>
          <t>Средний разряд работ</t>
        </is>
      </c>
      <c r="C10" s="162" t="n"/>
      <c r="D10" s="162" t="n"/>
      <c r="E10" s="130" t="n">
        <v>3.5</v>
      </c>
      <c r="F10" s="183" t="inlineStr">
        <is>
          <t>РТМ</t>
        </is>
      </c>
      <c r="G10" s="129" t="n"/>
    </row>
    <row r="11" ht="78.75" customHeight="1" s="118">
      <c r="A11" s="122" t="inlineStr">
        <is>
          <t>1.5</t>
        </is>
      </c>
      <c r="B11" s="183" t="inlineStr">
        <is>
          <t>Тарифный коэффициент среднего разряда работ</t>
        </is>
      </c>
      <c r="C11" s="162" t="inlineStr">
        <is>
          <t>КТ</t>
        </is>
      </c>
      <c r="D11" s="162" t="inlineStr">
        <is>
          <t>-</t>
        </is>
      </c>
      <c r="E11" s="131" t="n">
        <v>1.263</v>
      </c>
      <c r="F11" s="183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149" t="n"/>
    </row>
    <row r="12" ht="78.75" customHeight="1" s="118">
      <c r="A12" s="122" t="inlineStr">
        <is>
          <t>1.6</t>
        </is>
      </c>
      <c r="B12" s="176" t="inlineStr">
        <is>
          <t>Коэффициент инфляции, определяемый поквартально</t>
        </is>
      </c>
      <c r="C12" s="162" t="inlineStr">
        <is>
          <t>Кинф</t>
        </is>
      </c>
      <c r="D12" s="162" t="inlineStr">
        <is>
          <t>-</t>
        </is>
      </c>
      <c r="E12" s="133" t="n">
        <v>1.139</v>
      </c>
      <c r="F12" s="170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129" t="n"/>
    </row>
    <row r="13" ht="63" customHeight="1" s="118">
      <c r="A13" s="135" t="inlineStr">
        <is>
          <t>1.7</t>
        </is>
      </c>
      <c r="B13" s="136" t="inlineStr">
        <is>
          <t>Размер средств на оплату труда рабочих-строителей в текущем уровне цен (ФОТр.тек.), руб/чел.-ч</t>
        </is>
      </c>
      <c r="C13" s="191" t="inlineStr">
        <is>
          <t>ФОТр.тек.</t>
        </is>
      </c>
      <c r="D13" s="191" t="inlineStr">
        <is>
          <t>(С1ср/tср*КТ*Т*Кув)*Кинф</t>
        </is>
      </c>
      <c r="E13" s="138">
        <f>((E7*E9/E8)*E11)*E12</f>
        <v/>
      </c>
      <c r="F13" s="139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149" t="n"/>
    </row>
  </sheetData>
  <mergeCells count="1">
    <mergeCell ref="A2:F2"/>
  </mergeCells>
  <pageMargins left="0.7" right="0.7" top="0.75" bottom="0.75" header="0.3" footer="0.3"/>
  <pageSetup orientation="portrait" paperSize="9" scale="56" cellComments="atEnd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KM</dc:creator>
  <dcterms:created xsi:type="dcterms:W3CDTF">2023-07-25T09:21:10Z</dcterms:created>
  <dcterms:modified xsi:type="dcterms:W3CDTF">2025-01-24T12:12:26Z</dcterms:modified>
  <cp:lastModifiedBy>REDMIBOOK</cp:lastModifiedBy>
  <cp:lastPrinted>2023-12-01T09:11:27Z</cp:lastPrinted>
</cp:coreProperties>
</file>