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705" firstSheet="0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'Прил.3'!$A$1:$H$150</definedName>
    <definedName name="_xlnm.Print_Titles" localSheetId="4">'Прил.5 Расчет СМР и ОБ'!$9:$11</definedName>
    <definedName name="_xlnm.Print_Area" localSheetId="4">'Прил.5 Расчет СМР и ОБ'!$A$1:$J$154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3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0" fontId="3" fillId="0" borderId="0" pivotButton="0" quotePrefix="0" xfId="0"/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vertical="center" wrapText="1"/>
    </xf>
    <xf numFmtId="0" fontId="7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justify" vertical="center" wrapText="1"/>
    </xf>
    <xf numFmtId="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169" fontId="3" fillId="0" borderId="1" applyAlignment="1" pivotButton="0" quotePrefix="0" xfId="0">
      <alignment vertical="center" wrapText="1"/>
    </xf>
    <xf numFmtId="169" fontId="3" fillId="0" borderId="0" pivotButton="0" quotePrefix="0" xfId="0"/>
    <xf numFmtId="169" fontId="5" fillId="0" borderId="3" applyAlignment="1" pivotButton="0" quotePrefix="0" xfId="0">
      <alignment vertical="center" wrapText="1"/>
    </xf>
    <xf numFmtId="169" fontId="5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top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4" fontId="3" fillId="0" borderId="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169" fontId="3" fillId="0" borderId="1" applyAlignment="1" pivotButton="0" quotePrefix="0" xfId="0">
      <alignment vertical="center" wrapText="1"/>
    </xf>
    <xf numFmtId="169" fontId="3" fillId="0" borderId="0" pivotButton="0" quotePrefix="0" xfId="0"/>
    <xf numFmtId="169" fontId="5" fillId="0" borderId="3" applyAlignment="1" pivotButton="0" quotePrefix="0" xfId="0">
      <alignment vertical="center" wrapText="1"/>
    </xf>
    <xf numFmtId="169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3:F32"/>
  <sheetViews>
    <sheetView view="pageBreakPreview" topLeftCell="A19" zoomScale="60" zoomScaleNormal="100" workbookViewId="0">
      <selection activeCell="V37" sqref="V37"/>
    </sheetView>
  </sheetViews>
  <sheetFormatPr baseColWidth="8" defaultRowHeight="15"/>
  <cols>
    <col width="36.85546875" customWidth="1" style="122" min="3" max="3"/>
    <col width="39.42578125" customWidth="1" style="122" min="4" max="4"/>
  </cols>
  <sheetData>
    <row r="3" ht="15.6" customHeight="1" s="122">
      <c r="B3" s="161" t="inlineStr">
        <is>
          <t>Приложение № 1</t>
        </is>
      </c>
    </row>
    <row r="4" ht="17.45" customHeight="1" s="122">
      <c r="B4" s="162" t="inlineStr">
        <is>
          <t>Сравнительная таблица отбора объекта-представителя</t>
        </is>
      </c>
    </row>
    <row r="5" ht="75" customHeight="1" s="122">
      <c r="B5" s="1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22">
      <c r="B6" s="83" t="n"/>
      <c r="C6" s="83" t="n"/>
      <c r="D6" s="83" t="n"/>
    </row>
    <row r="7" ht="15.6" customHeight="1" s="122">
      <c r="B7" s="160" t="inlineStr">
        <is>
          <t>Наименование разрабатываемого показателя УНЦ — Н2-04 БРТМ Кабельная эстакада</t>
        </is>
      </c>
    </row>
    <row r="8" ht="15.6" customHeight="1" s="122">
      <c r="B8" s="160" t="inlineStr">
        <is>
          <t>Сопоставимый уровень цен:  3 кв. 2016</t>
        </is>
      </c>
    </row>
    <row r="9" ht="15.6" customHeight="1" s="122">
      <c r="B9" s="160" t="inlineStr">
        <is>
          <t>Единица измерения  —  м</t>
        </is>
      </c>
    </row>
    <row r="10" ht="18" customHeight="1" s="122">
      <c r="B10" s="144" t="n"/>
    </row>
    <row r="11" ht="15.6" customHeight="1" s="122">
      <c r="B11" s="166" t="inlineStr">
        <is>
          <t>№ п/п</t>
        </is>
      </c>
      <c r="C11" s="166" t="inlineStr">
        <is>
          <t>Параметр</t>
        </is>
      </c>
      <c r="D11" s="166" t="inlineStr">
        <is>
          <t>Объект-представитель</t>
        </is>
      </c>
    </row>
    <row r="12" ht="62.45" customHeight="1" s="122">
      <c r="B12" s="166" t="n">
        <v>1</v>
      </c>
      <c r="C12" s="176" t="inlineStr">
        <is>
          <t>Наименование объекта-представителя</t>
        </is>
      </c>
      <c r="D12" s="166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15" customHeight="1" s="122">
      <c r="B13" s="166" t="n">
        <v>2</v>
      </c>
      <c r="C13" s="176" t="inlineStr">
        <is>
          <t>Наименование субъекта Российской Федерации</t>
        </is>
      </c>
      <c r="D13" s="166" t="inlineStr">
        <is>
          <t>г. Москва</t>
        </is>
      </c>
    </row>
    <row r="14" ht="15.6" customHeight="1" s="122">
      <c r="B14" s="166" t="n">
        <v>3</v>
      </c>
      <c r="C14" s="176" t="inlineStr">
        <is>
          <t>Климатический район и подрайон</t>
        </is>
      </c>
      <c r="D14" s="166" t="inlineStr">
        <is>
          <t>IIВ</t>
        </is>
      </c>
    </row>
    <row r="15" ht="15.6" customHeight="1" s="122">
      <c r="B15" s="166" t="n">
        <v>4</v>
      </c>
      <c r="C15" s="176" t="inlineStr">
        <is>
          <t>Мощность объекта</t>
        </is>
      </c>
      <c r="D15" s="191" t="n">
        <v>45.5</v>
      </c>
    </row>
    <row r="16" ht="93.59999999999999" customHeight="1" s="122">
      <c r="B16" s="166" t="n">
        <v>5</v>
      </c>
      <c r="C16" s="14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6" t="inlineStr">
        <is>
          <t xml:space="preserve">Кабельная эстакада, металлические кабельные короба, стойки, полки </t>
        </is>
      </c>
    </row>
    <row r="17" ht="78" customHeight="1" s="122">
      <c r="B17" s="166" t="n">
        <v>6</v>
      </c>
      <c r="C17" s="14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0">
        <f>SUM(D18:D21)</f>
        <v/>
      </c>
    </row>
    <row r="18" ht="15.6" customHeight="1" s="122">
      <c r="B18" s="154" t="inlineStr">
        <is>
          <t>6.1</t>
        </is>
      </c>
      <c r="C18" s="176" t="inlineStr">
        <is>
          <t>строительно-монтажные работы</t>
        </is>
      </c>
      <c r="D18" s="150">
        <f>4081.92+1132.81</f>
        <v/>
      </c>
    </row>
    <row r="19" ht="15.6" customHeight="1" s="122">
      <c r="B19" s="154" t="inlineStr">
        <is>
          <t>6.2</t>
        </is>
      </c>
      <c r="C19" s="176" t="inlineStr">
        <is>
          <t>оборудование и инвентарь</t>
        </is>
      </c>
      <c r="D19" s="150" t="n"/>
    </row>
    <row r="20" ht="15.6" customHeight="1" s="122">
      <c r="B20" s="154" t="inlineStr">
        <is>
          <t>6.3</t>
        </is>
      </c>
      <c r="C20" s="176" t="inlineStr">
        <is>
          <t>пусконаладочные работы</t>
        </is>
      </c>
      <c r="D20" s="150" t="n"/>
    </row>
    <row r="21" ht="15.6" customHeight="1" s="122">
      <c r="B21" s="154" t="inlineStr">
        <is>
          <t>6.4</t>
        </is>
      </c>
      <c r="C21" s="176" t="inlineStr">
        <is>
          <t>прочие и лимитированные затраты</t>
        </is>
      </c>
      <c r="D21" s="150">
        <f>231.62+D18*3%+(D18+D18*3%)*0</f>
        <v/>
      </c>
    </row>
    <row r="22" ht="15.6" customHeight="1" s="122">
      <c r="B22" s="166" t="n">
        <v>7</v>
      </c>
      <c r="C22" s="176" t="inlineStr">
        <is>
          <t>Сопоставимый уровень цен</t>
        </is>
      </c>
      <c r="D22" s="152" t="inlineStr">
        <is>
          <t>3 кв. 2016</t>
        </is>
      </c>
    </row>
    <row r="23" ht="109.15" customHeight="1" s="122">
      <c r="B23" s="16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0">
        <f>D17</f>
        <v/>
      </c>
    </row>
    <row r="24" ht="46.9" customHeight="1" s="122">
      <c r="B24" s="166" t="n">
        <v>9</v>
      </c>
      <c r="C24" s="149" t="inlineStr">
        <is>
          <t>Приведенная сметная стоимость на единицу мощности, тыс. руб. (строка 8/строку 4)</t>
        </is>
      </c>
      <c r="D24" s="150">
        <f>D23/D15</f>
        <v/>
      </c>
    </row>
    <row r="25" ht="48.2" customHeight="1" s="122">
      <c r="A25" s="153" t="n"/>
      <c r="B25" s="166" t="n">
        <v>10</v>
      </c>
      <c r="C25" s="176" t="inlineStr">
        <is>
          <t>Примечание</t>
        </is>
      </c>
      <c r="D25" s="166" t="n"/>
      <c r="E25" s="153" t="n"/>
      <c r="F25" s="153" t="n"/>
    </row>
    <row r="26" ht="48.2" customHeight="1" s="122">
      <c r="A26" s="153" t="n"/>
      <c r="B26" s="153" t="n"/>
      <c r="C26" s="153" t="n"/>
      <c r="D26" s="153" t="n"/>
      <c r="E26" s="153" t="n"/>
      <c r="F26" s="153" t="n"/>
    </row>
    <row r="27" ht="15.6" customFormat="1" customHeight="1" s="153">
      <c r="B27" s="153" t="inlineStr">
        <is>
          <t>Составил ______________________        М.С. Колотиевская</t>
        </is>
      </c>
      <c r="C27" s="153" t="n"/>
      <c r="D27" s="153" t="n"/>
    </row>
    <row r="28" ht="15.6" customFormat="1" customHeight="1" s="153">
      <c r="B28" s="75" t="inlineStr">
        <is>
          <t xml:space="preserve">                         (подпись, инициалы, фамилия)</t>
        </is>
      </c>
      <c r="C28" s="153" t="n"/>
      <c r="D28" s="153" t="n"/>
    </row>
    <row r="29" ht="15.6" customFormat="1" customHeight="1" s="153">
      <c r="B29" s="153" t="n"/>
      <c r="C29" s="153" t="n"/>
      <c r="D29" s="153" t="n"/>
    </row>
    <row r="30" ht="15.6" customFormat="1" customHeight="1" s="153">
      <c r="B30" s="153" t="inlineStr">
        <is>
          <t>Проверил ______________________      А.В. Костянецкая</t>
        </is>
      </c>
      <c r="C30" s="153" t="n"/>
      <c r="D30" s="153" t="n"/>
    </row>
    <row r="31" ht="15.6" customFormat="1" customHeight="1" s="153">
      <c r="B31" s="75" t="inlineStr">
        <is>
          <t xml:space="preserve">                        (подпись, инициалы, фамилия)</t>
        </is>
      </c>
      <c r="C31" s="153" t="n"/>
      <c r="D31" s="153" t="n"/>
    </row>
    <row r="32" ht="15.6" customHeight="1" s="122">
      <c r="B32" s="84" t="n"/>
      <c r="C32" s="84" t="n"/>
      <c r="D32" s="84" t="n"/>
    </row>
  </sheetData>
  <mergeCells count="6">
    <mergeCell ref="B3:D3"/>
    <mergeCell ref="B5:D5"/>
    <mergeCell ref="B8:D8"/>
    <mergeCell ref="B4:D4"/>
    <mergeCell ref="B9:D9"/>
    <mergeCell ref="B7:D7"/>
  </mergeCells>
  <conditionalFormatting sqref="D15">
    <cfRule type="expression" priority="1" dxfId="0" stopIfTrue="1">
      <formula>D15&gt;=1/10000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M24"/>
  <sheetViews>
    <sheetView view="pageBreakPreview" zoomScale="60" zoomScaleNormal="70" workbookViewId="0">
      <selection activeCell="C44" sqref="C44"/>
    </sheetView>
  </sheetViews>
  <sheetFormatPr baseColWidth="8" defaultColWidth="9.140625" defaultRowHeight="15"/>
  <cols>
    <col width="5.5703125" customWidth="1" style="122" min="1" max="1"/>
    <col width="9.140625" customWidth="1" style="122" min="2" max="2"/>
    <col width="35.28515625" customWidth="1" style="122" min="3" max="3"/>
    <col width="16.85546875" customWidth="1" style="122" min="4" max="4"/>
    <col width="28.5703125" customWidth="1" style="122" min="5" max="5"/>
    <col width="12.7109375" customWidth="1" style="122" min="6" max="6"/>
    <col width="14.85546875" customWidth="1" style="122" min="7" max="7"/>
    <col width="16.7109375" customWidth="1" style="122" min="8" max="8"/>
    <col width="13" customWidth="1" style="122" min="9" max="10"/>
    <col width="18" customWidth="1" style="122" min="11" max="11"/>
    <col width="9.140625" customWidth="1" style="122" min="12" max="12"/>
  </cols>
  <sheetData>
    <row r="3" ht="15.6" customHeight="1" s="122">
      <c r="B3" s="161" t="inlineStr">
        <is>
          <t>Приложение № 2</t>
        </is>
      </c>
    </row>
    <row r="4" ht="15.6" customHeight="1" s="122">
      <c r="B4" s="165" t="inlineStr">
        <is>
          <t>Расчет стоимости основных видов работ для выбора объекта-представителя</t>
        </is>
      </c>
    </row>
    <row r="5" ht="15.6" customHeight="1" s="122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</row>
    <row r="6" ht="15.6" customHeight="1" s="122">
      <c r="B6" s="160" t="inlineStr">
        <is>
          <t>Наименование разрабатываемого показателя УНЦ -  Н2-04 БРТМ Кабельная эстакада Без ПИР</t>
        </is>
      </c>
      <c r="L6" s="2" t="n"/>
    </row>
    <row r="7" ht="15.6" customHeight="1" s="122">
      <c r="B7" s="160" t="inlineStr">
        <is>
          <t>Единица измерения  —  м</t>
        </is>
      </c>
    </row>
    <row r="8" ht="18" customHeight="1" s="122">
      <c r="B8" s="144" t="n"/>
    </row>
    <row r="9" ht="15.75" customFormat="1" customHeight="1" s="153">
      <c r="B9" s="166" t="inlineStr">
        <is>
          <t>№ п/п</t>
        </is>
      </c>
      <c r="C9" s="1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6" t="inlineStr">
        <is>
          <t>Объект-представитель 1</t>
        </is>
      </c>
      <c r="E9" s="195" t="n"/>
      <c r="F9" s="195" t="n"/>
      <c r="G9" s="195" t="n"/>
      <c r="H9" s="195" t="n"/>
      <c r="I9" s="195" t="n"/>
      <c r="J9" s="196" t="n"/>
    </row>
    <row r="10" ht="15.75" customFormat="1" customHeight="1" s="153">
      <c r="B10" s="197" t="n"/>
      <c r="C10" s="197" t="n"/>
      <c r="D10" s="166" t="inlineStr">
        <is>
          <t>Номер сметы</t>
        </is>
      </c>
      <c r="E10" s="166" t="inlineStr">
        <is>
          <t>Наименование сметы</t>
        </is>
      </c>
      <c r="F10" s="166" t="inlineStr">
        <is>
          <t>Сметная стоимость в уровне цен 3 кв. 2016 г., тыс. руб.</t>
        </is>
      </c>
      <c r="G10" s="195" t="n"/>
      <c r="H10" s="195" t="n"/>
      <c r="I10" s="195" t="n"/>
      <c r="J10" s="196" t="n"/>
    </row>
    <row r="11" ht="31.5" customFormat="1" customHeight="1" s="153">
      <c r="B11" s="198" t="n"/>
      <c r="C11" s="198" t="n"/>
      <c r="D11" s="198" t="n"/>
      <c r="E11" s="198" t="n"/>
      <c r="F11" s="166" t="inlineStr">
        <is>
          <t>Строительные работы</t>
        </is>
      </c>
      <c r="G11" s="166" t="inlineStr">
        <is>
          <t>Монтажные работы</t>
        </is>
      </c>
      <c r="H11" s="166" t="inlineStr">
        <is>
          <t>Оборудование</t>
        </is>
      </c>
      <c r="I11" s="166" t="inlineStr">
        <is>
          <t>Прочее</t>
        </is>
      </c>
      <c r="J11" s="166" t="inlineStr">
        <is>
          <t>Всего</t>
        </is>
      </c>
    </row>
    <row r="12" ht="47.25" customFormat="1" customHeight="1" s="153">
      <c r="B12" s="166" t="n">
        <v>1</v>
      </c>
      <c r="C12" s="166" t="inlineStr">
        <is>
          <t xml:space="preserve">Кабельная эстакада, металлические кабельные короба, стойки, полки </t>
        </is>
      </c>
      <c r="D12" s="154" t="inlineStr">
        <is>
          <t>213.001.1.32.12.24-КЖ.ЛС.02-32-03б</t>
        </is>
      </c>
      <c r="E12" s="176" t="inlineStr">
        <is>
          <t>Фундаменты</t>
        </is>
      </c>
      <c r="F12" s="199" t="n">
        <v>459.88</v>
      </c>
      <c r="G12" s="199" t="n">
        <v>0</v>
      </c>
      <c r="H12" s="199" t="n">
        <v>0</v>
      </c>
      <c r="I12" s="199" t="n">
        <v>0</v>
      </c>
      <c r="J12" s="199">
        <f>SUM(F12:I12)</f>
        <v/>
      </c>
      <c r="K12" s="200" t="n"/>
      <c r="L12" s="200" t="n"/>
      <c r="M12" s="200" t="n"/>
    </row>
    <row r="13" ht="47.25" customFormat="1" customHeight="1" s="153">
      <c r="B13" s="197" t="n"/>
      <c r="C13" s="197" t="n"/>
      <c r="D13" s="154" t="inlineStr">
        <is>
          <t>213.001.0-ПОС.ВР.02.ЛС.02-32-02б</t>
        </is>
      </c>
      <c r="E13" s="176" t="inlineStr">
        <is>
          <t>Земляные работы</t>
        </is>
      </c>
      <c r="F13" s="199" t="n">
        <v>1603.1</v>
      </c>
      <c r="G13" s="199" t="n">
        <v>0</v>
      </c>
      <c r="H13" s="199" t="n">
        <v>0</v>
      </c>
      <c r="I13" s="199" t="n">
        <v>231.62</v>
      </c>
      <c r="J13" s="199">
        <f>SUM(F13:I13)</f>
        <v/>
      </c>
      <c r="K13" s="200" t="n"/>
      <c r="L13" s="200" t="n"/>
      <c r="M13" s="200" t="n"/>
    </row>
    <row r="14" ht="47.25" customFormat="1" customHeight="1" s="153">
      <c r="B14" s="197" t="n"/>
      <c r="C14" s="197" t="n"/>
      <c r="D14" s="154" t="inlineStr">
        <is>
          <t>213.001.1.32.12.24-КМ.ЛС.02-32-01б</t>
        </is>
      </c>
      <c r="E14" s="176" t="inlineStr">
        <is>
          <t>Металлоконструкции</t>
        </is>
      </c>
      <c r="F14" s="199" t="n">
        <v>1788.46</v>
      </c>
      <c r="G14" s="199" t="n">
        <v>0</v>
      </c>
      <c r="H14" s="199" t="n">
        <v>0</v>
      </c>
      <c r="I14" s="199" t="n">
        <v>0</v>
      </c>
      <c r="J14" s="199">
        <f>SUM(F14:I14)</f>
        <v/>
      </c>
      <c r="K14" s="200" t="n"/>
      <c r="L14" s="200" t="n"/>
      <c r="M14" s="200" t="n"/>
    </row>
    <row r="15" ht="94.5" customFormat="1" customHeight="1" s="153">
      <c r="B15" s="197" t="n"/>
      <c r="C15" s="197" t="n"/>
      <c r="D15" s="154" t="inlineStr">
        <is>
          <t>213.001.1.32.35.14-ЭМ2.ЛС.32-1бэ</t>
        </is>
      </c>
      <c r="E15" s="176" t="inlineStr">
        <is>
          <t xml:space="preserve">Приобретение и монтаж кабельных конструкций для силовых и контрольных кабелей 10кВ и 0,4кВ. 3этап.                                                                       Кабельная эстакада              </t>
        </is>
      </c>
      <c r="F15" s="199" t="n">
        <v>172.87</v>
      </c>
      <c r="G15" s="199" t="n">
        <v>667.54</v>
      </c>
      <c r="H15" s="199" t="n"/>
      <c r="I15" s="199" t="n">
        <v>0</v>
      </c>
      <c r="J15" s="199">
        <f>SUM(F15:I15)</f>
        <v/>
      </c>
      <c r="K15" s="200" t="n"/>
      <c r="L15" s="200" t="n"/>
      <c r="M15" s="200" t="n"/>
    </row>
    <row r="16" ht="94.5" customFormat="1" customHeight="1" s="153">
      <c r="B16" s="198" t="n"/>
      <c r="C16" s="198" t="n"/>
      <c r="D16" s="154" t="inlineStr">
        <is>
          <t>213.001.1.32.35.14-ЭМ1.ЛС.32-2бэ</t>
        </is>
      </c>
      <c r="E16" s="176" t="inlineStr">
        <is>
          <t xml:space="preserve">Приобретение и монтаж кабельных конструкций для силовых и контрольных кабелей 10кВ и 0,4кВ. 3этап.                                                                       Кабельная эстакада              </t>
        </is>
      </c>
      <c r="F16" s="199" t="n">
        <v>57.61</v>
      </c>
      <c r="G16" s="199" t="n">
        <v>465.27</v>
      </c>
      <c r="H16" s="199" t="n"/>
      <c r="I16" s="199" t="n"/>
      <c r="J16" s="199">
        <f>SUM(F16:I16)</f>
        <v/>
      </c>
      <c r="K16" s="200" t="n"/>
    </row>
    <row r="17" ht="15.6" customFormat="1" customHeight="1" s="153">
      <c r="B17" s="164" t="inlineStr">
        <is>
          <t>Всего по объекту:</t>
        </is>
      </c>
      <c r="C17" s="195" t="n"/>
      <c r="D17" s="195" t="n"/>
      <c r="E17" s="196" t="n"/>
      <c r="F17" s="201">
        <f>SUM(F12:F16)</f>
        <v/>
      </c>
      <c r="G17" s="201">
        <f>SUM(G12:G16)</f>
        <v/>
      </c>
      <c r="H17" s="201">
        <f>SUM(H12:H16)</f>
        <v/>
      </c>
      <c r="I17" s="201">
        <f>SUM(I12:I16)</f>
        <v/>
      </c>
      <c r="J17" s="201">
        <f>SUM(F17:I17)</f>
        <v/>
      </c>
    </row>
    <row r="18" ht="28.5" customFormat="1" customHeight="1" s="153">
      <c r="B18" s="164" t="inlineStr">
        <is>
          <t>Всего по объекту в сопоставимом уровне цен 3 кв. 2016 г:</t>
        </is>
      </c>
      <c r="C18" s="195" t="n"/>
      <c r="D18" s="195" t="n"/>
      <c r="E18" s="196" t="n"/>
      <c r="F18" s="202">
        <f>F17</f>
        <v/>
      </c>
      <c r="G18" s="202">
        <f>G17</f>
        <v/>
      </c>
      <c r="H18" s="202">
        <f>H17</f>
        <v/>
      </c>
      <c r="I18" s="202">
        <f>I17</f>
        <v/>
      </c>
      <c r="J18" s="202">
        <f>SUM(F18:I18)</f>
        <v/>
      </c>
    </row>
    <row r="19" ht="15.6" customFormat="1" customHeight="1" s="153">
      <c r="C19" s="153" t="n"/>
      <c r="D19" s="153" t="n"/>
      <c r="E19" s="153" t="n"/>
    </row>
    <row r="20" ht="15.6" customFormat="1" customHeight="1" s="153">
      <c r="C20" s="153" t="inlineStr">
        <is>
          <t>Составил ______________________        М.С. Колотиевская</t>
        </is>
      </c>
      <c r="D20" s="153" t="n"/>
      <c r="E20" s="153" t="n"/>
    </row>
    <row r="21" ht="15.6" customFormat="1" customHeight="1" s="153">
      <c r="C21" s="75" t="inlineStr">
        <is>
          <t xml:space="preserve">                         (подпись, инициалы, фамилия)</t>
        </is>
      </c>
      <c r="D21" s="153" t="n"/>
      <c r="E21" s="153" t="n"/>
    </row>
    <row r="22" ht="15.6" customFormat="1" customHeight="1" s="153">
      <c r="C22" s="153" t="n"/>
      <c r="D22" s="153" t="n"/>
      <c r="E22" s="153" t="n"/>
    </row>
    <row r="23" ht="15.6" customFormat="1" customHeight="1" s="153">
      <c r="C23" s="153" t="inlineStr">
        <is>
          <t>Проверил ______________________      А.В. Костянецкая</t>
        </is>
      </c>
      <c r="D23" s="153" t="n"/>
      <c r="E23" s="153" t="n"/>
    </row>
    <row r="24" ht="15.6" customFormat="1" customHeight="1" s="153">
      <c r="C24" s="75" t="inlineStr">
        <is>
          <t xml:space="preserve">                        (подпись, инициалы, фамилия)</t>
        </is>
      </c>
      <c r="D24" s="153" t="n"/>
      <c r="E24" s="153" t="n"/>
    </row>
    <row r="25" ht="15.6" customFormat="1" customHeight="1" s="153"/>
  </sheetData>
  <mergeCells count="14">
    <mergeCell ref="B17:E17"/>
    <mergeCell ref="B18:E18"/>
    <mergeCell ref="D10:D11"/>
    <mergeCell ref="B4:K4"/>
    <mergeCell ref="D9:J9"/>
    <mergeCell ref="F10:J10"/>
    <mergeCell ref="B12:B16"/>
    <mergeCell ref="B9:B11"/>
    <mergeCell ref="C12:C16"/>
    <mergeCell ref="B6:K6"/>
    <mergeCell ref="B7:D7"/>
    <mergeCell ref="E10:E11"/>
    <mergeCell ref="C9:C11"/>
    <mergeCell ref="B3:K3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4:J149"/>
  <sheetViews>
    <sheetView view="pageBreakPreview" topLeftCell="A119" zoomScale="40" zoomScaleNormal="100" zoomScaleSheetLayoutView="40" workbookViewId="0">
      <selection activeCell="F161" sqref="F161"/>
    </sheetView>
  </sheetViews>
  <sheetFormatPr baseColWidth="8" defaultColWidth="9.140625" defaultRowHeight="15"/>
  <cols>
    <col width="9.140625" customWidth="1" style="122" min="1" max="2"/>
    <col width="17" customWidth="1" style="122" min="3" max="3"/>
    <col width="49.7109375" customWidth="1" style="122" min="4" max="4"/>
    <col width="16.28515625" customWidth="1" style="122" min="5" max="5"/>
    <col width="20.7109375" customWidth="1" style="122" min="6" max="6"/>
    <col width="16.140625" customWidth="1" style="122" min="7" max="7"/>
    <col width="16.7109375" customWidth="1" style="122" min="8" max="8"/>
    <col width="9.140625" customWidth="1" style="122" min="9" max="9"/>
  </cols>
  <sheetData>
    <row r="2" s="122"/>
    <row r="3" s="122"/>
    <row r="4" ht="15.6" customHeight="1" s="122">
      <c r="A4" s="161" t="inlineStr">
        <is>
          <t xml:space="preserve">Приложение № 3 </t>
        </is>
      </c>
    </row>
    <row r="5" ht="17.45" customHeight="1" s="122">
      <c r="A5" s="162" t="inlineStr">
        <is>
          <t>Объектная ресурсная ведомость</t>
        </is>
      </c>
    </row>
    <row r="6" ht="18" customHeight="1" s="122">
      <c r="A6" s="144" t="n"/>
      <c r="B6" s="144" t="n"/>
    </row>
    <row r="7" ht="15.6" customHeight="1" s="122">
      <c r="A7" s="170" t="inlineStr">
        <is>
          <t>Наименование разрабатываемого показателя УНЦ -  Н2-04 БРТМ Кабельная эстакада</t>
        </is>
      </c>
    </row>
    <row r="8" ht="15.6" customHeight="1" s="122">
      <c r="A8" s="170" t="n"/>
      <c r="B8" s="170" t="n"/>
      <c r="C8" s="170" t="n"/>
      <c r="D8" s="170" t="n"/>
      <c r="E8" s="170" t="n"/>
      <c r="F8" s="170" t="n"/>
      <c r="G8" s="170" t="n"/>
      <c r="H8" s="170" t="n"/>
    </row>
    <row r="9" ht="38.25" customFormat="1" customHeight="1" s="153">
      <c r="A9" s="166" t="inlineStr">
        <is>
          <t>п/п</t>
        </is>
      </c>
      <c r="B9" s="166" t="inlineStr">
        <is>
          <t>№ЛСР</t>
        </is>
      </c>
      <c r="C9" s="166" t="inlineStr">
        <is>
          <t>Код ресурса</t>
        </is>
      </c>
      <c r="D9" s="166" t="inlineStr">
        <is>
          <t>Наименование ресурса</t>
        </is>
      </c>
      <c r="E9" s="166" t="inlineStr">
        <is>
          <t>Ед. изм.</t>
        </is>
      </c>
      <c r="F9" s="166" t="inlineStr">
        <is>
          <t>Кол-во единиц по данным объекта-представителя</t>
        </is>
      </c>
      <c r="G9" s="166" t="inlineStr">
        <is>
          <t>Сметная стоимость в ценах на 01.01.2000 (руб.)</t>
        </is>
      </c>
      <c r="H9" s="196" t="n"/>
    </row>
    <row r="10" ht="40.5" customFormat="1" customHeight="1" s="153">
      <c r="A10" s="198" t="n"/>
      <c r="B10" s="198" t="n"/>
      <c r="C10" s="198" t="n"/>
      <c r="D10" s="198" t="n"/>
      <c r="E10" s="198" t="n"/>
      <c r="F10" s="198" t="n"/>
      <c r="G10" s="166" t="inlineStr">
        <is>
          <t>на ед.изм.</t>
        </is>
      </c>
      <c r="H10" s="166" t="inlineStr">
        <is>
          <t>общая</t>
        </is>
      </c>
    </row>
    <row r="11" ht="15.6" customFormat="1" customHeight="1" s="153">
      <c r="A11" s="166" t="n">
        <v>1</v>
      </c>
      <c r="B11" s="166" t="n"/>
      <c r="C11" s="166" t="n">
        <v>2</v>
      </c>
      <c r="D11" s="166" t="inlineStr">
        <is>
          <t>З</t>
        </is>
      </c>
      <c r="E11" s="166" t="n">
        <v>4</v>
      </c>
      <c r="F11" s="166" t="n">
        <v>5</v>
      </c>
      <c r="G11" s="166" t="n">
        <v>6</v>
      </c>
      <c r="H11" s="166" t="n">
        <v>7</v>
      </c>
    </row>
    <row r="12" ht="15.6" customFormat="1" customHeight="1" s="115">
      <c r="A12" s="167" t="inlineStr">
        <is>
          <t>Затраты труда рабочих</t>
        </is>
      </c>
      <c r="B12" s="195" t="n"/>
      <c r="C12" s="195" t="n"/>
      <c r="D12" s="195" t="n"/>
      <c r="E12" s="196" t="n"/>
      <c r="F12" s="167" t="n">
        <v>2098.9498</v>
      </c>
      <c r="G12" s="12" t="n"/>
      <c r="H12" s="12">
        <f>SUM(H13:H29)</f>
        <v/>
      </c>
    </row>
    <row r="13" ht="15.6" customFormat="1" customHeight="1" s="153">
      <c r="A13" s="169" t="n">
        <v>1</v>
      </c>
      <c r="B13" s="169" t="n"/>
      <c r="C13" s="168" t="inlineStr">
        <is>
          <t>1-100-38</t>
        </is>
      </c>
      <c r="D13" s="168" t="inlineStr">
        <is>
          <t>Затраты труда рабочих (ср 3,8)</t>
        </is>
      </c>
      <c r="E13" s="169" t="inlineStr">
        <is>
          <t>чел.-ч</t>
        </is>
      </c>
      <c r="F13" s="169" t="n">
        <v>628.2619</v>
      </c>
      <c r="G13" s="177" t="n">
        <v>9.4</v>
      </c>
      <c r="H13" s="177">
        <f>ROUND(F13*G13,2)</f>
        <v/>
      </c>
    </row>
    <row r="14" ht="15.6" customFormat="1" customHeight="1" s="153">
      <c r="A14" s="169" t="n">
        <v>2</v>
      </c>
      <c r="B14" s="169" t="n"/>
      <c r="C14" s="168" t="inlineStr">
        <is>
          <t>1-100-40</t>
        </is>
      </c>
      <c r="D14" s="168" t="inlineStr">
        <is>
          <t>Затраты труда рабочих (ср 4)</t>
        </is>
      </c>
      <c r="E14" s="169" t="inlineStr">
        <is>
          <t>чел.-ч</t>
        </is>
      </c>
      <c r="F14" s="169" t="n">
        <v>458.881</v>
      </c>
      <c r="G14" s="177" t="n">
        <v>9.619999999999999</v>
      </c>
      <c r="H14" s="177">
        <f>ROUND(F14*G14,2)</f>
        <v/>
      </c>
    </row>
    <row r="15" ht="15.6" customFormat="1" customHeight="1" s="153">
      <c r="A15" s="169" t="n">
        <v>3</v>
      </c>
      <c r="B15" s="169" t="n"/>
      <c r="C15" s="168" t="inlineStr">
        <is>
          <t>1-100-30</t>
        </is>
      </c>
      <c r="D15" s="168" t="inlineStr">
        <is>
          <t>Затраты труда рабочих (ср 3)</t>
        </is>
      </c>
      <c r="E15" s="169" t="inlineStr">
        <is>
          <t>чел.-ч</t>
        </is>
      </c>
      <c r="F15" s="169" t="n">
        <v>380.9636</v>
      </c>
      <c r="G15" s="177" t="n">
        <v>8.529999999999999</v>
      </c>
      <c r="H15" s="177">
        <f>ROUND(F15*G15,2)</f>
        <v/>
      </c>
    </row>
    <row r="16" ht="15.6" customFormat="1" customHeight="1" s="153">
      <c r="A16" s="169" t="n">
        <v>4</v>
      </c>
      <c r="B16" s="169" t="n"/>
      <c r="C16" s="168" t="inlineStr">
        <is>
          <t>1-100-44</t>
        </is>
      </c>
      <c r="D16" s="168" t="inlineStr">
        <is>
          <t>Затраты труда рабочих (ср 4,4)</t>
        </is>
      </c>
      <c r="E16" s="169" t="inlineStr">
        <is>
          <t>чел.-ч</t>
        </is>
      </c>
      <c r="F16" s="169" t="n">
        <v>267.774</v>
      </c>
      <c r="G16" s="177" t="n">
        <v>10.21</v>
      </c>
      <c r="H16" s="177">
        <f>ROUND(F16*G16,2)</f>
        <v/>
      </c>
    </row>
    <row r="17" ht="15.6" customFormat="1" customHeight="1" s="153">
      <c r="A17" s="169" t="n">
        <v>5</v>
      </c>
      <c r="B17" s="169" t="n"/>
      <c r="C17" s="168" t="inlineStr">
        <is>
          <t>1-100-46</t>
        </is>
      </c>
      <c r="D17" s="168" t="inlineStr">
        <is>
          <t>Затраты труда рабочих (ср 4,6)</t>
        </is>
      </c>
      <c r="E17" s="169" t="inlineStr">
        <is>
          <t>чел.-ч</t>
        </is>
      </c>
      <c r="F17" s="169" t="n">
        <v>45.9</v>
      </c>
      <c r="G17" s="177" t="n">
        <v>10.5</v>
      </c>
      <c r="H17" s="177">
        <f>ROUND(F17*G17,2)</f>
        <v/>
      </c>
    </row>
    <row r="18" ht="15.6" customFormat="1" customHeight="1" s="153">
      <c r="A18" s="169" t="n">
        <v>6</v>
      </c>
      <c r="B18" s="169" t="n"/>
      <c r="C18" s="168" t="inlineStr">
        <is>
          <t>1-100-33</t>
        </is>
      </c>
      <c r="D18" s="168" t="inlineStr">
        <is>
          <t>Затраты труда рабочих (ср 3,3)</t>
        </is>
      </c>
      <c r="E18" s="169" t="inlineStr">
        <is>
          <t>чел.-ч</t>
        </is>
      </c>
      <c r="F18" s="169" t="n">
        <v>54.234</v>
      </c>
      <c r="G18" s="177" t="n">
        <v>8.859999999999999</v>
      </c>
      <c r="H18" s="177">
        <f>ROUND(F18*G18,2)</f>
        <v/>
      </c>
    </row>
    <row r="19" ht="15.6" customFormat="1" customHeight="1" s="153">
      <c r="A19" s="169" t="n">
        <v>7</v>
      </c>
      <c r="B19" s="169" t="n"/>
      <c r="C19" s="168" t="inlineStr">
        <is>
          <t>1-100-20</t>
        </is>
      </c>
      <c r="D19" s="168" t="inlineStr">
        <is>
          <t>Затраты труда рабочих (ср 2)</t>
        </is>
      </c>
      <c r="E19" s="169" t="inlineStr">
        <is>
          <t>чел.-ч</t>
        </is>
      </c>
      <c r="F19" s="169" t="n">
        <v>60.29489</v>
      </c>
      <c r="G19" s="177" t="n">
        <v>7.8</v>
      </c>
      <c r="H19" s="177">
        <f>ROUND(F19*G19,2)</f>
        <v/>
      </c>
    </row>
    <row r="20" ht="15.6" customFormat="1" customHeight="1" s="153">
      <c r="A20" s="169" t="n">
        <v>8</v>
      </c>
      <c r="B20" s="169" t="n"/>
      <c r="C20" s="168" t="inlineStr">
        <is>
          <t>1-100-34</t>
        </is>
      </c>
      <c r="D20" s="168" t="inlineStr">
        <is>
          <t>Затраты труда рабочих (ср 3,4)</t>
        </is>
      </c>
      <c r="E20" s="169" t="inlineStr">
        <is>
          <t>чел.-ч</t>
        </is>
      </c>
      <c r="F20" s="169" t="n">
        <v>37.62962</v>
      </c>
      <c r="G20" s="177" t="n">
        <v>8.970000000000001</v>
      </c>
      <c r="H20" s="177">
        <f>ROUND(F20*G20,2)</f>
        <v/>
      </c>
    </row>
    <row r="21" ht="15.6" customFormat="1" customHeight="1" s="153">
      <c r="A21" s="169" t="n">
        <v>9</v>
      </c>
      <c r="B21" s="169" t="n"/>
      <c r="C21" s="168" t="inlineStr">
        <is>
          <t>1-100-47</t>
        </is>
      </c>
      <c r="D21" s="168" t="inlineStr">
        <is>
          <t>Затраты труда рабочих (ср 4,7)</t>
        </is>
      </c>
      <c r="E21" s="169" t="inlineStr">
        <is>
          <t>чел.-ч</t>
        </is>
      </c>
      <c r="F21" s="169" t="n">
        <v>28.69524</v>
      </c>
      <c r="G21" s="177" t="n">
        <v>10.65</v>
      </c>
      <c r="H21" s="177">
        <f>ROUND(F21*G21,2)</f>
        <v/>
      </c>
    </row>
    <row r="22" ht="15.6" customFormat="1" customHeight="1" s="153">
      <c r="A22" s="169" t="n">
        <v>10</v>
      </c>
      <c r="B22" s="169" t="n"/>
      <c r="C22" s="168" t="inlineStr">
        <is>
          <t>1-100-35</t>
        </is>
      </c>
      <c r="D22" s="168" t="inlineStr">
        <is>
          <t>Затраты труда рабочих (ср 3,5)</t>
        </is>
      </c>
      <c r="E22" s="169" t="inlineStr">
        <is>
          <t>чел.-ч</t>
        </is>
      </c>
      <c r="F22" s="169" t="n">
        <v>32.02652</v>
      </c>
      <c r="G22" s="177" t="n">
        <v>9.07</v>
      </c>
      <c r="H22" s="177">
        <f>ROUND(F22*G22,2)</f>
        <v/>
      </c>
    </row>
    <row r="23" ht="15.6" customFormat="1" customHeight="1" s="153">
      <c r="A23" s="169" t="n">
        <v>11</v>
      </c>
      <c r="B23" s="169" t="n"/>
      <c r="C23" s="168" t="inlineStr">
        <is>
          <t>1-100-36</t>
        </is>
      </c>
      <c r="D23" s="168" t="inlineStr">
        <is>
          <t>Затраты труда рабочих (ср 3,6)</t>
        </is>
      </c>
      <c r="E23" s="169" t="inlineStr">
        <is>
          <t>чел.-ч</t>
        </is>
      </c>
      <c r="F23" s="169" t="n">
        <v>26.1352</v>
      </c>
      <c r="G23" s="177" t="n">
        <v>9.18</v>
      </c>
      <c r="H23" s="177">
        <f>ROUND(F23*G23,2)</f>
        <v/>
      </c>
    </row>
    <row r="24" ht="15.6" customFormat="1" customHeight="1" s="153">
      <c r="A24" s="169" t="n">
        <v>12</v>
      </c>
      <c r="B24" s="169" t="n"/>
      <c r="C24" s="168" t="inlineStr">
        <is>
          <t>1-100-39</t>
        </is>
      </c>
      <c r="D24" s="168" t="inlineStr">
        <is>
          <t>Затраты труда рабочих (ср 3,9)</t>
        </is>
      </c>
      <c r="E24" s="169" t="inlineStr">
        <is>
          <t>чел.-ч</t>
        </is>
      </c>
      <c r="F24" s="169" t="n">
        <v>22.154</v>
      </c>
      <c r="G24" s="177" t="n">
        <v>9.51</v>
      </c>
      <c r="H24" s="177">
        <f>ROUND(F24*G24,2)</f>
        <v/>
      </c>
    </row>
    <row r="25" ht="15.6" customFormat="1" customHeight="1" s="153">
      <c r="A25" s="169" t="n">
        <v>13</v>
      </c>
      <c r="B25" s="169" t="n"/>
      <c r="C25" s="168" t="inlineStr">
        <is>
          <t>1-100-42</t>
        </is>
      </c>
      <c r="D25" s="168" t="inlineStr">
        <is>
          <t>Затраты труда рабочих (ср 4,2)</t>
        </is>
      </c>
      <c r="E25" s="169" t="inlineStr">
        <is>
          <t>чел.-ч</t>
        </is>
      </c>
      <c r="F25" s="169" t="n">
        <v>18.72</v>
      </c>
      <c r="G25" s="177" t="n">
        <v>9.92</v>
      </c>
      <c r="H25" s="177">
        <f>ROUND(F25*G25,2)</f>
        <v/>
      </c>
    </row>
    <row r="26" ht="15.6" customFormat="1" customHeight="1" s="153">
      <c r="A26" s="169" t="n">
        <v>14</v>
      </c>
      <c r="B26" s="169" t="n"/>
      <c r="C26" s="168" t="inlineStr">
        <is>
          <t>1-100-32</t>
        </is>
      </c>
      <c r="D26" s="168" t="inlineStr">
        <is>
          <t>Затраты труда рабочих (ср 3,2)</t>
        </is>
      </c>
      <c r="E26" s="169" t="inlineStr">
        <is>
          <t>чел.-ч</t>
        </is>
      </c>
      <c r="F26" s="169" t="n">
        <v>20.566</v>
      </c>
      <c r="G26" s="177" t="n">
        <v>8.74</v>
      </c>
      <c r="H26" s="177">
        <f>ROUND(F26*G26,2)</f>
        <v/>
      </c>
    </row>
    <row r="27" ht="15.6" customFormat="1" customHeight="1" s="153">
      <c r="A27" s="169" t="n">
        <v>15</v>
      </c>
      <c r="B27" s="169" t="n"/>
      <c r="C27" s="168" t="inlineStr">
        <is>
          <t>1-100-54</t>
        </is>
      </c>
      <c r="D27" s="168" t="inlineStr">
        <is>
          <t>Затраты труда рабочих (ср 5,4)</t>
        </is>
      </c>
      <c r="E27" s="169" t="inlineStr">
        <is>
          <t>чел.-ч</t>
        </is>
      </c>
      <c r="F27" s="169" t="n">
        <v>8.64166</v>
      </c>
      <c r="G27" s="177" t="n">
        <v>11.82</v>
      </c>
      <c r="H27" s="177">
        <f>ROUND(F27*G27,2)</f>
        <v/>
      </c>
    </row>
    <row r="28" ht="15.6" customFormat="1" customHeight="1" s="153">
      <c r="A28" s="169" t="n">
        <v>16</v>
      </c>
      <c r="B28" s="169" t="n"/>
      <c r="C28" s="168" t="inlineStr">
        <is>
          <t>1-100-25</t>
        </is>
      </c>
      <c r="D28" s="168" t="inlineStr">
        <is>
          <t>Затраты труда рабочих (ср 2,5)</t>
        </is>
      </c>
      <c r="E28" s="169" t="inlineStr">
        <is>
          <t>чел.-ч</t>
        </is>
      </c>
      <c r="F28" s="169" t="n">
        <v>4.08</v>
      </c>
      <c r="G28" s="177" t="n">
        <v>8.17</v>
      </c>
      <c r="H28" s="177">
        <f>ROUND(F28*G28,2)</f>
        <v/>
      </c>
    </row>
    <row r="29" ht="15.6" customFormat="1" customHeight="1" s="153">
      <c r="A29" s="169" t="n">
        <v>17</v>
      </c>
      <c r="B29" s="169" t="n"/>
      <c r="C29" s="168" t="inlineStr">
        <is>
          <t>1-100-10</t>
        </is>
      </c>
      <c r="D29" s="168" t="inlineStr">
        <is>
          <t>Затраты труда рабочих (ср 1)</t>
        </is>
      </c>
      <c r="E29" s="169" t="inlineStr">
        <is>
          <t>чел.-ч</t>
        </is>
      </c>
      <c r="F29" s="169" t="n">
        <v>3.99217</v>
      </c>
      <c r="G29" s="177" t="n">
        <v>7.19</v>
      </c>
      <c r="H29" s="177">
        <f>ROUND(F29*G29,2)</f>
        <v/>
      </c>
      <c r="J29" s="153" t="n"/>
    </row>
    <row r="30" ht="15.6" customFormat="1" customHeight="1" s="115">
      <c r="A30" s="167" t="inlineStr">
        <is>
          <t>Затраты труда машинистов</t>
        </is>
      </c>
      <c r="B30" s="195" t="n"/>
      <c r="C30" s="195" t="n"/>
      <c r="D30" s="195" t="n"/>
      <c r="E30" s="196" t="n"/>
      <c r="F30" s="167" t="n">
        <v>761.549163</v>
      </c>
      <c r="G30" s="12" t="n"/>
      <c r="H30" s="12">
        <f>SUM(H31)</f>
        <v/>
      </c>
    </row>
    <row r="31" ht="15.6" customFormat="1" customHeight="1" s="153">
      <c r="A31" s="169" t="n">
        <v>18</v>
      </c>
      <c r="B31" s="169" t="n"/>
      <c r="C31" s="168" t="n">
        <v>2</v>
      </c>
      <c r="D31" s="168" t="inlineStr">
        <is>
          <t>Затраты труда машинистов</t>
        </is>
      </c>
      <c r="E31" s="169" t="inlineStr">
        <is>
          <t>чел.-ч</t>
        </is>
      </c>
      <c r="F31" s="169" t="n">
        <v>761.549163</v>
      </c>
      <c r="G31" s="177" t="n">
        <v>13.47</v>
      </c>
      <c r="H31" s="177">
        <f>ROUND(F31*G31,2)</f>
        <v/>
      </c>
    </row>
    <row r="32" ht="15.6" customFormat="1" customHeight="1" s="115">
      <c r="A32" s="167" t="inlineStr">
        <is>
          <t>Машины и механизмы</t>
        </is>
      </c>
      <c r="B32" s="195" t="n"/>
      <c r="C32" s="195" t="n"/>
      <c r="D32" s="195" t="n"/>
      <c r="E32" s="196" t="n"/>
      <c r="F32" s="167" t="n"/>
      <c r="G32" s="12" t="n"/>
      <c r="H32" s="12">
        <f>SUM(H33:H63)</f>
        <v/>
      </c>
    </row>
    <row r="33" ht="46.9" customFormat="1" customHeight="1" s="153">
      <c r="A33" s="169" t="n">
        <v>19</v>
      </c>
      <c r="B33" s="169" t="n"/>
      <c r="C33" s="168" t="inlineStr">
        <is>
          <t>91.04.01-021</t>
        </is>
      </c>
      <c r="D33" s="16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3" s="169" t="inlineStr">
        <is>
          <t>маш.час</t>
        </is>
      </c>
      <c r="F33" s="169" t="n">
        <v>305.5916</v>
      </c>
      <c r="G33" s="177" t="n">
        <v>87.59999999999999</v>
      </c>
      <c r="H33" s="177">
        <f>ROUND(F33*G33,2)</f>
        <v/>
      </c>
    </row>
    <row r="34" ht="62.45" customFormat="1" customHeight="1" s="153">
      <c r="A34" s="169" t="n">
        <v>20</v>
      </c>
      <c r="B34" s="169" t="n"/>
      <c r="C34" s="168" t="inlineStr">
        <is>
          <t>91.04.01-504</t>
        </is>
      </c>
      <c r="D34" s="168" t="inlineStr">
        <is>
          <t>Комплекты оборудования вращательно-колонкового бурения электрические, глубина бурения до 300 м, диаметр до 60 м, мощность 30 кВт</t>
        </is>
      </c>
      <c r="E34" s="169" t="inlineStr">
        <is>
          <t>маш.час</t>
        </is>
      </c>
      <c r="F34" s="169" t="n">
        <v>255.109</v>
      </c>
      <c r="G34" s="177" t="n">
        <v>46.14</v>
      </c>
      <c r="H34" s="177">
        <f>ROUND(F34*G34,2)</f>
        <v/>
      </c>
    </row>
    <row r="35" ht="15.6" customFormat="1" customHeight="1" s="153">
      <c r="A35" s="169" t="n">
        <v>21</v>
      </c>
      <c r="B35" s="169" t="n"/>
      <c r="C35" s="168" t="inlineStr">
        <is>
          <t>91.05.02-005</t>
        </is>
      </c>
      <c r="D35" s="168" t="inlineStr">
        <is>
          <t>Краны козловые, грузоподъемность 32 т</t>
        </is>
      </c>
      <c r="E35" s="169" t="inlineStr">
        <is>
          <t>маш.час</t>
        </is>
      </c>
      <c r="F35" s="169" t="n">
        <v>34.33975</v>
      </c>
      <c r="G35" s="177" t="n">
        <v>120.24</v>
      </c>
      <c r="H35" s="177">
        <f>ROUND(F35*G35,2)</f>
        <v/>
      </c>
    </row>
    <row r="36" ht="15.6" customFormat="1" customHeight="1" s="153">
      <c r="A36" s="169" t="n">
        <v>22</v>
      </c>
      <c r="B36" s="169" t="n"/>
      <c r="C36" s="168" t="inlineStr">
        <is>
          <t>91.05.01-025</t>
        </is>
      </c>
      <c r="D36" s="168" t="inlineStr">
        <is>
          <t>Краны башенные, грузоподъемность 25-75 т</t>
        </is>
      </c>
      <c r="E36" s="169" t="inlineStr">
        <is>
          <t>маш.час</t>
        </is>
      </c>
      <c r="F36" s="169" t="n">
        <v>11.6722</v>
      </c>
      <c r="G36" s="177" t="n">
        <v>312.21</v>
      </c>
      <c r="H36" s="177">
        <f>ROUND(F36*G36,2)</f>
        <v/>
      </c>
    </row>
    <row r="37" ht="31.15" customFormat="1" customHeight="1" s="153">
      <c r="A37" s="169" t="n">
        <v>23</v>
      </c>
      <c r="B37" s="169" t="n"/>
      <c r="C37" s="168" t="inlineStr">
        <is>
          <t>91.05.05-015</t>
        </is>
      </c>
      <c r="D37" s="168" t="inlineStr">
        <is>
          <t>Краны на автомобильном ходу, грузоподъемность 16 т</t>
        </is>
      </c>
      <c r="E37" s="169" t="inlineStr">
        <is>
          <t>маш.час</t>
        </is>
      </c>
      <c r="F37" s="169" t="n">
        <v>19.107012</v>
      </c>
      <c r="G37" s="177" t="n">
        <v>115.4</v>
      </c>
      <c r="H37" s="177">
        <f>ROUND(F37*G37,2)</f>
        <v/>
      </c>
    </row>
    <row r="38" ht="31.15" customFormat="1" customHeight="1" s="153">
      <c r="A38" s="169" t="n">
        <v>24</v>
      </c>
      <c r="B38" s="169" t="n"/>
      <c r="C38" s="168" t="inlineStr">
        <is>
          <t>91.01.05-086</t>
        </is>
      </c>
      <c r="D38" s="168" t="inlineStr">
        <is>
          <t>Экскаваторы одноковшовые дизельные на гусеничном ходу, емкость ковша 0,65 м3</t>
        </is>
      </c>
      <c r="E38" s="169" t="inlineStr">
        <is>
          <t>маш.час</t>
        </is>
      </c>
      <c r="F38" s="169" t="n">
        <v>15.0513</v>
      </c>
      <c r="G38" s="177" t="n">
        <v>115.27</v>
      </c>
      <c r="H38" s="177">
        <f>ROUND(F38*G38,2)</f>
        <v/>
      </c>
    </row>
    <row r="39" ht="15.6" customFormat="1" customHeight="1" s="153">
      <c r="A39" s="169" t="n">
        <v>25</v>
      </c>
      <c r="B39" s="169" t="n"/>
      <c r="C39" s="168" t="inlineStr">
        <is>
          <t>91.14.02-001</t>
        </is>
      </c>
      <c r="D39" s="168" t="inlineStr">
        <is>
          <t>Автомобили бортовые, грузоподъемность до 5 т</t>
        </is>
      </c>
      <c r="E39" s="169" t="inlineStr">
        <is>
          <t>маш.час</t>
        </is>
      </c>
      <c r="F39" s="169" t="n">
        <v>24.957036</v>
      </c>
      <c r="G39" s="177" t="n">
        <v>65.70999999999999</v>
      </c>
      <c r="H39" s="177">
        <f>ROUND(F39*G39,2)</f>
        <v/>
      </c>
    </row>
    <row r="40" ht="31.15" customFormat="1" customHeight="1" s="153">
      <c r="A40" s="169" t="n">
        <v>26</v>
      </c>
      <c r="B40" s="169" t="n"/>
      <c r="C40" s="168" t="inlineStr">
        <is>
          <t>91.06.06-042</t>
        </is>
      </c>
      <c r="D40" s="168" t="inlineStr">
        <is>
          <t>Подъемники гидравлические, высота подъема 10 м</t>
        </is>
      </c>
      <c r="E40" s="169" t="inlineStr">
        <is>
          <t>маш.час</t>
        </is>
      </c>
      <c r="F40" s="169" t="n">
        <v>46.2176</v>
      </c>
      <c r="G40" s="177" t="n">
        <v>29.6</v>
      </c>
      <c r="H40" s="177">
        <f>ROUND(F40*G40,2)</f>
        <v/>
      </c>
    </row>
    <row r="41" ht="31.15" customFormat="1" customHeight="1" s="153">
      <c r="A41" s="169" t="n">
        <v>27</v>
      </c>
      <c r="B41" s="169" t="n"/>
      <c r="C41" s="168" t="inlineStr">
        <is>
          <t>91.05.06-012</t>
        </is>
      </c>
      <c r="D41" s="168" t="inlineStr">
        <is>
          <t>Краны на гусеничном ходу, грузоподъемность до 16 т</t>
        </is>
      </c>
      <c r="E41" s="169" t="inlineStr">
        <is>
          <t>маш.час</t>
        </is>
      </c>
      <c r="F41" s="169" t="n">
        <v>12.47505</v>
      </c>
      <c r="G41" s="177" t="n">
        <v>96.89</v>
      </c>
      <c r="H41" s="177">
        <f>ROUND(F41*G41,2)</f>
        <v/>
      </c>
    </row>
    <row r="42" ht="15.6" customFormat="1" customHeight="1" s="153">
      <c r="A42" s="169" t="n">
        <v>28</v>
      </c>
      <c r="B42" s="169" t="n"/>
      <c r="C42" s="168" t="inlineStr">
        <is>
          <t>91.05.01-017</t>
        </is>
      </c>
      <c r="D42" s="168" t="inlineStr">
        <is>
          <t>Краны башенные, грузоподъемность 8 т</t>
        </is>
      </c>
      <c r="E42" s="169" t="inlineStr">
        <is>
          <t>маш.час</t>
        </is>
      </c>
      <c r="F42" s="169" t="n">
        <v>12.33282</v>
      </c>
      <c r="G42" s="177" t="n">
        <v>86.40000000000001</v>
      </c>
      <c r="H42" s="177">
        <f>ROUND(F42*G42,2)</f>
        <v/>
      </c>
    </row>
    <row r="43" ht="31.15" customFormat="1" customHeight="1" s="153">
      <c r="A43" s="169" t="n">
        <v>29</v>
      </c>
      <c r="B43" s="169" t="n"/>
      <c r="C43" s="168" t="inlineStr">
        <is>
          <t>91.05.06-007</t>
        </is>
      </c>
      <c r="D43" s="168" t="inlineStr">
        <is>
          <t>Краны на гусеничном ходу, грузоподъемность 25 т</t>
        </is>
      </c>
      <c r="E43" s="169" t="inlineStr">
        <is>
          <t>маш.час</t>
        </is>
      </c>
      <c r="F43" s="169" t="n">
        <v>8.156739999999999</v>
      </c>
      <c r="G43" s="177" t="n">
        <v>120.04</v>
      </c>
      <c r="H43" s="177">
        <f>ROUND(F43*G43,2)</f>
        <v/>
      </c>
    </row>
    <row r="44" ht="46.9" customFormat="1" customHeight="1" s="153">
      <c r="A44" s="169" t="n">
        <v>30</v>
      </c>
      <c r="B44" s="169" t="n"/>
      <c r="C44" s="168" t="inlineStr">
        <is>
          <t>91.18.01-007</t>
        </is>
      </c>
      <c r="D44" s="1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4" s="169" t="inlineStr">
        <is>
          <t>маш.час</t>
        </is>
      </c>
      <c r="F44" s="169" t="n">
        <v>7.5194</v>
      </c>
      <c r="G44" s="177" t="n">
        <v>90</v>
      </c>
      <c r="H44" s="177">
        <f>ROUND(F44*G44,2)</f>
        <v/>
      </c>
    </row>
    <row r="45" ht="31.15" customFormat="1" customHeight="1" s="153">
      <c r="A45" s="169" t="n">
        <v>31</v>
      </c>
      <c r="B45" s="169" t="n"/>
      <c r="C45" s="168" t="inlineStr">
        <is>
          <t>91.17.04-171</t>
        </is>
      </c>
      <c r="D45" s="168" t="inlineStr">
        <is>
          <t>Преобразователи сварочные номинальным сварочным током 315-500 А</t>
        </is>
      </c>
      <c r="E45" s="169" t="inlineStr">
        <is>
          <t>маш.час</t>
        </is>
      </c>
      <c r="F45" s="169" t="n">
        <v>41.55417</v>
      </c>
      <c r="G45" s="177" t="n">
        <v>12.31</v>
      </c>
      <c r="H45" s="177">
        <f>ROUND(F45*G45,2)</f>
        <v/>
      </c>
    </row>
    <row r="46" ht="15.6" customFormat="1" customHeight="1" s="153">
      <c r="A46" s="169" t="n">
        <v>32</v>
      </c>
      <c r="B46" s="169" t="n"/>
      <c r="C46" s="168" t="inlineStr">
        <is>
          <t>91.13.01-038</t>
        </is>
      </c>
      <c r="D46" s="168" t="inlineStr">
        <is>
          <t>Машины поливомоечные 6000 л</t>
        </is>
      </c>
      <c r="E46" s="169" t="inlineStr">
        <is>
          <t>маш.час</t>
        </is>
      </c>
      <c r="F46" s="169" t="n">
        <v>3.5014</v>
      </c>
      <c r="G46" s="177" t="n">
        <v>110</v>
      </c>
      <c r="H46" s="177">
        <f>ROUND(F46*G46,2)</f>
        <v/>
      </c>
    </row>
    <row r="47" ht="31.15" customFormat="1" customHeight="1" s="153">
      <c r="A47" s="169" t="n">
        <v>33</v>
      </c>
      <c r="B47" s="169" t="n"/>
      <c r="C47" s="168" t="inlineStr">
        <is>
          <t>91.17.04-233</t>
        </is>
      </c>
      <c r="D47" s="168" t="inlineStr">
        <is>
          <t>Установки для сварки ручной дуговой (постоянного тока)</t>
        </is>
      </c>
      <c r="E47" s="169" t="inlineStr">
        <is>
          <t>маш.час</t>
        </is>
      </c>
      <c r="F47" s="169" t="n">
        <v>42.4863</v>
      </c>
      <c r="G47" s="177" t="n">
        <v>8.1</v>
      </c>
      <c r="H47" s="177">
        <f>ROUND(F47*G47,2)</f>
        <v/>
      </c>
    </row>
    <row r="48" ht="46.9" customFormat="1" customHeight="1" s="153">
      <c r="A48" s="169" t="n">
        <v>34</v>
      </c>
      <c r="B48" s="169" t="n"/>
      <c r="C48" s="168" t="inlineStr">
        <is>
          <t>91.17.04-036</t>
        </is>
      </c>
      <c r="D48" s="168" t="inlineStr">
        <is>
          <t>Агрегаты сварочные передвижные с дизельным двигателем, номинальный сварочный ток 250-400 А</t>
        </is>
      </c>
      <c r="E48" s="169" t="inlineStr">
        <is>
          <t>маш.час</t>
        </is>
      </c>
      <c r="F48" s="169" t="n">
        <v>24.121</v>
      </c>
      <c r="G48" s="177" t="n">
        <v>14</v>
      </c>
      <c r="H48" s="177">
        <f>ROUND(F48*G48,2)</f>
        <v/>
      </c>
    </row>
    <row r="49" ht="15.6" customFormat="1" customHeight="1" s="153">
      <c r="A49" s="169" t="n">
        <v>35</v>
      </c>
      <c r="B49" s="169" t="n"/>
      <c r="C49" s="168" t="inlineStr">
        <is>
          <t>91.21.22-442</t>
        </is>
      </c>
      <c r="D49" s="168" t="inlineStr">
        <is>
          <t>Установки для заливки пенополиуретана</t>
        </is>
      </c>
      <c r="E49" s="169" t="inlineStr">
        <is>
          <t>маш.час</t>
        </is>
      </c>
      <c r="F49" s="169" t="n">
        <v>7.218</v>
      </c>
      <c r="G49" s="177" t="n">
        <v>35.61</v>
      </c>
      <c r="H49" s="177">
        <f>ROUND(F49*G49,2)</f>
        <v/>
      </c>
    </row>
    <row r="50" ht="31.15" customFormat="1" customHeight="1" s="153">
      <c r="A50" s="169" t="n">
        <v>36</v>
      </c>
      <c r="B50" s="169" t="n"/>
      <c r="C50" s="168" t="inlineStr">
        <is>
          <t>91.10.05-001</t>
        </is>
      </c>
      <c r="D50" s="168" t="inlineStr">
        <is>
          <t>Трубоукладчики для труб диаметром 800-1000 мм, грузоподъемность 35 т</t>
        </is>
      </c>
      <c r="E50" s="169" t="inlineStr">
        <is>
          <t>маш.час</t>
        </is>
      </c>
      <c r="F50" s="169" t="n">
        <v>1.14</v>
      </c>
      <c r="G50" s="177" t="n">
        <v>175.35</v>
      </c>
      <c r="H50" s="177">
        <f>ROUND(F50*G50,2)</f>
        <v/>
      </c>
    </row>
    <row r="51" ht="15.6" customFormat="1" customHeight="1" s="153">
      <c r="A51" s="169" t="n">
        <v>37</v>
      </c>
      <c r="B51" s="169" t="n"/>
      <c r="C51" s="168" t="inlineStr">
        <is>
          <t>91.01.01-035</t>
        </is>
      </c>
      <c r="D51" s="168" t="inlineStr">
        <is>
          <t>Бульдозеры, мощность 79 кВт (108 л.с.)</t>
        </is>
      </c>
      <c r="E51" s="169" t="inlineStr">
        <is>
          <t>маш.час</t>
        </is>
      </c>
      <c r="F51" s="169" t="n">
        <v>1.8908</v>
      </c>
      <c r="G51" s="177" t="n">
        <v>79.06999999999999</v>
      </c>
      <c r="H51" s="177">
        <f>ROUND(F51*G51,2)</f>
        <v/>
      </c>
    </row>
    <row r="52" ht="15.6" customFormat="1" customHeight="1" s="153">
      <c r="A52" s="169" t="n">
        <v>38</v>
      </c>
      <c r="B52" s="169" t="n"/>
      <c r="C52" s="168" t="inlineStr">
        <is>
          <t>91.14.02-003</t>
        </is>
      </c>
      <c r="D52" s="168" t="inlineStr">
        <is>
          <t>Автомобили бортовые, грузоподъемность до 10 т</t>
        </is>
      </c>
      <c r="E52" s="169" t="inlineStr">
        <is>
          <t>маш.час</t>
        </is>
      </c>
      <c r="F52" s="169" t="n">
        <v>1.6225</v>
      </c>
      <c r="G52" s="177" t="n">
        <v>80.44</v>
      </c>
      <c r="H52" s="177">
        <f>ROUND(F52*G52,2)</f>
        <v/>
      </c>
    </row>
    <row r="53" ht="31.15" customFormat="1" customHeight="1" s="153">
      <c r="A53" s="169" t="n">
        <v>39</v>
      </c>
      <c r="B53" s="169" t="n"/>
      <c r="C53" s="168" t="inlineStr">
        <is>
          <t>91.06.01-003</t>
        </is>
      </c>
      <c r="D53" s="168" t="inlineStr">
        <is>
          <t>Домкраты гидравлические, грузоподъемность 63-100 т</t>
        </is>
      </c>
      <c r="E53" s="169" t="inlineStr">
        <is>
          <t>маш.час</t>
        </is>
      </c>
      <c r="F53" s="169" t="n">
        <v>103.6913</v>
      </c>
      <c r="G53" s="177" t="n">
        <v>0.9</v>
      </c>
      <c r="H53" s="177">
        <f>ROUND(F53*G53,2)</f>
        <v/>
      </c>
    </row>
    <row r="54" ht="15.6" customFormat="1" customHeight="1" s="153">
      <c r="A54" s="169" t="n">
        <v>40</v>
      </c>
      <c r="B54" s="169" t="n"/>
      <c r="C54" s="168" t="inlineStr">
        <is>
          <t>91.17.04-042</t>
        </is>
      </c>
      <c r="D54" s="168" t="inlineStr">
        <is>
          <t>Аппараты для газовой сварки и резки</t>
        </is>
      </c>
      <c r="E54" s="169" t="inlineStr">
        <is>
          <t>маш.час</t>
        </is>
      </c>
      <c r="F54" s="169" t="n">
        <v>69.91706000000001</v>
      </c>
      <c r="G54" s="177" t="n">
        <v>1.2</v>
      </c>
      <c r="H54" s="177">
        <f>ROUND(F54*G54,2)</f>
        <v/>
      </c>
    </row>
    <row r="55" ht="46.9" customFormat="1" customHeight="1" s="153">
      <c r="A55" s="169" t="n">
        <v>41</v>
      </c>
      <c r="B55" s="169" t="n"/>
      <c r="C55" s="168" t="inlineStr">
        <is>
          <t>91.21.01-012</t>
        </is>
      </c>
      <c r="D55" s="168" t="inlineStr">
        <is>
          <t>Агрегаты окрасочные высокого давления для окраски поверхностей конструкций, мощность 1 кВт</t>
        </is>
      </c>
      <c r="E55" s="169" t="inlineStr">
        <is>
          <t>маш.час</t>
        </is>
      </c>
      <c r="F55" s="169" t="n">
        <v>9.56508</v>
      </c>
      <c r="G55" s="177" t="n">
        <v>6.82</v>
      </c>
      <c r="H55" s="177">
        <f>ROUND(F55*G55,2)</f>
        <v/>
      </c>
    </row>
    <row r="56" ht="15.6" customFormat="1" customHeight="1" s="153">
      <c r="A56" s="169" t="n">
        <v>42</v>
      </c>
      <c r="B56" s="169" t="n"/>
      <c r="C56" s="168" t="inlineStr">
        <is>
          <t>91.08.04-021</t>
        </is>
      </c>
      <c r="D56" s="168" t="inlineStr">
        <is>
          <t>Котлы битумные передвижные 400 л</t>
        </is>
      </c>
      <c r="E56" s="169" t="inlineStr">
        <is>
          <t>маш.час</t>
        </is>
      </c>
      <c r="F56" s="169" t="n">
        <v>2.03775</v>
      </c>
      <c r="G56" s="177" t="n">
        <v>30</v>
      </c>
      <c r="H56" s="177">
        <f>ROUND(F56*G56,2)</f>
        <v/>
      </c>
    </row>
    <row r="57" ht="15.6" customFormat="1" customHeight="1" s="153">
      <c r="A57" s="169" t="n">
        <v>43</v>
      </c>
      <c r="B57" s="169" t="n"/>
      <c r="C57" s="168" t="inlineStr">
        <is>
          <t>91.14.04-001</t>
        </is>
      </c>
      <c r="D57" s="168" t="inlineStr">
        <is>
          <t>Тягачи седельные, грузоподъемность 12 т</t>
        </is>
      </c>
      <c r="E57" s="169" t="inlineStr">
        <is>
          <t>маш.час</t>
        </is>
      </c>
      <c r="F57" s="169" t="n">
        <v>0.495</v>
      </c>
      <c r="G57" s="177" t="n">
        <v>102.84</v>
      </c>
      <c r="H57" s="177">
        <f>ROUND(F57*G57,2)</f>
        <v/>
      </c>
    </row>
    <row r="58" ht="15.6" customFormat="1" customHeight="1" s="153">
      <c r="A58" s="169" t="n">
        <v>44</v>
      </c>
      <c r="B58" s="169" t="n"/>
      <c r="C58" s="168" t="inlineStr">
        <is>
          <t>91.06.05-011</t>
        </is>
      </c>
      <c r="D58" s="168" t="inlineStr">
        <is>
          <t>Погрузчики, грузоподъемность 5 т</t>
        </is>
      </c>
      <c r="E58" s="169" t="inlineStr">
        <is>
          <t>маш.час</t>
        </is>
      </c>
      <c r="F58" s="169" t="n">
        <v>0.369955</v>
      </c>
      <c r="G58" s="177" t="n">
        <v>89.98999999999999</v>
      </c>
      <c r="H58" s="177">
        <f>ROUND(F58*G58,2)</f>
        <v/>
      </c>
    </row>
    <row r="59" ht="31.15" customFormat="1" customHeight="1" s="153">
      <c r="A59" s="169" t="n">
        <v>45</v>
      </c>
      <c r="B59" s="169" t="n"/>
      <c r="C59" s="168" t="inlineStr">
        <is>
          <t>91.08.09-023</t>
        </is>
      </c>
      <c r="D59" s="168" t="inlineStr">
        <is>
          <t>Трамбовки пневматические при работе от передвижных компрессорных станций</t>
        </is>
      </c>
      <c r="E59" s="169" t="inlineStr">
        <is>
          <t>маш.час</t>
        </is>
      </c>
      <c r="F59" s="169" t="n">
        <v>30.135</v>
      </c>
      <c r="G59" s="177" t="n">
        <v>0.55</v>
      </c>
      <c r="H59" s="177">
        <f>ROUND(F59*G59,2)</f>
        <v/>
      </c>
    </row>
    <row r="60" ht="15.6" customFormat="1" customHeight="1" s="153">
      <c r="A60" s="169" t="n">
        <v>46</v>
      </c>
      <c r="B60" s="169" t="n"/>
      <c r="C60" s="168" t="inlineStr">
        <is>
          <t>91.07.04-001</t>
        </is>
      </c>
      <c r="D60" s="168" t="inlineStr">
        <is>
          <t>Вибраторы глубинные</t>
        </is>
      </c>
      <c r="E60" s="169" t="inlineStr">
        <is>
          <t>маш.час</t>
        </is>
      </c>
      <c r="F60" s="169" t="n">
        <v>4.949625</v>
      </c>
      <c r="G60" s="177" t="n">
        <v>1.9</v>
      </c>
      <c r="H60" s="177">
        <f>ROUND(F60*G60,2)</f>
        <v/>
      </c>
    </row>
    <row r="61" ht="31.15" customFormat="1" customHeight="1" s="153">
      <c r="A61" s="169" t="n">
        <v>47</v>
      </c>
      <c r="B61" s="169" t="n"/>
      <c r="C61" s="168" t="inlineStr">
        <is>
          <t>91.14.05-011</t>
        </is>
      </c>
      <c r="D61" s="168" t="inlineStr">
        <is>
          <t>Полуприцепы общего назначения, грузоподъемность 12 т</t>
        </is>
      </c>
      <c r="E61" s="169" t="inlineStr">
        <is>
          <t>маш.час</t>
        </is>
      </c>
      <c r="F61" s="169" t="n">
        <v>0.495</v>
      </c>
      <c r="G61" s="177" t="n">
        <v>12</v>
      </c>
      <c r="H61" s="177">
        <f>ROUND(F61*G61,2)</f>
        <v/>
      </c>
    </row>
    <row r="62" ht="15.6" customFormat="1" customHeight="1" s="153">
      <c r="A62" s="169" t="n">
        <v>48</v>
      </c>
      <c r="B62" s="169" t="n"/>
      <c r="C62" s="168" t="inlineStr">
        <is>
          <t>91.07.04-002</t>
        </is>
      </c>
      <c r="D62" s="168" t="inlineStr">
        <is>
          <t>Вибраторы поверхностные</t>
        </is>
      </c>
      <c r="E62" s="169" t="inlineStr">
        <is>
          <t>маш.час</t>
        </is>
      </c>
      <c r="F62" s="169" t="n">
        <v>1.917865</v>
      </c>
      <c r="G62" s="177" t="n">
        <v>0.5</v>
      </c>
      <c r="H62" s="177">
        <f>ROUND(F62*G62,2)</f>
        <v/>
      </c>
    </row>
    <row r="63" ht="31.15" customFormat="1" customHeight="1" s="153">
      <c r="A63" s="169" t="n">
        <v>49</v>
      </c>
      <c r="B63" s="169" t="n"/>
      <c r="C63" s="168" t="inlineStr">
        <is>
          <t>91.06.03-060</t>
        </is>
      </c>
      <c r="D63" s="168" t="inlineStr">
        <is>
          <t>Лебедки электрические тяговым усилием до 5,79 кН (0,59 т)</t>
        </is>
      </c>
      <c r="E63" s="169" t="inlineStr">
        <is>
          <t>маш.час</t>
        </is>
      </c>
      <c r="F63" s="169" t="n">
        <v>0.10808</v>
      </c>
      <c r="G63" s="177" t="n">
        <v>1.7</v>
      </c>
      <c r="H63" s="177">
        <f>ROUND(F63*G63,2)</f>
        <v/>
      </c>
    </row>
    <row r="64" ht="15.6" customFormat="1" customHeight="1" s="115">
      <c r="A64" s="167" t="inlineStr">
        <is>
          <t>Материалы</t>
        </is>
      </c>
      <c r="B64" s="195" t="n"/>
      <c r="C64" s="195" t="n"/>
      <c r="D64" s="195" t="n"/>
      <c r="E64" s="196" t="n"/>
      <c r="F64" s="167" t="n"/>
      <c r="G64" s="12" t="n"/>
      <c r="H64" s="12">
        <f>SUM(H65:H141)</f>
        <v/>
      </c>
    </row>
    <row r="65" ht="46.9" customFormat="1" customHeight="1" s="153">
      <c r="A65" s="169" t="n">
        <v>50</v>
      </c>
      <c r="B65" s="169" t="n"/>
      <c r="C65" s="168" t="inlineStr">
        <is>
          <t>20.2.04.04-0036</t>
        </is>
      </c>
      <c r="D65" s="168" t="inlineStr">
        <is>
          <t>Короб кабельный прямой плоский сейсмостойкий горячеоцинкованный КП-0,15/0,5-2 (ККПС-0,15/0,5-2)</t>
        </is>
      </c>
      <c r="E65" s="169" t="inlineStr">
        <is>
          <t>шт</t>
        </is>
      </c>
      <c r="F65" s="169" t="n">
        <v>211</v>
      </c>
      <c r="G65" s="177" t="n">
        <v>831.87</v>
      </c>
      <c r="H65" s="177">
        <f>ROUND(F65*G65,2)</f>
        <v/>
      </c>
    </row>
    <row r="66" ht="78" customFormat="1" customHeight="1" s="153">
      <c r="A66" s="169" t="n">
        <v>51</v>
      </c>
      <c r="B66" s="169" t="n"/>
      <c r="C66" s="168" t="inlineStr">
        <is>
          <t>14.2.02.10-1000</t>
        </is>
      </c>
      <c r="D66" s="168" t="inlineStr">
        <is>
          <t>Покрытие огнезащитное кабельных проходок (ПАСТА ОГНЕЗАЩИТНАЯ ТЕРМОРАСШИРЯЮЩАЯСЯ ДЛЯ ЗАЩИТЫ ЭЛЕКТРИЧЕСКИХ КАБЕЛЕЙ, МАРКА 'ОГРАКС-В')</t>
        </is>
      </c>
      <c r="E66" s="169" t="inlineStr">
        <is>
          <t>кг</t>
        </is>
      </c>
      <c r="F66" s="169" t="n">
        <v>540</v>
      </c>
      <c r="G66" s="177" t="n">
        <v>173.76</v>
      </c>
      <c r="H66" s="177">
        <f>ROUND(F66*G66,2)</f>
        <v/>
      </c>
    </row>
    <row r="67" ht="46.9" customFormat="1" customHeight="1" s="153">
      <c r="A67" s="169" t="n">
        <v>52</v>
      </c>
      <c r="B67" s="169" t="n"/>
      <c r="C67" s="168" t="inlineStr">
        <is>
          <t>08.3.12.02-0007</t>
        </is>
      </c>
      <c r="D67" s="168" t="inlineStr">
        <is>
          <t>Балки перекрытий и балки под установку оборудования составного сечения из прокатных профилей и листовой стали</t>
        </is>
      </c>
      <c r="E67" s="169" t="inlineStr">
        <is>
          <t>т</t>
        </is>
      </c>
      <c r="F67" s="169" t="n">
        <v>17.165</v>
      </c>
      <c r="G67" s="177" t="n">
        <v>5406.17</v>
      </c>
      <c r="H67" s="177">
        <f>ROUND(F67*G67,2)</f>
        <v/>
      </c>
    </row>
    <row r="68" ht="15.6" customFormat="1" customHeight="1" s="153">
      <c r="A68" s="169" t="n">
        <v>53</v>
      </c>
      <c r="B68" s="169" t="n"/>
      <c r="C68" s="168" t="inlineStr">
        <is>
          <t>07.2.07.11-0004</t>
        </is>
      </c>
      <c r="D68" s="168" t="inlineStr">
        <is>
          <t>Опоры стальные</t>
        </is>
      </c>
      <c r="E68" s="169" t="inlineStr">
        <is>
          <t>т</t>
        </is>
      </c>
      <c r="F68" s="169" t="n">
        <v>5.929</v>
      </c>
      <c r="G68" s="177" t="n">
        <v>9600</v>
      </c>
      <c r="H68" s="177">
        <f>ROUND(F68*G68,2)</f>
        <v/>
      </c>
    </row>
    <row r="69" ht="31.15" customFormat="1" customHeight="1" s="153">
      <c r="A69" s="169" t="n">
        <v>54</v>
      </c>
      <c r="B69" s="169" t="n"/>
      <c r="C69" s="168" t="inlineStr">
        <is>
          <t>04.1.02.05-0009</t>
        </is>
      </c>
      <c r="D69" s="168" t="inlineStr">
        <is>
          <t>Смеси бетонные тяжелого бетона (БСТ), класс В25 (М350)</t>
        </is>
      </c>
      <c r="E69" s="169" t="inlineStr">
        <is>
          <t>м3</t>
        </is>
      </c>
      <c r="F69" s="169" t="n">
        <v>29.99325</v>
      </c>
      <c r="G69" s="177" t="n">
        <v>725.6900000000001</v>
      </c>
      <c r="H69" s="177">
        <f>ROUND(F69*G69,2)</f>
        <v/>
      </c>
    </row>
    <row r="70" ht="31.15" customFormat="1" customHeight="1" s="153">
      <c r="A70" s="169" t="n">
        <v>55</v>
      </c>
      <c r="B70" s="169" t="n"/>
      <c r="C70" s="168" t="inlineStr">
        <is>
          <t>04.1.02.05-0023</t>
        </is>
      </c>
      <c r="D70" s="168" t="inlineStr">
        <is>
          <t>Смеси бетонные тяжелого бетона (БСТ), крупность заполнителя 10 мм, класс В7,5 (М100)</t>
        </is>
      </c>
      <c r="E70" s="169" t="inlineStr">
        <is>
          <t>м3</t>
        </is>
      </c>
      <c r="F70" s="169" t="n">
        <v>29.631</v>
      </c>
      <c r="G70" s="177" t="n">
        <v>600</v>
      </c>
      <c r="H70" s="177">
        <f>ROUND(F70*G70,2)</f>
        <v/>
      </c>
    </row>
    <row r="71" ht="31.15" customFormat="1" customHeight="1" s="153">
      <c r="A71" s="169" t="n">
        <v>56</v>
      </c>
      <c r="B71" s="169" t="n"/>
      <c r="C71" s="168" t="inlineStr">
        <is>
          <t>07.2.05.01-0032</t>
        </is>
      </c>
      <c r="D71" s="168" t="inlineStr">
        <is>
          <t>Ограждения лестничных проемов, лестничные марши, пожарные лестницы</t>
        </is>
      </c>
      <c r="E71" s="169" t="inlineStr">
        <is>
          <t>т</t>
        </is>
      </c>
      <c r="F71" s="169" t="n">
        <v>2.289</v>
      </c>
      <c r="G71" s="177" t="n">
        <v>7571</v>
      </c>
      <c r="H71" s="177">
        <f>ROUND(F71*G71,2)</f>
        <v/>
      </c>
    </row>
    <row r="72" ht="46.9" customFormat="1" customHeight="1" s="153">
      <c r="A72" s="169" t="n">
        <v>57</v>
      </c>
      <c r="B72" s="169" t="n"/>
      <c r="C72" s="168" t="inlineStr">
        <is>
          <t>11.1.03.06-0095</t>
        </is>
      </c>
      <c r="D72" s="168" t="inlineStr">
        <is>
          <t>Доска обрезная, хвойных пород, ширина 75-150 мм, толщина 44 мм и более, длина 4-6,5 м, сорт III</t>
        </is>
      </c>
      <c r="E72" s="169" t="inlineStr">
        <is>
          <t>м3</t>
        </is>
      </c>
      <c r="F72" s="169" t="n">
        <v>15.77531</v>
      </c>
      <c r="G72" s="177" t="n">
        <v>1056</v>
      </c>
      <c r="H72" s="177">
        <f>ROUND(F72*G72,2)</f>
        <v/>
      </c>
    </row>
    <row r="73" ht="62.45" customFormat="1" customHeight="1" s="153">
      <c r="A73" s="169" t="n">
        <v>58</v>
      </c>
      <c r="B73" s="169" t="n"/>
      <c r="C73" s="168" t="inlineStr">
        <is>
          <t>23.5.02.02-0096</t>
        </is>
      </c>
      <c r="D73" s="168" t="inlineStr">
        <is>
          <t>Трубы стальные электросварные прямошовные со снятой фаской из стали марок БСт2кп-БСт4кп и БСт2пс-БСт4пс, наружный диаметр 273 мм, толщина стенки 8 мм</t>
        </is>
      </c>
      <c r="E73" s="169" t="inlineStr">
        <is>
          <t>м</t>
        </is>
      </c>
      <c r="F73" s="169" t="n">
        <v>30.9366</v>
      </c>
      <c r="G73" s="177" t="n">
        <v>376.6</v>
      </c>
      <c r="H73" s="177">
        <f>ROUND(F73*G73,2)</f>
        <v/>
      </c>
    </row>
    <row r="74" ht="46.9" customFormat="1" customHeight="1" s="153">
      <c r="A74" s="169" t="n">
        <v>59</v>
      </c>
      <c r="B74" s="169" t="n"/>
      <c r="C74" s="168" t="inlineStr">
        <is>
          <t>07.2.07.13-0161</t>
        </is>
      </c>
      <c r="D74" s="16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74" s="169" t="inlineStr">
        <is>
          <t>т</t>
        </is>
      </c>
      <c r="F74" s="169" t="n">
        <v>0.728</v>
      </c>
      <c r="G74" s="177" t="n">
        <v>11879.76</v>
      </c>
      <c r="H74" s="177">
        <f>ROUND(F74*G74,2)</f>
        <v/>
      </c>
    </row>
    <row r="75" ht="31.15" customFormat="1" customHeight="1" s="153">
      <c r="A75" s="169" t="n">
        <v>60</v>
      </c>
      <c r="B75" s="169" t="n"/>
      <c r="C75" s="168" t="inlineStr">
        <is>
          <t>05.1.02.08-0084</t>
        </is>
      </c>
      <c r="D75" s="168" t="inlineStr">
        <is>
          <t>Трубы железобетонные безнапорные раструбные, диаметр 800 мм</t>
        </is>
      </c>
      <c r="E75" s="169" t="inlineStr">
        <is>
          <t>м</t>
        </is>
      </c>
      <c r="F75" s="169" t="n">
        <v>11.964</v>
      </c>
      <c r="G75" s="177" t="n">
        <v>617.12</v>
      </c>
      <c r="H75" s="177">
        <f>ROUND(F75*G75,2)</f>
        <v/>
      </c>
    </row>
    <row r="76" ht="15.6" customFormat="1" customHeight="1" s="153">
      <c r="A76" s="169" t="n">
        <v>61</v>
      </c>
      <c r="B76" s="169" t="n"/>
      <c r="C76" s="168" t="inlineStr">
        <is>
          <t>20.2.03.03-0005</t>
        </is>
      </c>
      <c r="D76" s="168" t="inlineStr">
        <is>
          <t>Консоль кабельная стальная К-450</t>
        </is>
      </c>
      <c r="E76" s="169" t="inlineStr">
        <is>
          <t>шт</t>
        </is>
      </c>
      <c r="F76" s="169" t="n">
        <v>258</v>
      </c>
      <c r="G76" s="177" t="n">
        <v>23.5</v>
      </c>
      <c r="H76" s="177">
        <f>ROUND(F76*G76,2)</f>
        <v/>
      </c>
    </row>
    <row r="77" ht="46.9" customFormat="1" customHeight="1" s="153">
      <c r="A77" s="169" t="n">
        <v>62</v>
      </c>
      <c r="B77" s="169" t="n"/>
      <c r="C77" s="168" t="inlineStr">
        <is>
          <t>08.4.03.03-0032</t>
        </is>
      </c>
      <c r="D77" s="168" t="inlineStr">
        <is>
          <t>Сталь арматурная, горячекатаная, периодического профиля, класс А-III, диаметр 12 мм</t>
        </is>
      </c>
      <c r="E77" s="169" t="inlineStr">
        <is>
          <t>т</t>
        </is>
      </c>
      <c r="F77" s="169" t="n">
        <v>0.5499000000000001</v>
      </c>
      <c r="G77" s="177" t="n">
        <v>7997.23</v>
      </c>
      <c r="H77" s="177">
        <f>ROUND(F77*G77,2)</f>
        <v/>
      </c>
    </row>
    <row r="78" ht="62.45" customFormat="1" customHeight="1" s="153">
      <c r="A78" s="169" t="n">
        <v>63</v>
      </c>
      <c r="B78" s="169" t="n"/>
      <c r="C78" s="168" t="inlineStr">
        <is>
          <t>07.2.07.12-0026</t>
        </is>
      </c>
      <c r="D78" s="168" t="inlineStr">
        <is>
          <t>Отдельные конструктивные элементы зданий и сооружений с преобладанием толстолистовой стали, средняя масса сборочной единицы свыше 1 до 3 т</t>
        </is>
      </c>
      <c r="E78" s="169" t="inlineStr">
        <is>
          <t>т</t>
        </is>
      </c>
      <c r="F78" s="169" t="n">
        <v>0.52</v>
      </c>
      <c r="G78" s="177" t="n">
        <v>7887.4</v>
      </c>
      <c r="H78" s="177">
        <f>ROUND(F78*G78,2)</f>
        <v/>
      </c>
    </row>
    <row r="79" ht="46.9" customFormat="1" customHeight="1" s="153">
      <c r="A79" s="169" t="n">
        <v>64</v>
      </c>
      <c r="B79" s="169" t="n"/>
      <c r="C79" s="168" t="inlineStr">
        <is>
          <t>12.2.05.05-0014</t>
        </is>
      </c>
      <c r="D79" s="168" t="inlineStr">
        <is>
          <t>Плиты из минеральной ваты повышенной жесткости на синтетическом связующем ППЖ-200</t>
        </is>
      </c>
      <c r="E79" s="169" t="inlineStr">
        <is>
          <t>м3</t>
        </is>
      </c>
      <c r="F79" s="169" t="n">
        <v>1.985</v>
      </c>
      <c r="G79" s="177" t="n">
        <v>1588.5</v>
      </c>
      <c r="H79" s="177">
        <f>ROUND(F79*G79,2)</f>
        <v/>
      </c>
    </row>
    <row r="80" ht="15.6" customFormat="1" customHeight="1" s="153">
      <c r="A80" s="169" t="n">
        <v>65</v>
      </c>
      <c r="B80" s="169" t="n"/>
      <c r="C80" s="168" t="inlineStr">
        <is>
          <t>20.2.03.23-0045</t>
        </is>
      </c>
      <c r="D80" s="168" t="inlineStr">
        <is>
          <t>Стойка кабельная С-1200</t>
        </is>
      </c>
      <c r="E80" s="169" t="inlineStr">
        <is>
          <t>шт</t>
        </is>
      </c>
      <c r="F80" s="169" t="n">
        <v>50</v>
      </c>
      <c r="G80" s="177" t="n">
        <v>58.98</v>
      </c>
      <c r="H80" s="177">
        <f>ROUND(F80*G80,2)</f>
        <v/>
      </c>
    </row>
    <row r="81" ht="31.15" customFormat="1" customHeight="1" s="153">
      <c r="A81" s="169" t="n">
        <v>66</v>
      </c>
      <c r="B81" s="169" t="n"/>
      <c r="C81" s="168" t="inlineStr">
        <is>
          <t>08.4.01.01-0022</t>
        </is>
      </c>
      <c r="D81" s="168" t="inlineStr">
        <is>
          <t>Детали анкерные с резьбой из прямых или гнутых круглых стержней</t>
        </is>
      </c>
      <c r="E81" s="169" t="inlineStr">
        <is>
          <t>т</t>
        </is>
      </c>
      <c r="F81" s="169" t="n">
        <v>0.262</v>
      </c>
      <c r="G81" s="177" t="n">
        <v>10100</v>
      </c>
      <c r="H81" s="177">
        <f>ROUND(F81*G81,2)</f>
        <v/>
      </c>
    </row>
    <row r="82" ht="31.15" customFormat="1" customHeight="1" s="153">
      <c r="A82" s="169" t="n">
        <v>67</v>
      </c>
      <c r="B82" s="169" t="n"/>
      <c r="C82" s="168" t="inlineStr">
        <is>
          <t>12.2.03.05-0001</t>
        </is>
      </c>
      <c r="D82" s="168" t="inlineStr">
        <is>
          <t>Полиол системы жидких компонентов для напыления ППУ</t>
        </is>
      </c>
      <c r="E82" s="169" t="inlineStr">
        <is>
          <t>кг</t>
        </is>
      </c>
      <c r="F82" s="169" t="n">
        <v>38.556</v>
      </c>
      <c r="G82" s="177" t="n">
        <v>58.1</v>
      </c>
      <c r="H82" s="177">
        <f>ROUND(F82*G82,2)</f>
        <v/>
      </c>
    </row>
    <row r="83" ht="31.15" customFormat="1" customHeight="1" s="153">
      <c r="A83" s="169" t="n">
        <v>68</v>
      </c>
      <c r="B83" s="169" t="n"/>
      <c r="C83" s="168" t="inlineStr">
        <is>
          <t>12.2.03.05-0003</t>
        </is>
      </c>
      <c r="D83" s="168" t="inlineStr">
        <is>
          <t>Изоцианат системы жидких компонентов для напыления ППУ</t>
        </is>
      </c>
      <c r="E83" s="169" t="inlineStr">
        <is>
          <t>кг</t>
        </is>
      </c>
      <c r="F83" s="169" t="n">
        <v>37.044</v>
      </c>
      <c r="G83" s="177" t="n">
        <v>51.8</v>
      </c>
      <c r="H83" s="177">
        <f>ROUND(F83*G83,2)</f>
        <v/>
      </c>
    </row>
    <row r="84" ht="62.45" customFormat="1" customHeight="1" s="153">
      <c r="A84" s="169" t="n">
        <v>69</v>
      </c>
      <c r="B84" s="169" t="n"/>
      <c r="C84" s="168" t="inlineStr">
        <is>
          <t>20.2.04.06-0099</t>
        </is>
      </c>
      <c r="D84" s="168" t="inlineStr">
        <is>
          <t>Короб кабельный угловой для поворота горизонтальной трассы вниз под углом 90 °, сейсмостойкий КУН-0,15/0,4 (ККПС-УН-0,15/0,4),  горячеоцинкованный</t>
        </is>
      </c>
      <c r="E84" s="169" t="inlineStr">
        <is>
          <t>шт</t>
        </is>
      </c>
      <c r="F84" s="169" t="n">
        <v>4</v>
      </c>
      <c r="G84" s="177" t="n">
        <v>445.21</v>
      </c>
      <c r="H84" s="177">
        <f>ROUND(F84*G84,2)</f>
        <v/>
      </c>
    </row>
    <row r="85" ht="15.6" customFormat="1" customHeight="1" s="153">
      <c r="A85" s="169" t="n">
        <v>70</v>
      </c>
      <c r="B85" s="169" t="n"/>
      <c r="C85" s="168" t="inlineStr">
        <is>
          <t>01.4.01.10-0017</t>
        </is>
      </c>
      <c r="D85" s="168" t="inlineStr">
        <is>
          <t>Шнек ПБС-65, длина 1300 мм</t>
        </is>
      </c>
      <c r="E85" s="169" t="inlineStr">
        <is>
          <t>шт</t>
        </is>
      </c>
      <c r="F85" s="169" t="n">
        <v>2.4264</v>
      </c>
      <c r="G85" s="177" t="n">
        <v>527.21</v>
      </c>
      <c r="H85" s="177">
        <f>ROUND(F85*G85,2)</f>
        <v/>
      </c>
    </row>
    <row r="86" ht="78" customFormat="1" customHeight="1" s="153">
      <c r="A86" s="169" t="n">
        <v>71</v>
      </c>
      <c r="B86" s="169" t="n"/>
      <c r="C86" s="168" t="inlineStr">
        <is>
          <t>08.4.01.02-0013</t>
        </is>
      </c>
      <c r="D86" s="16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86" s="169" t="inlineStr">
        <is>
          <t>т</t>
        </is>
      </c>
      <c r="F86" s="169" t="n">
        <v>0.1858</v>
      </c>
      <c r="G86" s="177" t="n">
        <v>6800</v>
      </c>
      <c r="H86" s="177">
        <f>ROUND(F86*G86,2)</f>
        <v/>
      </c>
    </row>
    <row r="87" ht="46.9" customFormat="1" customHeight="1" s="153">
      <c r="A87" s="169" t="n">
        <v>72</v>
      </c>
      <c r="B87" s="169" t="n"/>
      <c r="C87" s="168" t="inlineStr">
        <is>
          <t>08.4.03.03-0031</t>
        </is>
      </c>
      <c r="D87" s="168" t="inlineStr">
        <is>
          <t>Сталь арматурная, горячекатаная, периодического профиля, класс А-III, диаметр 10 мм</t>
        </is>
      </c>
      <c r="E87" s="169" t="inlineStr">
        <is>
          <t>т</t>
        </is>
      </c>
      <c r="F87" s="169" t="n">
        <v>0.1217</v>
      </c>
      <c r="G87" s="177" t="n">
        <v>8014.15</v>
      </c>
      <c r="H87" s="177">
        <f>ROUND(F87*G87,2)</f>
        <v/>
      </c>
    </row>
    <row r="88" ht="15.6" customFormat="1" customHeight="1" s="153">
      <c r="A88" s="169" t="n">
        <v>73</v>
      </c>
      <c r="B88" s="169" t="n"/>
      <c r="C88" s="168" t="inlineStr">
        <is>
          <t>14.4.01.01-0003</t>
        </is>
      </c>
      <c r="D88" s="168" t="inlineStr">
        <is>
          <t>Грунтовка ГФ-021</t>
        </is>
      </c>
      <c r="E88" s="169" t="inlineStr">
        <is>
          <t>т</t>
        </is>
      </c>
      <c r="F88" s="169" t="n">
        <v>0.0568917</v>
      </c>
      <c r="G88" s="177" t="n">
        <v>15620</v>
      </c>
      <c r="H88" s="177">
        <f>ROUND(F88*G88,2)</f>
        <v/>
      </c>
    </row>
    <row r="89" ht="31.15" customFormat="1" customHeight="1" s="153">
      <c r="A89" s="169" t="n">
        <v>74</v>
      </c>
      <c r="B89" s="169" t="n"/>
      <c r="C89" s="168" t="inlineStr">
        <is>
          <t>08.3.05.06-1001</t>
        </is>
      </c>
      <c r="D89" s="168" t="inlineStr">
        <is>
          <t>Сталь толстолистовая марка Ст0, толщина более 4 мм (с 10-кратной оборачив.)</t>
        </is>
      </c>
      <c r="E89" s="169" t="inlineStr">
        <is>
          <t>т</t>
        </is>
      </c>
      <c r="F89" s="169" t="n">
        <v>0.13</v>
      </c>
      <c r="G89" s="177" t="n">
        <v>6743.93</v>
      </c>
      <c r="H89" s="177">
        <f>ROUND(F89*G89,2)</f>
        <v/>
      </c>
    </row>
    <row r="90" ht="15.6" customFormat="1" customHeight="1" s="153">
      <c r="A90" s="169" t="n">
        <v>75</v>
      </c>
      <c r="B90" s="169" t="n"/>
      <c r="C90" s="168" t="inlineStr">
        <is>
          <t>01.7.15.03-0042</t>
        </is>
      </c>
      <c r="D90" s="168" t="inlineStr">
        <is>
          <t>Болты с гайками и шайбами строительные</t>
        </is>
      </c>
      <c r="E90" s="169" t="inlineStr">
        <is>
          <t>кг</t>
        </is>
      </c>
      <c r="F90" s="169" t="n">
        <v>92.4235</v>
      </c>
      <c r="G90" s="177" t="n">
        <v>9.039999999999999</v>
      </c>
      <c r="H90" s="177">
        <f>ROUND(F90*G90,2)</f>
        <v/>
      </c>
    </row>
    <row r="91" ht="15.6" customFormat="1" customHeight="1" s="153">
      <c r="A91" s="169" t="n">
        <v>76</v>
      </c>
      <c r="B91" s="169" t="n"/>
      <c r="C91" s="168" t="inlineStr">
        <is>
          <t>01.2.03.03-0007</t>
        </is>
      </c>
      <c r="D91" s="168" t="inlineStr">
        <is>
          <t>Мастика битумная</t>
        </is>
      </c>
      <c r="E91" s="169" t="inlineStr">
        <is>
          <t>т</t>
        </is>
      </c>
      <c r="F91" s="169" t="n">
        <v>0.2508</v>
      </c>
      <c r="G91" s="177" t="n">
        <v>3316.55</v>
      </c>
      <c r="H91" s="177">
        <f>ROUND(F91*G91,2)</f>
        <v/>
      </c>
    </row>
    <row r="92" ht="31.15" customFormat="1" customHeight="1" s="153">
      <c r="A92" s="169" t="n">
        <v>77</v>
      </c>
      <c r="B92" s="169" t="n"/>
      <c r="C92" s="168" t="inlineStr">
        <is>
          <t>14.4.02.09-0301</t>
        </is>
      </c>
      <c r="D92" s="168" t="inlineStr">
        <is>
          <t>Композиция антикоррозионная цинкнаполненная</t>
        </is>
      </c>
      <c r="E92" s="169" t="inlineStr">
        <is>
          <t>кг</t>
        </is>
      </c>
      <c r="F92" s="169" t="n">
        <v>3.22</v>
      </c>
      <c r="G92" s="177" t="n">
        <v>238.48</v>
      </c>
      <c r="H92" s="177">
        <f>ROUND(F92*G92,2)</f>
        <v/>
      </c>
    </row>
    <row r="93" ht="15.6" customFormat="1" customHeight="1" s="153">
      <c r="A93" s="169" t="n">
        <v>78</v>
      </c>
      <c r="B93" s="169" t="n"/>
      <c r="C93" s="168" t="inlineStr">
        <is>
          <t>01.7.11.07-0032</t>
        </is>
      </c>
      <c r="D93" s="168" t="inlineStr">
        <is>
          <t>Электроды сварочные Э42, диаметр 4 мм</t>
        </is>
      </c>
      <c r="E93" s="169" t="inlineStr">
        <is>
          <t>т</t>
        </is>
      </c>
      <c r="F93" s="169" t="n">
        <v>0.0738119</v>
      </c>
      <c r="G93" s="177" t="n">
        <v>10315.01</v>
      </c>
      <c r="H93" s="177">
        <f>ROUND(F93*G93,2)</f>
        <v/>
      </c>
    </row>
    <row r="94" ht="15.6" customFormat="1" customHeight="1" s="153">
      <c r="A94" s="169" t="n">
        <v>79</v>
      </c>
      <c r="B94" s="169" t="n"/>
      <c r="C94" s="168" t="inlineStr">
        <is>
          <t>14.4.01.01-0003</t>
        </is>
      </c>
      <c r="D94" s="168" t="inlineStr">
        <is>
          <t>Грунтовка ГФ-021</t>
        </is>
      </c>
      <c r="E94" s="169" t="inlineStr">
        <is>
          <t>т</t>
        </is>
      </c>
      <c r="F94" s="169" t="n">
        <v>0.048636</v>
      </c>
      <c r="G94" s="177" t="n">
        <v>15620</v>
      </c>
      <c r="H94" s="177">
        <f>ROUND(F94*G94,2)</f>
        <v/>
      </c>
    </row>
    <row r="95" ht="15.6" customFormat="1" customHeight="1" s="153">
      <c r="A95" s="169" t="n">
        <v>80</v>
      </c>
      <c r="B95" s="169" t="n"/>
      <c r="C95" s="168" t="inlineStr">
        <is>
          <t>02.2.05.04-1792</t>
        </is>
      </c>
      <c r="D95" s="168" t="inlineStr">
        <is>
          <t>Щебень М 1400, фракция 20-40 мм, группа 2</t>
        </is>
      </c>
      <c r="E95" s="169" t="inlineStr">
        <is>
          <t>м3</t>
        </is>
      </c>
      <c r="F95" s="169" t="n">
        <v>5</v>
      </c>
      <c r="G95" s="177" t="n">
        <v>140.9</v>
      </c>
      <c r="H95" s="177">
        <f>ROUND(F95*G95,2)</f>
        <v/>
      </c>
    </row>
    <row r="96" ht="15.6" customFormat="1" customHeight="1" s="153">
      <c r="A96" s="169" t="n">
        <v>81</v>
      </c>
      <c r="B96" s="169" t="n"/>
      <c r="C96" s="168" t="inlineStr">
        <is>
          <t>14.4.04.08-0003</t>
        </is>
      </c>
      <c r="D96" s="168" t="inlineStr">
        <is>
          <t>Эмаль ПФ-115, серая</t>
        </is>
      </c>
      <c r="E96" s="169" t="inlineStr">
        <is>
          <t>т</t>
        </is>
      </c>
      <c r="F96" s="169" t="n">
        <v>0.048636</v>
      </c>
      <c r="G96" s="177" t="n">
        <v>14312.87</v>
      </c>
      <c r="H96" s="177">
        <f>ROUND(F96*G96,2)</f>
        <v/>
      </c>
    </row>
    <row r="97" ht="15.6" customFormat="1" customHeight="1" s="153">
      <c r="A97" s="169" t="n">
        <v>82</v>
      </c>
      <c r="B97" s="169" t="n"/>
      <c r="C97" s="168" t="inlineStr">
        <is>
          <t>01.7.15.06-0111</t>
        </is>
      </c>
      <c r="D97" s="168" t="inlineStr">
        <is>
          <t>Гвозди строительные</t>
        </is>
      </c>
      <c r="E97" s="169" t="inlineStr">
        <is>
          <t>т</t>
        </is>
      </c>
      <c r="F97" s="169" t="n">
        <v>0.0505908</v>
      </c>
      <c r="G97" s="177" t="n">
        <v>11978</v>
      </c>
      <c r="H97" s="177">
        <f>ROUND(F97*G97,2)</f>
        <v/>
      </c>
    </row>
    <row r="98" ht="62.45" customFormat="1" customHeight="1" s="153">
      <c r="A98" s="169" t="n">
        <v>83</v>
      </c>
      <c r="B98" s="169" t="n"/>
      <c r="C98" s="168" t="inlineStr">
        <is>
          <t>20.2.04.06-0089</t>
        </is>
      </c>
      <c r="D98" s="168" t="inlineStr">
        <is>
          <t>Короб кабельный угловой для поворота горизонтальной трассы вниз под углом 90 °, сейсмостойкий КУН-0,1/0,2 (ККПС-УН-0,1/0,2), горячеоцинкованный</t>
        </is>
      </c>
      <c r="E98" s="169" t="inlineStr">
        <is>
          <t>шт</t>
        </is>
      </c>
      <c r="F98" s="169" t="n">
        <v>2</v>
      </c>
      <c r="G98" s="177" t="n">
        <v>263.13</v>
      </c>
      <c r="H98" s="177">
        <f>ROUND(F98*G98,2)</f>
        <v/>
      </c>
    </row>
    <row r="99" ht="15.6" customFormat="1" customHeight="1" s="153">
      <c r="A99" s="169" t="n">
        <v>84</v>
      </c>
      <c r="B99" s="169" t="n"/>
      <c r="C99" s="168" t="inlineStr">
        <is>
          <t>01.7.11.07-0040</t>
        </is>
      </c>
      <c r="D99" s="168" t="inlineStr">
        <is>
          <t>Электроды сварочные Э50А, диаметр 4 мм</t>
        </is>
      </c>
      <c r="E99" s="169" t="inlineStr">
        <is>
          <t>т</t>
        </is>
      </c>
      <c r="F99" s="169" t="n">
        <v>0.04333</v>
      </c>
      <c r="G99" s="177" t="n">
        <v>11524</v>
      </c>
      <c r="H99" s="177">
        <f>ROUND(F99*G99,2)</f>
        <v/>
      </c>
    </row>
    <row r="100" ht="31.15" customFormat="1" customHeight="1" s="153">
      <c r="A100" s="169" t="n">
        <v>85</v>
      </c>
      <c r="B100" s="169" t="n"/>
      <c r="C100" s="168" t="inlineStr">
        <is>
          <t>08.3.11.01-0016</t>
        </is>
      </c>
      <c r="D100" s="168" t="inlineStr">
        <is>
          <t>Швеллеры № 12-40 сталь марки 0 (с 10-кратной оборачив.)</t>
        </is>
      </c>
      <c r="E100" s="169" t="inlineStr">
        <is>
          <t>т</t>
        </is>
      </c>
      <c r="F100" s="169" t="n">
        <v>0.08</v>
      </c>
      <c r="G100" s="177" t="n">
        <v>6054.11</v>
      </c>
      <c r="H100" s="177">
        <f>ROUND(F100*G100,2)</f>
        <v/>
      </c>
    </row>
    <row r="101" ht="15.6" customFormat="1" customHeight="1" s="153">
      <c r="A101" s="169" t="n">
        <v>86</v>
      </c>
      <c r="B101" s="169" t="n"/>
      <c r="C101" s="168" t="inlineStr">
        <is>
          <t>01.7.11.07-0034</t>
        </is>
      </c>
      <c r="D101" s="168" t="inlineStr">
        <is>
          <t>Электроды сварочные Э42А, диаметр 4 мм</t>
        </is>
      </c>
      <c r="E101" s="169" t="inlineStr">
        <is>
          <t>кг</t>
        </is>
      </c>
      <c r="F101" s="169" t="n">
        <v>42.7848</v>
      </c>
      <c r="G101" s="177" t="n">
        <v>10.57</v>
      </c>
      <c r="H101" s="177">
        <f>ROUND(F101*G101,2)</f>
        <v/>
      </c>
    </row>
    <row r="102" ht="15.6" customFormat="1" customHeight="1" s="153">
      <c r="A102" s="169" t="n">
        <v>87</v>
      </c>
      <c r="B102" s="169" t="n"/>
      <c r="C102" s="168" t="inlineStr">
        <is>
          <t>11.2.13.04-0011</t>
        </is>
      </c>
      <c r="D102" s="168" t="inlineStr">
        <is>
          <t>Щиты из досок, толщина 25 мм</t>
        </is>
      </c>
      <c r="E102" s="169" t="inlineStr">
        <is>
          <t>м2</t>
        </is>
      </c>
      <c r="F102" s="169" t="n">
        <v>10.9335</v>
      </c>
      <c r="G102" s="177" t="n">
        <v>35.53</v>
      </c>
      <c r="H102" s="177">
        <f>ROUND(F102*G102,2)</f>
        <v/>
      </c>
    </row>
    <row r="103" ht="15.6" customFormat="1" customHeight="1" s="153">
      <c r="A103" s="169" t="n">
        <v>88</v>
      </c>
      <c r="B103" s="169" t="n"/>
      <c r="C103" s="168" t="inlineStr">
        <is>
          <t>20.2.08.07-0033</t>
        </is>
      </c>
      <c r="D103" s="168" t="inlineStr">
        <is>
          <t>Скоба У1078</t>
        </is>
      </c>
      <c r="E103" s="169" t="inlineStr">
        <is>
          <t>100 шт</t>
        </is>
      </c>
      <c r="F103" s="169" t="n">
        <v>0.6292</v>
      </c>
      <c r="G103" s="177" t="n">
        <v>617</v>
      </c>
      <c r="H103" s="177">
        <f>ROUND(F103*G103,2)</f>
        <v/>
      </c>
    </row>
    <row r="104" ht="15.6" customFormat="1" customHeight="1" s="153">
      <c r="A104" s="169" t="n">
        <v>89</v>
      </c>
      <c r="B104" s="169" t="n"/>
      <c r="C104" s="168" t="inlineStr">
        <is>
          <t>01.7.07.12-0024</t>
        </is>
      </c>
      <c r="D104" s="168" t="inlineStr">
        <is>
          <t>Пленка полиэтиленовая, толщина 0,15 мм</t>
        </is>
      </c>
      <c r="E104" s="169" t="inlineStr">
        <is>
          <t>м2</t>
        </is>
      </c>
      <c r="F104" s="169" t="n">
        <v>105.1705</v>
      </c>
      <c r="G104" s="177" t="n">
        <v>3.62</v>
      </c>
      <c r="H104" s="177">
        <f>ROUND(F104*G104,2)</f>
        <v/>
      </c>
    </row>
    <row r="105" ht="15.6" customFormat="1" customHeight="1" s="153">
      <c r="A105" s="169" t="n">
        <v>90</v>
      </c>
      <c r="B105" s="169" t="n"/>
      <c r="C105" s="168" t="inlineStr">
        <is>
          <t>01.3.02.08-0001</t>
        </is>
      </c>
      <c r="D105" s="168" t="inlineStr">
        <is>
          <t>Кислород газообразный технический</t>
        </is>
      </c>
      <c r="E105" s="169" t="inlineStr">
        <is>
          <t>м3</t>
        </is>
      </c>
      <c r="F105" s="169" t="n">
        <v>60.89059</v>
      </c>
      <c r="G105" s="177" t="n">
        <v>6.22</v>
      </c>
      <c r="H105" s="177">
        <f>ROUND(F105*G105,2)</f>
        <v/>
      </c>
    </row>
    <row r="106" ht="15.6" customFormat="1" customHeight="1" s="153">
      <c r="A106" s="169" t="n">
        <v>91</v>
      </c>
      <c r="B106" s="169" t="n"/>
      <c r="C106" s="168" t="inlineStr">
        <is>
          <t>20.2.03.03-0002</t>
        </is>
      </c>
      <c r="D106" s="168" t="inlineStr">
        <is>
          <t>Консоль кабельная стальная К-250</t>
        </is>
      </c>
      <c r="E106" s="169" t="inlineStr">
        <is>
          <t>шт</t>
        </is>
      </c>
      <c r="F106" s="169" t="n">
        <v>24</v>
      </c>
      <c r="G106" s="177" t="n">
        <v>13.34</v>
      </c>
      <c r="H106" s="177">
        <f>ROUND(F106*G106,2)</f>
        <v/>
      </c>
    </row>
    <row r="107" ht="46.9" customFormat="1" customHeight="1" s="153">
      <c r="A107" s="169" t="n">
        <v>92</v>
      </c>
      <c r="B107" s="169" t="n"/>
      <c r="C107" s="168" t="inlineStr">
        <is>
          <t>07.2.07.12-0020</t>
        </is>
      </c>
      <c r="D107" s="168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07" s="169" t="inlineStr">
        <is>
          <t>т</t>
        </is>
      </c>
      <c r="F107" s="169" t="n">
        <v>0.0413485</v>
      </c>
      <c r="G107" s="177" t="n">
        <v>7712</v>
      </c>
      <c r="H107" s="177">
        <f>ROUND(F107*G107,2)</f>
        <v/>
      </c>
    </row>
    <row r="108" ht="15.6" customFormat="1" customHeight="1" s="153">
      <c r="A108" s="169" t="n">
        <v>93</v>
      </c>
      <c r="B108" s="169" t="n"/>
      <c r="C108" s="168" t="inlineStr">
        <is>
          <t>08.3.11.01-0091</t>
        </is>
      </c>
      <c r="D108" s="168" t="inlineStr">
        <is>
          <t>Швеллеры № 40, марка стали Ст0</t>
        </is>
      </c>
      <c r="E108" s="169" t="inlineStr">
        <is>
          <t>т</t>
        </is>
      </c>
      <c r="F108" s="169" t="n">
        <v>0.0516642</v>
      </c>
      <c r="G108" s="177" t="n">
        <v>4920</v>
      </c>
      <c r="H108" s="177">
        <f>ROUND(F108*G108,2)</f>
        <v/>
      </c>
    </row>
    <row r="109" ht="15.6" customFormat="1" customHeight="1" s="153">
      <c r="A109" s="169" t="n">
        <v>94</v>
      </c>
      <c r="B109" s="169" t="n"/>
      <c r="C109" s="168" t="inlineStr">
        <is>
          <t>01.7.07.29-0031</t>
        </is>
      </c>
      <c r="D109" s="168" t="inlineStr">
        <is>
          <t>Каболка</t>
        </is>
      </c>
      <c r="E109" s="169" t="inlineStr">
        <is>
          <t>т</t>
        </is>
      </c>
      <c r="F109" s="169" t="n">
        <v>0.00804</v>
      </c>
      <c r="G109" s="177" t="n">
        <v>30030</v>
      </c>
      <c r="H109" s="177">
        <f>ROUND(F109*G109,2)</f>
        <v/>
      </c>
    </row>
    <row r="110" ht="15.6" customFormat="1" customHeight="1" s="153">
      <c r="A110" s="169" t="n">
        <v>95</v>
      </c>
      <c r="B110" s="169" t="n"/>
      <c r="C110" s="168" t="inlineStr">
        <is>
          <t>01.7.11.07-0036</t>
        </is>
      </c>
      <c r="D110" s="168" t="inlineStr">
        <is>
          <t>Электроды сварочные Э46, диаметр 4 мм</t>
        </is>
      </c>
      <c r="E110" s="169" t="inlineStr">
        <is>
          <t>кг</t>
        </is>
      </c>
      <c r="F110" s="169" t="n">
        <v>20.4517</v>
      </c>
      <c r="G110" s="177" t="n">
        <v>10.75</v>
      </c>
      <c r="H110" s="177">
        <f>ROUND(F110*G110,2)</f>
        <v/>
      </c>
    </row>
    <row r="111" ht="15.6" customFormat="1" customHeight="1" s="153">
      <c r="A111" s="169" t="n">
        <v>96</v>
      </c>
      <c r="B111" s="169" t="n"/>
      <c r="C111" s="168" t="inlineStr">
        <is>
          <t>01.7.15.07-0014</t>
        </is>
      </c>
      <c r="D111" s="168" t="inlineStr">
        <is>
          <t>Дюбели распорные полипропиленовые</t>
        </is>
      </c>
      <c r="E111" s="169" t="inlineStr">
        <is>
          <t>100 шт</t>
        </is>
      </c>
      <c r="F111" s="169" t="n">
        <v>2.288</v>
      </c>
      <c r="G111" s="177" t="n">
        <v>86</v>
      </c>
      <c r="H111" s="177">
        <f>ROUND(F111*G111,2)</f>
        <v/>
      </c>
    </row>
    <row r="112" ht="15.6" customFormat="1" customHeight="1" s="153">
      <c r="A112" s="169" t="n">
        <v>97</v>
      </c>
      <c r="B112" s="169" t="n"/>
      <c r="C112" s="168" t="inlineStr">
        <is>
          <t>12.2.03.15-0061</t>
        </is>
      </c>
      <c r="D112" s="168" t="inlineStr">
        <is>
          <t>Хлорметилен</t>
        </is>
      </c>
      <c r="E112" s="169" t="inlineStr">
        <is>
          <t>кг</t>
        </is>
      </c>
      <c r="F112" s="169" t="n">
        <v>2.7</v>
      </c>
      <c r="G112" s="177" t="n">
        <v>65.3</v>
      </c>
      <c r="H112" s="177">
        <f>ROUND(F112*G112,2)</f>
        <v/>
      </c>
    </row>
    <row r="113" ht="15.6" customFormat="1" customHeight="1" s="153">
      <c r="A113" s="169" t="n">
        <v>98</v>
      </c>
      <c r="B113" s="169" t="n"/>
      <c r="C113" s="168" t="inlineStr">
        <is>
          <t>14.5.09.07-0030</t>
        </is>
      </c>
      <c r="D113" s="168" t="inlineStr">
        <is>
          <t>Растворитель Р-4</t>
        </is>
      </c>
      <c r="E113" s="169" t="inlineStr">
        <is>
          <t>кг</t>
        </is>
      </c>
      <c r="F113" s="169" t="n">
        <v>15.9786</v>
      </c>
      <c r="G113" s="177" t="n">
        <v>9.42</v>
      </c>
      <c r="H113" s="177">
        <f>ROUND(F113*G113,2)</f>
        <v/>
      </c>
    </row>
    <row r="114" ht="31.15" customFormat="1" customHeight="1" s="153">
      <c r="A114" s="169" t="n">
        <v>99</v>
      </c>
      <c r="B114" s="169" t="n"/>
      <c r="C114" s="168" t="inlineStr">
        <is>
          <t>04.1.02.05-0011</t>
        </is>
      </c>
      <c r="D114" s="168" t="inlineStr">
        <is>
          <t>Смеси бетонные тяжелого бетона (БСТ), класс В30 (М400)</t>
        </is>
      </c>
      <c r="E114" s="169" t="inlineStr">
        <is>
          <t>м3</t>
        </is>
      </c>
      <c r="F114" s="169" t="n">
        <v>0.1632</v>
      </c>
      <c r="G114" s="177" t="n">
        <v>790</v>
      </c>
      <c r="H114" s="177">
        <f>ROUND(F114*G114,2)</f>
        <v/>
      </c>
    </row>
    <row r="115" ht="31.15" customFormat="1" customHeight="1" s="153">
      <c r="A115" s="169" t="n">
        <v>100</v>
      </c>
      <c r="B115" s="169" t="n"/>
      <c r="C115" s="168" t="inlineStr">
        <is>
          <t>08.4.02.03-0001</t>
        </is>
      </c>
      <c r="D115" s="168" t="inlineStr">
        <is>
          <t>Каркасы арматурные класса А-I диаметром: 8 мм (с учетом 1 % на отходы) 0,017х1,01</t>
        </is>
      </c>
      <c r="E115" s="169" t="inlineStr">
        <is>
          <t>т</t>
        </is>
      </c>
      <c r="F115" s="169" t="n">
        <v>0.0172</v>
      </c>
      <c r="G115" s="177" t="n">
        <v>7325.47</v>
      </c>
      <c r="H115" s="177">
        <f>ROUND(F115*G115,2)</f>
        <v/>
      </c>
    </row>
    <row r="116" ht="31.15" customFormat="1" customHeight="1" s="153">
      <c r="A116" s="169" t="n">
        <v>101</v>
      </c>
      <c r="B116" s="169" t="n"/>
      <c r="C116" s="168" t="inlineStr">
        <is>
          <t>08.3.01.01-0023</t>
        </is>
      </c>
      <c r="D116" s="168" t="inlineStr">
        <is>
          <t>Сталь двутавровая горячекатаная обычная, марка Ст0 (с 10-кратной оборачив.)</t>
        </is>
      </c>
      <c r="E116" s="169" t="inlineStr">
        <is>
          <t>т</t>
        </is>
      </c>
      <c r="F116" s="169" t="n">
        <v>0.015</v>
      </c>
      <c r="G116" s="177" t="n">
        <v>8237.27</v>
      </c>
      <c r="H116" s="177">
        <f>ROUND(F116*G116,2)</f>
        <v/>
      </c>
    </row>
    <row r="117" ht="15.6" customFormat="1" customHeight="1" s="153">
      <c r="A117" s="169" t="n">
        <v>102</v>
      </c>
      <c r="B117" s="169" t="n"/>
      <c r="C117" s="168" t="inlineStr">
        <is>
          <t>01.7.20.08-0071</t>
        </is>
      </c>
      <c r="D117" s="168" t="inlineStr">
        <is>
          <t>Канат пеньковый пропитанный</t>
        </is>
      </c>
      <c r="E117" s="169" t="inlineStr">
        <is>
          <t>т</t>
        </is>
      </c>
      <c r="F117" s="169" t="n">
        <v>0.0026631</v>
      </c>
      <c r="G117" s="177" t="n">
        <v>37900</v>
      </c>
      <c r="H117" s="177">
        <f>ROUND(F117*G117,2)</f>
        <v/>
      </c>
    </row>
    <row r="118" ht="15.6" customFormat="1" customHeight="1" s="153">
      <c r="A118" s="169" t="n">
        <v>103</v>
      </c>
      <c r="B118" s="169" t="n"/>
      <c r="C118" s="168" t="inlineStr">
        <is>
          <t>01.3.02.09-0022</t>
        </is>
      </c>
      <c r="D118" s="168" t="inlineStr">
        <is>
          <t>Пропан-бутан смесь техническая</t>
        </is>
      </c>
      <c r="E118" s="169" t="inlineStr">
        <is>
          <t>кг</t>
        </is>
      </c>
      <c r="F118" s="169" t="n">
        <v>15.44963</v>
      </c>
      <c r="G118" s="177" t="n">
        <v>6.09</v>
      </c>
      <c r="H118" s="177">
        <f>ROUND(F118*G118,2)</f>
        <v/>
      </c>
    </row>
    <row r="119" ht="15.6" customFormat="1" customHeight="1" s="153">
      <c r="A119" s="169" t="n">
        <v>104</v>
      </c>
      <c r="B119" s="169" t="n"/>
      <c r="C119" s="168" t="inlineStr">
        <is>
          <t>01.7.03.01-0001</t>
        </is>
      </c>
      <c r="D119" s="168" t="inlineStr">
        <is>
          <t>Вода</t>
        </is>
      </c>
      <c r="E119" s="169" t="inlineStr">
        <is>
          <t>м3</t>
        </is>
      </c>
      <c r="F119" s="169" t="n">
        <v>35.334207</v>
      </c>
      <c r="G119" s="177" t="n">
        <v>2.44</v>
      </c>
      <c r="H119" s="177">
        <f>ROUND(F119*G119,2)</f>
        <v/>
      </c>
    </row>
    <row r="120" ht="15.6" customFormat="1" customHeight="1" s="153">
      <c r="A120" s="169" t="n">
        <v>105</v>
      </c>
      <c r="B120" s="169" t="n"/>
      <c r="C120" s="168" t="inlineStr">
        <is>
          <t>12.2.03.15-0021</t>
        </is>
      </c>
      <c r="D120" s="168" t="inlineStr">
        <is>
          <t>Диоктилфталат</t>
        </is>
      </c>
      <c r="E120" s="169" t="inlineStr">
        <is>
          <t>кг</t>
        </is>
      </c>
      <c r="F120" s="169" t="n">
        <v>4.5</v>
      </c>
      <c r="G120" s="177" t="n">
        <v>18.4</v>
      </c>
      <c r="H120" s="177">
        <f>ROUND(F120*G120,2)</f>
        <v/>
      </c>
    </row>
    <row r="121" ht="15.6" customFormat="1" customHeight="1" s="153">
      <c r="A121" s="169" t="n">
        <v>106</v>
      </c>
      <c r="B121" s="169" t="n"/>
      <c r="C121" s="168" t="inlineStr">
        <is>
          <t>01.3.02.03-0001</t>
        </is>
      </c>
      <c r="D121" s="168" t="inlineStr">
        <is>
          <t>Ацетилен газообразный технический</t>
        </is>
      </c>
      <c r="E121" s="169" t="inlineStr">
        <is>
          <t>м3</t>
        </is>
      </c>
      <c r="F121" s="169" t="n">
        <v>1.8</v>
      </c>
      <c r="G121" s="177" t="n">
        <v>38.51</v>
      </c>
      <c r="H121" s="177">
        <f>ROUND(F121*G121,2)</f>
        <v/>
      </c>
    </row>
    <row r="122" ht="15.6" customFormat="1" customHeight="1" s="153">
      <c r="A122" s="169" t="n">
        <v>107</v>
      </c>
      <c r="B122" s="169" t="n"/>
      <c r="C122" s="168" t="inlineStr">
        <is>
          <t>01.3.01.03-0002</t>
        </is>
      </c>
      <c r="D122" s="168" t="inlineStr">
        <is>
          <t>Керосин для технических целей</t>
        </is>
      </c>
      <c r="E122" s="169" t="inlineStr">
        <is>
          <t>т</t>
        </is>
      </c>
      <c r="F122" s="169" t="n">
        <v>0.02508</v>
      </c>
      <c r="G122" s="177" t="n">
        <v>2606.9</v>
      </c>
      <c r="H122" s="177">
        <f>ROUND(F122*G122,2)</f>
        <v/>
      </c>
    </row>
    <row r="123" ht="15.6" customFormat="1" customHeight="1" s="153">
      <c r="A123" s="169" t="n">
        <v>108</v>
      </c>
      <c r="B123" s="169" t="n"/>
      <c r="C123" s="168" t="inlineStr">
        <is>
          <t>14.5.09.02-0002</t>
        </is>
      </c>
      <c r="D123" s="168" t="inlineStr">
        <is>
          <t>Ксилол нефтяной, марка А</t>
        </is>
      </c>
      <c r="E123" s="169" t="inlineStr">
        <is>
          <t>т</t>
        </is>
      </c>
      <c r="F123" s="169" t="n">
        <v>0.008106</v>
      </c>
      <c r="G123" s="177" t="n">
        <v>7640</v>
      </c>
      <c r="H123" s="177">
        <f>ROUND(F123*G123,2)</f>
        <v/>
      </c>
    </row>
    <row r="124" ht="15.6" customFormat="1" customHeight="1" s="153">
      <c r="A124" s="169" t="n">
        <v>109</v>
      </c>
      <c r="B124" s="169" t="n"/>
      <c r="C124" s="168" t="inlineStr">
        <is>
          <t>01.7.06.03-0022</t>
        </is>
      </c>
      <c r="D124" s="168" t="inlineStr">
        <is>
          <t>Лента полиэтиленовая с липким слоем А50</t>
        </is>
      </c>
      <c r="E124" s="169" t="inlineStr">
        <is>
          <t>кг</t>
        </is>
      </c>
      <c r="F124" s="169" t="n">
        <v>0.4734</v>
      </c>
      <c r="G124" s="177" t="n">
        <v>112</v>
      </c>
      <c r="H124" s="177">
        <f>ROUND(F124*G124,2)</f>
        <v/>
      </c>
    </row>
    <row r="125" ht="15.6" customFormat="1" customHeight="1" s="153">
      <c r="A125" s="169" t="n">
        <v>110</v>
      </c>
      <c r="B125" s="169" t="n"/>
      <c r="C125" s="168" t="inlineStr">
        <is>
          <t>14.5.09.11-0102</t>
        </is>
      </c>
      <c r="D125" s="168" t="inlineStr">
        <is>
          <t>Уайт-спирит</t>
        </is>
      </c>
      <c r="E125" s="169" t="inlineStr">
        <is>
          <t>кг</t>
        </is>
      </c>
      <c r="F125" s="169" t="n">
        <v>7.5656</v>
      </c>
      <c r="G125" s="177" t="n">
        <v>6.67</v>
      </c>
      <c r="H125" s="177">
        <f>ROUND(F125*G125,2)</f>
        <v/>
      </c>
    </row>
    <row r="126" ht="31.15" customFormat="1" customHeight="1" s="153">
      <c r="A126" s="169" t="n">
        <v>111</v>
      </c>
      <c r="B126" s="169" t="n"/>
      <c r="C126" s="168" t="inlineStr">
        <is>
          <t>11.1.03.01-0077</t>
        </is>
      </c>
      <c r="D126" s="168" t="inlineStr">
        <is>
          <t>Бруски обрезные, хвойных пород, длина 4-6,5 м, ширина 75-150 мм, толщина 40-75 мм, сорт I</t>
        </is>
      </c>
      <c r="E126" s="169" t="inlineStr">
        <is>
          <t>м3</t>
        </is>
      </c>
      <c r="F126" s="169" t="n">
        <v>0.02743</v>
      </c>
      <c r="G126" s="177" t="n">
        <v>1700</v>
      </c>
      <c r="H126" s="177">
        <f>ROUND(F126*G126,2)</f>
        <v/>
      </c>
    </row>
    <row r="127" ht="15.6" customFormat="1" customHeight="1" s="153">
      <c r="A127" s="169" t="n">
        <v>112</v>
      </c>
      <c r="B127" s="169" t="n"/>
      <c r="C127" s="168" t="inlineStr">
        <is>
          <t>08.1.02.11-0001</t>
        </is>
      </c>
      <c r="D127" s="168" t="inlineStr">
        <is>
          <t>Поковки из квадратных заготовок, масса 1,8 кг</t>
        </is>
      </c>
      <c r="E127" s="169" t="inlineStr">
        <is>
          <t>т</t>
        </is>
      </c>
      <c r="F127" s="169" t="n">
        <v>0.00674</v>
      </c>
      <c r="G127" s="177" t="n">
        <v>5989</v>
      </c>
      <c r="H127" s="177">
        <f>ROUND(F127*G127,2)</f>
        <v/>
      </c>
    </row>
    <row r="128" ht="15.6" customFormat="1" customHeight="1" s="153">
      <c r="A128" s="169" t="n">
        <v>113</v>
      </c>
      <c r="B128" s="169" t="n"/>
      <c r="C128" s="168" t="inlineStr">
        <is>
          <t>01.2.01.02-0001</t>
        </is>
      </c>
      <c r="D128" s="168" t="inlineStr">
        <is>
          <t>Битум горячий</t>
        </is>
      </c>
      <c r="E128" s="169" t="inlineStr">
        <is>
          <t>т</t>
        </is>
      </c>
      <c r="F128" s="169" t="n">
        <v>0.01672</v>
      </c>
      <c r="G128" s="177" t="n">
        <v>1946.91</v>
      </c>
      <c r="H128" s="177">
        <f>ROUND(F128*G128,2)</f>
        <v/>
      </c>
    </row>
    <row r="129" ht="31.15" customFormat="1" customHeight="1" s="153">
      <c r="A129" s="169" t="n">
        <v>114</v>
      </c>
      <c r="B129" s="169" t="n"/>
      <c r="C129" s="168" t="inlineStr">
        <is>
          <t>08.3.05.02-0101</t>
        </is>
      </c>
      <c r="D129" s="168" t="inlineStr">
        <is>
          <t>Прокат толстолистовой горячекатаный в листах, марка стали ВСт3пс5, толщина 4-6 мм</t>
        </is>
      </c>
      <c r="E129" s="169" t="inlineStr">
        <is>
          <t>т</t>
        </is>
      </c>
      <c r="F129" s="169" t="n">
        <v>0.0056</v>
      </c>
      <c r="G129" s="177" t="n">
        <v>5763</v>
      </c>
      <c r="H129" s="177">
        <f>ROUND(F129*G129,2)</f>
        <v/>
      </c>
    </row>
    <row r="130" ht="31.15" customFormat="1" customHeight="1" s="153">
      <c r="A130" s="169" t="n">
        <v>115</v>
      </c>
      <c r="B130" s="169" t="n"/>
      <c r="C130" s="168" t="inlineStr">
        <is>
          <t>08.3.03.06-0002</t>
        </is>
      </c>
      <c r="D130" s="168" t="inlineStr">
        <is>
          <t>Проволока горячекатаная в мотках, диаметр 6,3-6,5 мм</t>
        </is>
      </c>
      <c r="E130" s="169" t="inlineStr">
        <is>
          <t>т</t>
        </is>
      </c>
      <c r="F130" s="169" t="n">
        <v>0.0063249</v>
      </c>
      <c r="G130" s="177" t="n">
        <v>4455.2</v>
      </c>
      <c r="H130" s="177">
        <f>ROUND(F130*G130,2)</f>
        <v/>
      </c>
    </row>
    <row r="131" ht="62.45" customFormat="1" customHeight="1" s="153">
      <c r="A131" s="169" t="n">
        <v>116</v>
      </c>
      <c r="B131" s="169" t="n"/>
      <c r="C131" s="168" t="inlineStr">
        <is>
          <t>08.2.02.11-0007</t>
        </is>
      </c>
      <c r="D131" s="1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31" s="169" t="inlineStr">
        <is>
          <t>10 м</t>
        </is>
      </c>
      <c r="F131" s="169" t="n">
        <v>0.4979997</v>
      </c>
      <c r="G131" s="177" t="n">
        <v>50.24</v>
      </c>
      <c r="H131" s="177">
        <f>ROUND(F131*G131,2)</f>
        <v/>
      </c>
    </row>
    <row r="132" ht="15.6" customFormat="1" customHeight="1" s="153">
      <c r="A132" s="169" t="n">
        <v>117</v>
      </c>
      <c r="B132" s="169" t="n"/>
      <c r="C132" s="168" t="inlineStr">
        <is>
          <t>01.1.02.10-1022</t>
        </is>
      </c>
      <c r="D132" s="168" t="inlineStr">
        <is>
          <t>Хризотил, группа 6К</t>
        </is>
      </c>
      <c r="E132" s="169" t="inlineStr">
        <is>
          <t>т</t>
        </is>
      </c>
      <c r="F132" s="169" t="n">
        <v>0.009599999999999999</v>
      </c>
      <c r="G132" s="177" t="n">
        <v>1160</v>
      </c>
      <c r="H132" s="177">
        <f>ROUND(F132*G132,2)</f>
        <v/>
      </c>
    </row>
    <row r="133" ht="15.6" customFormat="1" customHeight="1" s="153">
      <c r="A133" s="169" t="n">
        <v>118</v>
      </c>
      <c r="B133" s="169" t="n"/>
      <c r="C133" s="168" t="inlineStr">
        <is>
          <t>08.3.03.04-0012</t>
        </is>
      </c>
      <c r="D133" s="168" t="inlineStr">
        <is>
          <t>Проволока светлая, диаметр 1,1 мм</t>
        </is>
      </c>
      <c r="E133" s="169" t="inlineStr">
        <is>
          <t>т</t>
        </is>
      </c>
      <c r="F133" s="169" t="n">
        <v>0.0010343</v>
      </c>
      <c r="G133" s="177" t="n">
        <v>10200</v>
      </c>
      <c r="H133" s="177">
        <f>ROUND(F133*G133,2)</f>
        <v/>
      </c>
    </row>
    <row r="134" ht="31.15" customFormat="1" customHeight="1" s="153">
      <c r="A134" s="169" t="n">
        <v>119</v>
      </c>
      <c r="B134" s="169" t="n"/>
      <c r="C134" s="168" t="inlineStr">
        <is>
          <t>03.2.01.01-0001</t>
        </is>
      </c>
      <c r="D134" s="168" t="inlineStr">
        <is>
          <t>Портландцемент общестроительного назначения бездобавочный М400 Д0 (ЦЕМ I 32,5Н)</t>
        </is>
      </c>
      <c r="E134" s="169" t="inlineStr">
        <is>
          <t>т</t>
        </is>
      </c>
      <c r="F134" s="169" t="n">
        <v>0.02328</v>
      </c>
      <c r="G134" s="177" t="n">
        <v>412</v>
      </c>
      <c r="H134" s="177">
        <f>ROUND(F134*G134,2)</f>
        <v/>
      </c>
    </row>
    <row r="135" ht="31.15" customFormat="1" customHeight="1" s="153">
      <c r="A135" s="169" t="n">
        <v>120</v>
      </c>
      <c r="B135" s="169" t="n"/>
      <c r="C135" s="168" t="inlineStr">
        <is>
          <t>11.1.03.06-0087</t>
        </is>
      </c>
      <c r="D135" s="168" t="inlineStr">
        <is>
          <t>Доска обрезная, хвойных пород, ширина 75-150 мм, толщина 25 мм, длина 4-6,5 м, сорт III</t>
        </is>
      </c>
      <c r="E135" s="169" t="inlineStr">
        <is>
          <t>м3</t>
        </is>
      </c>
      <c r="F135" s="169" t="n">
        <v>0.008</v>
      </c>
      <c r="G135" s="177" t="n">
        <v>1100</v>
      </c>
      <c r="H135" s="177">
        <f>ROUND(F135*G135,2)</f>
        <v/>
      </c>
    </row>
    <row r="136" ht="15.6" customFormat="1" customHeight="1" s="153">
      <c r="A136" s="169" t="n">
        <v>121</v>
      </c>
      <c r="B136" s="169" t="n"/>
      <c r="C136" s="168" t="inlineStr">
        <is>
          <t>14.4.03.03-0002</t>
        </is>
      </c>
      <c r="D136" s="168" t="inlineStr">
        <is>
          <t>Лак битумный БТ-123</t>
        </is>
      </c>
      <c r="E136" s="169" t="inlineStr">
        <is>
          <t>т</t>
        </is>
      </c>
      <c r="F136" s="169" t="n">
        <v>0.0008932</v>
      </c>
      <c r="G136" s="177" t="n">
        <v>7826.9</v>
      </c>
      <c r="H136" s="177">
        <f>ROUND(F136*G136,2)</f>
        <v/>
      </c>
    </row>
    <row r="137" ht="15.6" customFormat="1" customHeight="1" s="153">
      <c r="A137" s="169" t="n">
        <v>122</v>
      </c>
      <c r="B137" s="169" t="n"/>
      <c r="C137" s="168" t="inlineStr">
        <is>
          <t>03.1.02.03-0011</t>
        </is>
      </c>
      <c r="D137" s="168" t="inlineStr">
        <is>
          <t>Известь строительная негашеная комовая, сорт I</t>
        </is>
      </c>
      <c r="E137" s="169" t="inlineStr">
        <is>
          <t>т</t>
        </is>
      </c>
      <c r="F137" s="169" t="n">
        <v>0.006501</v>
      </c>
      <c r="G137" s="177" t="n">
        <v>734.5</v>
      </c>
      <c r="H137" s="177">
        <f>ROUND(F137*G137,2)</f>
        <v/>
      </c>
    </row>
    <row r="138" ht="15.6" customFormat="1" customHeight="1" s="153">
      <c r="A138" s="169" t="n">
        <v>123</v>
      </c>
      <c r="B138" s="169" t="n"/>
      <c r="C138" s="168" t="inlineStr">
        <is>
          <t>02.2.05.04-1777</t>
        </is>
      </c>
      <c r="D138" s="168" t="inlineStr">
        <is>
          <t>Щебень М 800, фракция 20-40 мм, группа 2</t>
        </is>
      </c>
      <c r="E138" s="169" t="inlineStr">
        <is>
          <t>м3</t>
        </is>
      </c>
      <c r="F138" s="169" t="n">
        <v>0.00978</v>
      </c>
      <c r="G138" s="177" t="n">
        <v>108.4</v>
      </c>
      <c r="H138" s="177">
        <f>ROUND(F138*G138,2)</f>
        <v/>
      </c>
    </row>
    <row r="139" ht="15.6" customFormat="1" customHeight="1" s="153">
      <c r="A139" s="169" t="n">
        <v>124</v>
      </c>
      <c r="B139" s="169" t="n"/>
      <c r="C139" s="168" t="inlineStr">
        <is>
          <t>07.2.07.02-0001</t>
        </is>
      </c>
      <c r="D139" s="168" t="inlineStr">
        <is>
          <t>Кондуктор инвентарный металлический</t>
        </is>
      </c>
      <c r="E139" s="169" t="inlineStr">
        <is>
          <t>шт</t>
        </is>
      </c>
      <c r="F139" s="169" t="n">
        <v>0.00262</v>
      </c>
      <c r="G139" s="177" t="n">
        <v>346</v>
      </c>
      <c r="H139" s="177">
        <f>ROUND(F139*G139,2)</f>
        <v/>
      </c>
    </row>
    <row r="140" ht="15.6" customFormat="1" customHeight="1" s="153">
      <c r="A140" s="169" t="n">
        <v>125</v>
      </c>
      <c r="B140" s="169" t="n"/>
      <c r="C140" s="168" t="inlineStr">
        <is>
          <t>01.7.20.08-0051</t>
        </is>
      </c>
      <c r="D140" s="168" t="inlineStr">
        <is>
          <t>Ветошь</t>
        </is>
      </c>
      <c r="E140" s="169" t="inlineStr">
        <is>
          <t>кг</t>
        </is>
      </c>
      <c r="F140" s="169" t="n">
        <v>0.1045</v>
      </c>
      <c r="G140" s="177" t="n">
        <v>1.82</v>
      </c>
      <c r="H140" s="177">
        <f>ROUND(F140*G140,2)</f>
        <v/>
      </c>
    </row>
    <row r="141" ht="31.15" customFormat="1" customHeight="1" s="153">
      <c r="A141" s="169" t="n">
        <v>126</v>
      </c>
      <c r="B141" s="169" t="n"/>
      <c r="C141" s="168" t="inlineStr">
        <is>
          <t>08.3.03.04-0021</t>
        </is>
      </c>
      <c r="D141" s="168" t="inlineStr">
        <is>
          <t>Проволока стальная низкоуглеродистая общего назначения, диаметр 0,8 мм</t>
        </is>
      </c>
      <c r="E141" s="169" t="inlineStr">
        <is>
          <t>кг</t>
        </is>
      </c>
      <c r="F141" s="169" t="n">
        <v>0.00036</v>
      </c>
      <c r="G141" s="177" t="n">
        <v>8.94</v>
      </c>
      <c r="H141" s="177">
        <f>ROUND(F141*G141,2)</f>
        <v/>
      </c>
    </row>
    <row r="142" ht="15.6" customFormat="1" customHeight="1" s="153"/>
    <row r="143" ht="15.6" customFormat="1" customHeight="1" s="153">
      <c r="D143" s="153" t="n"/>
      <c r="E143" s="153" t="n"/>
      <c r="F143" s="153" t="n"/>
    </row>
    <row r="144" ht="15.6" customFormat="1" customHeight="1" s="153">
      <c r="D144" s="153" t="inlineStr">
        <is>
          <t>Составил ______________________        М.С. Колотиевская</t>
        </is>
      </c>
      <c r="E144" s="153" t="n"/>
      <c r="F144" s="153" t="n"/>
    </row>
    <row r="145" ht="15.6" customFormat="1" customHeight="1" s="153">
      <c r="D145" s="75" t="inlineStr">
        <is>
          <t xml:space="preserve">                         (подпись, инициалы, фамилия)</t>
        </is>
      </c>
      <c r="E145" s="153" t="n"/>
      <c r="F145" s="153" t="n"/>
    </row>
    <row r="146" ht="15.6" customFormat="1" customHeight="1" s="153">
      <c r="D146" s="153" t="n"/>
      <c r="E146" s="153" t="n"/>
      <c r="F146" s="153" t="n"/>
    </row>
    <row r="147" ht="15.6" customFormat="1" customHeight="1" s="153">
      <c r="D147" s="153" t="inlineStr">
        <is>
          <t>Проверил ______________________      А.В. Костянецкая</t>
        </is>
      </c>
      <c r="E147" s="153" t="n"/>
      <c r="F147" s="153" t="n"/>
    </row>
    <row r="148" ht="15.6" customFormat="1" customHeight="1" s="153">
      <c r="D148" s="75" t="inlineStr">
        <is>
          <t xml:space="preserve">                        (подпись, инициалы, фамилия)</t>
        </is>
      </c>
      <c r="E148" s="153" t="n"/>
      <c r="F148" s="153" t="n"/>
    </row>
    <row r="149" ht="15.6" customFormat="1" customHeight="1" s="153">
      <c r="C149" s="153" t="n"/>
    </row>
    <row r="150" ht="15.6" customFormat="1" customHeight="1" s="153"/>
  </sheetData>
  <mergeCells count="14">
    <mergeCell ref="A30:E30"/>
    <mergeCell ref="A4:H4"/>
    <mergeCell ref="C9:C10"/>
    <mergeCell ref="A12:E12"/>
    <mergeCell ref="D9:D10"/>
    <mergeCell ref="E9:E10"/>
    <mergeCell ref="B9:B10"/>
    <mergeCell ref="F9:F10"/>
    <mergeCell ref="A7:H7"/>
    <mergeCell ref="A9:A10"/>
    <mergeCell ref="A64:E64"/>
    <mergeCell ref="A32:E32"/>
    <mergeCell ref="A5:H5"/>
    <mergeCell ref="G9:H9"/>
  </mergeCells>
  <conditionalFormatting sqref="F12:F141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K47"/>
  <sheetViews>
    <sheetView view="pageBreakPreview" zoomScale="60" zoomScaleNormal="100" workbookViewId="0">
      <selection activeCell="C44" sqref="C44"/>
    </sheetView>
  </sheetViews>
  <sheetFormatPr baseColWidth="8" defaultColWidth="9.140625" defaultRowHeight="15"/>
  <cols>
    <col width="4.140625" customWidth="1" style="122" min="1" max="1"/>
    <col width="36.28515625" customWidth="1" style="122" min="2" max="2"/>
    <col width="18.85546875" customWidth="1" style="122" min="3" max="3"/>
    <col width="18.28515625" customWidth="1" style="122" min="4" max="4"/>
    <col width="20.85546875" customWidth="1" style="122" min="5" max="5"/>
    <col width="9.140625" customWidth="1" style="122" min="6" max="10"/>
    <col width="13.5703125" customWidth="1" style="122" min="11" max="11"/>
    <col width="9.140625" customWidth="1" style="122" min="12" max="12"/>
  </cols>
  <sheetData>
    <row r="1" ht="15.6" customHeight="1" s="122">
      <c r="A1" s="50" t="n"/>
      <c r="B1" s="153" t="n"/>
      <c r="C1" s="153" t="n"/>
      <c r="D1" s="153" t="n"/>
      <c r="E1" s="153" t="n"/>
    </row>
    <row r="2" ht="15.6" customHeight="1" s="122">
      <c r="B2" s="153" t="n"/>
      <c r="C2" s="153" t="n"/>
      <c r="D2" s="153" t="n"/>
      <c r="E2" s="175" t="inlineStr">
        <is>
          <t>Приложение № 4</t>
        </is>
      </c>
    </row>
    <row r="3" ht="15.6" customHeight="1" s="122">
      <c r="B3" s="153" t="n"/>
      <c r="C3" s="153" t="n"/>
      <c r="D3" s="153" t="n"/>
      <c r="E3" s="153" t="n"/>
    </row>
    <row r="4" ht="15.6" customHeight="1" s="122">
      <c r="B4" s="153" t="n"/>
      <c r="C4" s="153" t="n"/>
      <c r="D4" s="153" t="n"/>
      <c r="E4" s="153" t="n"/>
    </row>
    <row r="5" ht="15.6" customHeight="1" s="122">
      <c r="B5" s="165" t="inlineStr">
        <is>
          <t>Ресурсная модель</t>
        </is>
      </c>
    </row>
    <row r="6" ht="15.6" customHeight="1" s="122">
      <c r="B6" s="160" t="n"/>
      <c r="C6" s="153" t="n"/>
      <c r="D6" s="153" t="n"/>
      <c r="E6" s="153" t="n"/>
    </row>
    <row r="7" ht="15.6" customFormat="1" customHeight="1" s="56">
      <c r="A7" s="171" t="inlineStr">
        <is>
          <t xml:space="preserve">Наименование разрабатываемого показателя УНЦ —  </t>
        </is>
      </c>
      <c r="D7" s="171" t="inlineStr">
        <is>
          <t>Н2-04 БРТМ Кабельная эстакада Без ПИР</t>
        </is>
      </c>
      <c r="H7" s="96" t="n"/>
      <c r="I7" s="171" t="n"/>
      <c r="J7" s="171" t="n"/>
    </row>
    <row r="8" ht="15.6" customHeight="1" s="122">
      <c r="B8" s="160" t="inlineStr">
        <is>
          <t>Единица измерения  —  м</t>
        </is>
      </c>
    </row>
    <row r="9">
      <c r="B9" s="55" t="n"/>
      <c r="C9" s="56" t="n"/>
      <c r="D9" s="56" t="n"/>
      <c r="E9" s="56" t="n"/>
    </row>
    <row r="10" ht="62.45" customFormat="1" customHeight="1" s="153">
      <c r="B10" s="166" t="inlineStr">
        <is>
          <t>Наименование</t>
        </is>
      </c>
      <c r="C10" s="166" t="inlineStr">
        <is>
          <t>Сметная стоимость в ценах на 01.01.2023
 (руб.)</t>
        </is>
      </c>
      <c r="D10" s="166" t="inlineStr">
        <is>
          <t>Удельный вес, 
(в СМР)</t>
        </is>
      </c>
      <c r="E10" s="166" t="inlineStr">
        <is>
          <t>Удельный вес, % 
(от всего по РМ)</t>
        </is>
      </c>
    </row>
    <row r="11" ht="15" customFormat="1" customHeight="1" s="153">
      <c r="B11" s="176" t="inlineStr">
        <is>
          <t>Оплата труда рабочих</t>
        </is>
      </c>
      <c r="C11" s="119">
        <f>'Прил.5 Расчет СМР и ОБ'!J14</f>
        <v/>
      </c>
      <c r="D11" s="60">
        <f>C11/C24</f>
        <v/>
      </c>
      <c r="E11" s="60">
        <f>C11/C40</f>
        <v/>
      </c>
    </row>
    <row r="12" ht="15" customFormat="1" customHeight="1" s="153">
      <c r="B12" s="176" t="inlineStr">
        <is>
          <t>Эксплуатация машин основных</t>
        </is>
      </c>
      <c r="C12" s="119">
        <f>'Прил.5 Расчет СМР и ОБ'!J26</f>
        <v/>
      </c>
      <c r="D12" s="60">
        <f>C12/C24</f>
        <v/>
      </c>
      <c r="E12" s="60">
        <f>C12/C40</f>
        <v/>
      </c>
    </row>
    <row r="13" ht="15" customFormat="1" customHeight="1" s="153">
      <c r="B13" s="176" t="inlineStr">
        <is>
          <t>Эксплуатация машин прочих</t>
        </is>
      </c>
      <c r="C13" s="119">
        <f>'Прил.5 Расчет СМР и ОБ'!J51</f>
        <v/>
      </c>
      <c r="D13" s="60">
        <f>C13/C24</f>
        <v/>
      </c>
      <c r="E13" s="60">
        <f>C13/C40</f>
        <v/>
      </c>
    </row>
    <row r="14" ht="15" customFormat="1" customHeight="1" s="153">
      <c r="B14" s="176" t="inlineStr">
        <is>
          <t>ЭКСПЛУАТАЦИЯ МАШИН, ВСЕГО:</t>
        </is>
      </c>
      <c r="C14" s="119">
        <f>C13+C12</f>
        <v/>
      </c>
      <c r="D14" s="60">
        <f>C14/C24</f>
        <v/>
      </c>
      <c r="E14" s="60">
        <f>C14/C40</f>
        <v/>
      </c>
    </row>
    <row r="15" ht="15" customFormat="1" customHeight="1" s="153">
      <c r="B15" s="176" t="inlineStr">
        <is>
          <t>в том числе зарплата машинистов</t>
        </is>
      </c>
      <c r="C15" s="119">
        <f>'Прил.5 Расчет СМР и ОБ'!J16</f>
        <v/>
      </c>
      <c r="D15" s="60">
        <f>C15/C24</f>
        <v/>
      </c>
      <c r="E15" s="60">
        <f>C15/C40</f>
        <v/>
      </c>
    </row>
    <row r="16" ht="15" customFormat="1" customHeight="1" s="153">
      <c r="B16" s="176" t="inlineStr">
        <is>
          <t>Материалы основные</t>
        </is>
      </c>
      <c r="C16" s="119">
        <f>'Прил.5 Расчет СМР и ОБ'!J69</f>
        <v/>
      </c>
      <c r="D16" s="60">
        <f>C16/C24</f>
        <v/>
      </c>
      <c r="E16" s="60">
        <f>C16/C40</f>
        <v/>
      </c>
    </row>
    <row r="17" ht="15" customFormat="1" customHeight="1" s="153">
      <c r="B17" s="176" t="inlineStr">
        <is>
          <t>Материалы прочие</t>
        </is>
      </c>
      <c r="C17" s="119">
        <f>'Прил.5 Расчет СМР и ОБ'!J139</f>
        <v/>
      </c>
      <c r="D17" s="60">
        <f>C17/C24</f>
        <v/>
      </c>
      <c r="E17" s="60">
        <f>C17/C40</f>
        <v/>
      </c>
    </row>
    <row r="18" ht="15" customFormat="1" customHeight="1" s="153">
      <c r="B18" s="176" t="inlineStr">
        <is>
          <t>МАТЕРИАЛЫ, ВСЕГО:</t>
        </is>
      </c>
      <c r="C18" s="119">
        <f>C17+C16</f>
        <v/>
      </c>
      <c r="D18" s="60">
        <f>C18/C24</f>
        <v/>
      </c>
      <c r="E18" s="60">
        <f>C18/C40</f>
        <v/>
      </c>
    </row>
    <row r="19" ht="15" customFormat="1" customHeight="1" s="153">
      <c r="B19" s="176" t="inlineStr">
        <is>
          <t>ИТОГО</t>
        </is>
      </c>
      <c r="C19" s="119">
        <f>C18+C14+C11</f>
        <v/>
      </c>
      <c r="D19" s="60">
        <f>C19/C24</f>
        <v/>
      </c>
      <c r="E19" s="61">
        <f>C19/C40</f>
        <v/>
      </c>
    </row>
    <row r="20" ht="15" customFormat="1" customHeight="1" s="153">
      <c r="B20" s="176" t="inlineStr">
        <is>
          <t>Сметная прибыль, руб.</t>
        </is>
      </c>
      <c r="C20" s="119">
        <f>'Прил.5 Расчет СМР и ОБ'!J143</f>
        <v/>
      </c>
      <c r="D20" s="60">
        <f>C20/C24</f>
        <v/>
      </c>
      <c r="E20" s="60">
        <f>C20/C40</f>
        <v/>
      </c>
    </row>
    <row r="21" ht="15" customFormat="1" customHeight="1" s="153">
      <c r="B21" s="176" t="inlineStr">
        <is>
          <t>Сметная прибыль, %</t>
        </is>
      </c>
      <c r="C21" s="62">
        <f>C20/(C11+C15)</f>
        <v/>
      </c>
      <c r="D21" s="60" t="n"/>
      <c r="E21" s="61" t="n"/>
    </row>
    <row r="22" ht="15" customFormat="1" customHeight="1" s="153">
      <c r="B22" s="176" t="inlineStr">
        <is>
          <t>Накладные расходы, руб.</t>
        </is>
      </c>
      <c r="C22" s="119">
        <f>'Прил.5 Расчет СМР и ОБ'!J142</f>
        <v/>
      </c>
      <c r="D22" s="60">
        <f>C22/C24</f>
        <v/>
      </c>
      <c r="E22" s="60">
        <f>C22/C40</f>
        <v/>
      </c>
    </row>
    <row r="23" ht="15" customFormat="1" customHeight="1" s="153">
      <c r="B23" s="176" t="inlineStr">
        <is>
          <t>Накладные расходы, %</t>
        </is>
      </c>
      <c r="C23" s="62">
        <f>C22/(C11+C15)</f>
        <v/>
      </c>
      <c r="D23" s="60" t="n"/>
      <c r="E23" s="61" t="n"/>
    </row>
    <row r="24" ht="15" customFormat="1" customHeight="1" s="153">
      <c r="B24" s="176" t="inlineStr">
        <is>
          <t>ВСЕГО СМР с НР и СП</t>
        </is>
      </c>
      <c r="C24" s="119">
        <f>C19+C20+C22</f>
        <v/>
      </c>
      <c r="D24" s="60">
        <f>C24/C24</f>
        <v/>
      </c>
      <c r="E24" s="60">
        <f>C24/C40</f>
        <v/>
      </c>
    </row>
    <row r="25" ht="31.15" customFormat="1" customHeight="1" s="153">
      <c r="B25" s="176" t="inlineStr">
        <is>
          <t>ВСЕГО стоимость оборудования, в том числе</t>
        </is>
      </c>
      <c r="C25" s="119" t="n"/>
      <c r="D25" s="60" t="n"/>
      <c r="E25" s="60">
        <f>C25/C40</f>
        <v/>
      </c>
    </row>
    <row r="26" ht="31.15" customFormat="1" customHeight="1" s="153">
      <c r="B26" s="176" t="inlineStr">
        <is>
          <t>стоимость оборудования технологического</t>
        </is>
      </c>
      <c r="C26" s="119">
        <f>C25</f>
        <v/>
      </c>
      <c r="D26" s="60" t="n"/>
      <c r="E26" s="60">
        <f>C26/C40</f>
        <v/>
      </c>
    </row>
    <row r="27" ht="15" customFormat="1" customHeight="1" s="153">
      <c r="B27" s="176" t="inlineStr">
        <is>
          <t>ИТОГО (СМР + ОБОРУДОВАНИЕ)</t>
        </is>
      </c>
      <c r="C27" s="63">
        <f>C24+C25</f>
        <v/>
      </c>
      <c r="D27" s="60" t="n"/>
      <c r="E27" s="60">
        <f>C27/C40</f>
        <v/>
      </c>
    </row>
    <row r="28" ht="33" customFormat="1" customHeight="1" s="153">
      <c r="B28" s="176" t="inlineStr">
        <is>
          <t>ПРОЧ. ЗАТР., УЧТЕННЫЕ ПОКАЗАТЕЛЕМ,  в том числе</t>
        </is>
      </c>
      <c r="C28" s="176" t="n"/>
      <c r="D28" s="61" t="n"/>
      <c r="E28" s="61" t="n"/>
    </row>
    <row r="29" ht="31.15" customFormat="1" customHeight="1" s="153">
      <c r="B29" s="176" t="inlineStr">
        <is>
          <t>Временные здания и сооружения - 2,5%</t>
        </is>
      </c>
      <c r="C29" s="63">
        <f>ROUND(C24*0.025,2)</f>
        <v/>
      </c>
      <c r="D29" s="61" t="n"/>
      <c r="E29" s="60">
        <f>C29/C40</f>
        <v/>
      </c>
    </row>
    <row r="30" ht="62.45" customFormat="1" customHeight="1" s="153">
      <c r="B30" s="176" t="inlineStr">
        <is>
          <t>Дополнительные затраты при производстве строительно-монтажных работ в зимнее время - 1,9%</t>
        </is>
      </c>
      <c r="C30" s="63">
        <f>ROUND((C24+C29)*0.019,2)</f>
        <v/>
      </c>
      <c r="D30" s="61" t="n"/>
      <c r="E30" s="60">
        <f>C30/C40</f>
        <v/>
      </c>
    </row>
    <row r="31" ht="15.6" customFormat="1" customHeight="1" s="153">
      <c r="B31" s="176" t="inlineStr">
        <is>
          <t>Пусконаладочные работы</t>
        </is>
      </c>
      <c r="C31" s="63">
        <f>ROUND(C25*80%*7%,2)</f>
        <v/>
      </c>
      <c r="D31" s="61" t="n"/>
      <c r="E31" s="60">
        <f>C31/C40</f>
        <v/>
      </c>
    </row>
    <row r="32" ht="31.15" customFormat="1" customHeight="1" s="153">
      <c r="B32" s="176" t="inlineStr">
        <is>
          <t>Затраты по перевозке работников к месту работы и обратно</t>
        </is>
      </c>
      <c r="C32" s="63" t="n">
        <v>0</v>
      </c>
      <c r="D32" s="61" t="n"/>
      <c r="E32" s="60">
        <f>C32/C40</f>
        <v/>
      </c>
    </row>
    <row r="33" ht="46.9" customFormat="1" customHeight="1" s="153">
      <c r="B33" s="176" t="inlineStr">
        <is>
          <t>Затраты, связанные с осуществлением работ вахтовым методом</t>
        </is>
      </c>
      <c r="C33" s="63" t="n">
        <v>0</v>
      </c>
      <c r="D33" s="61" t="n"/>
      <c r="E33" s="60">
        <f>C33/C40</f>
        <v/>
      </c>
    </row>
    <row r="34" ht="62.45" customFormat="1" customHeight="1" s="153">
      <c r="B34" s="17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3" t="n">
        <v>0</v>
      </c>
      <c r="D34" s="61" t="n"/>
      <c r="E34" s="60">
        <f>C34/C40</f>
        <v/>
      </c>
    </row>
    <row r="35" ht="93.59999999999999" customFormat="1" customHeight="1" s="153">
      <c r="B35" s="17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3" t="n">
        <v>0</v>
      </c>
      <c r="D35" s="61" t="n"/>
      <c r="E35" s="60">
        <f>C35/C40</f>
        <v/>
      </c>
    </row>
    <row r="36" ht="46.9" customFormat="1" customHeight="1" s="153">
      <c r="B36" s="64" t="inlineStr">
        <is>
          <t>Строительный контроль и содержание службы заказчика - 2,14%</t>
        </is>
      </c>
      <c r="C36" s="65">
        <f>ROUND((C27+C29+C31+C30)*0.0214,2)</f>
        <v/>
      </c>
      <c r="D36" s="66" t="n"/>
      <c r="E36" s="67">
        <f>C36/C40</f>
        <v/>
      </c>
      <c r="K36" s="68" t="n"/>
    </row>
    <row r="37" ht="15.6" customFormat="1" customHeight="1" s="153">
      <c r="B37" s="174" t="inlineStr">
        <is>
          <t>Авторский надзор - 0,2%</t>
        </is>
      </c>
      <c r="C37" s="174">
        <f>ROUND((C27+C29+C30+C31)*0.002,2)</f>
        <v/>
      </c>
      <c r="D37" s="70" t="n"/>
      <c r="E37" s="70">
        <f>C37/C40</f>
        <v/>
      </c>
    </row>
    <row r="38" ht="62.45" customFormat="1" customHeight="1" s="153">
      <c r="B38" s="71" t="inlineStr">
        <is>
          <t>ИТОГО (СМР+ОБОРУДОВАНИЕ+ПРОЧ. ЗАТР., УЧТЕННЫЕ ПОКАЗАТЕЛЕМ)</t>
        </is>
      </c>
      <c r="C38" s="72">
        <f>C27+C29+C30+C31+C36+C37</f>
        <v/>
      </c>
      <c r="D38" s="73" t="n"/>
      <c r="E38" s="74">
        <f>C38/C40</f>
        <v/>
      </c>
    </row>
    <row r="39" ht="15.6" customFormat="1" customHeight="1" s="153">
      <c r="B39" s="176" t="inlineStr">
        <is>
          <t>Непредвиденные расходы</t>
        </is>
      </c>
      <c r="C39" s="119">
        <f>ROUND(C38*0.03,2)</f>
        <v/>
      </c>
      <c r="D39" s="61" t="n"/>
      <c r="E39" s="60">
        <f>C39/C40</f>
        <v/>
      </c>
    </row>
    <row r="40" ht="15.6" customFormat="1" customHeight="1" s="153">
      <c r="B40" s="176" t="inlineStr">
        <is>
          <t>ВСЕГО:</t>
        </is>
      </c>
      <c r="C40" s="119">
        <f>C39+C38</f>
        <v/>
      </c>
      <c r="D40" s="61" t="n"/>
      <c r="E40" s="60">
        <f>C40/C40</f>
        <v/>
      </c>
    </row>
    <row r="41" ht="31.15" customFormat="1" customHeight="1" s="153">
      <c r="B41" s="176" t="inlineStr">
        <is>
          <t>ИТОГО ПОКАЗАТЕЛЬ НА ЕД. ИЗМ.</t>
        </is>
      </c>
      <c r="C41" s="119">
        <f>C40/'Прил.5 Расчет СМР и ОБ'!E146</f>
        <v/>
      </c>
      <c r="D41" s="61" t="n"/>
      <c r="E41" s="61" t="n"/>
    </row>
    <row r="42" ht="15.6" customFormat="1" customHeight="1" s="153">
      <c r="B42" s="153" t="n"/>
      <c r="C42" s="153" t="n"/>
      <c r="D42" s="153" t="n"/>
    </row>
    <row r="43" ht="15.6" customFormat="1" customHeight="1" s="153">
      <c r="B43" s="153" t="inlineStr">
        <is>
          <t>Составил ______________________        М.С. Колотиевская</t>
        </is>
      </c>
      <c r="C43" s="153" t="n"/>
      <c r="D43" s="153" t="n"/>
    </row>
    <row r="44" ht="15.6" customFormat="1" customHeight="1" s="153">
      <c r="B44" s="75" t="inlineStr">
        <is>
          <t xml:space="preserve">                         (подпись, инициалы, фамилия)</t>
        </is>
      </c>
      <c r="C44" s="153" t="n"/>
      <c r="D44" s="153" t="n"/>
    </row>
    <row r="45" ht="15.6" customFormat="1" customHeight="1" s="153">
      <c r="B45" s="153" t="n"/>
      <c r="C45" s="153" t="n"/>
      <c r="D45" s="153" t="n"/>
    </row>
    <row r="46" ht="15.6" customFormat="1" customHeight="1" s="153">
      <c r="B46" s="153" t="inlineStr">
        <is>
          <t>Проверил ______________________      А.В. Костянецкая</t>
        </is>
      </c>
      <c r="C46" s="153" t="n"/>
      <c r="D46" s="153" t="n"/>
    </row>
    <row r="47" ht="15.6" customFormat="1" customHeight="1" s="153">
      <c r="B47" s="75" t="inlineStr">
        <is>
          <t xml:space="preserve">                        (подпись, инициалы, фамилия)</t>
        </is>
      </c>
      <c r="C47" s="153" t="n"/>
      <c r="D47" s="153" t="n"/>
    </row>
    <row r="48" ht="15.6" customFormat="1" customHeight="1" s="153"/>
  </sheetData>
  <mergeCells count="4">
    <mergeCell ref="A7:C7"/>
    <mergeCell ref="B8:D8"/>
    <mergeCell ref="B5:E5"/>
    <mergeCell ref="D7:G7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L153"/>
  <sheetViews>
    <sheetView view="pageBreakPreview" zoomScale="60" zoomScaleNormal="100" workbookViewId="0">
      <selection activeCell="AA22" sqref="AA22"/>
    </sheetView>
  </sheetViews>
  <sheetFormatPr baseColWidth="8" defaultColWidth="9.140625" defaultRowHeight="15" outlineLevelRow="1"/>
  <cols>
    <col width="5.7109375" customWidth="1" style="97" min="1" max="1"/>
    <col width="22.5703125" customWidth="1" style="97" min="2" max="2"/>
    <col width="39.140625" customWidth="1" style="97" min="3" max="3"/>
    <col width="10.7109375" customWidth="1" style="97" min="4" max="4"/>
    <col width="12.7109375" customWidth="1" style="97" min="5" max="5"/>
    <col width="14.5703125" customWidth="1" style="97" min="6" max="6"/>
    <col width="13.42578125" customWidth="1" style="97" min="7" max="7"/>
    <col width="12.7109375" customWidth="1" style="97" min="8" max="8"/>
    <col width="14.5703125" customWidth="1" style="97" min="9" max="9"/>
    <col width="15.140625" customWidth="1" style="97" min="10" max="10"/>
    <col width="22.42578125" customWidth="1" style="97" min="11" max="11"/>
    <col width="16.28515625" customWidth="1" style="97" min="12" max="12"/>
    <col width="10.85546875" customWidth="1" style="97" min="13" max="13"/>
    <col width="9.140625" customWidth="1" style="97" min="14" max="14"/>
    <col width="9.140625" customWidth="1" style="122" min="15" max="15"/>
  </cols>
  <sheetData>
    <row r="1">
      <c r="A1" s="56" t="n"/>
    </row>
    <row r="2" ht="15.6" customHeight="1" s="122">
      <c r="A2" s="153" t="n"/>
      <c r="B2" s="153" t="n"/>
      <c r="C2" s="153" t="n"/>
      <c r="D2" s="153" t="n"/>
      <c r="E2" s="153" t="n"/>
      <c r="F2" s="153" t="n"/>
      <c r="G2" s="153" t="n"/>
      <c r="H2" s="175" t="inlineStr">
        <is>
          <t>Приложение №5</t>
        </is>
      </c>
    </row>
    <row r="3" ht="15.6" customHeight="1" s="122">
      <c r="A3" s="153" t="n"/>
      <c r="B3" s="153" t="n"/>
      <c r="C3" s="153" t="n"/>
      <c r="D3" s="153" t="n"/>
      <c r="E3" s="153" t="n"/>
      <c r="F3" s="153" t="n"/>
      <c r="G3" s="153" t="n"/>
      <c r="H3" s="153" t="n"/>
      <c r="I3" s="153" t="n"/>
      <c r="J3" s="153" t="n"/>
    </row>
    <row r="4" ht="15.6" customFormat="1" customHeight="1" s="56">
      <c r="A4" s="165" t="inlineStr">
        <is>
          <t>Расчет стоимости СМР и оборудования</t>
        </is>
      </c>
      <c r="I4" s="165" t="n"/>
      <c r="J4" s="165" t="n"/>
    </row>
    <row r="5" ht="15.6" customFormat="1" customHeight="1" s="56">
      <c r="A5" s="165" t="n"/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</row>
    <row r="6" ht="15.6" customFormat="1" customHeight="1" s="56">
      <c r="A6" s="171" t="inlineStr">
        <is>
          <t xml:space="preserve">Наименование разрабатываемого показателя УНЦ —  </t>
        </is>
      </c>
      <c r="D6" s="171" t="inlineStr">
        <is>
          <t>Н2-04 БРТМ Кабельная эстакада Без ПИР</t>
        </is>
      </c>
      <c r="H6" s="96" t="n"/>
      <c r="I6" s="171" t="n"/>
      <c r="J6" s="171" t="n"/>
    </row>
    <row r="7" ht="15.6" customHeight="1" s="122">
      <c r="B7" s="160" t="inlineStr">
        <is>
          <t>Единица измерения  —  м</t>
        </is>
      </c>
    </row>
    <row r="8" ht="15.6" customFormat="1" customHeight="1" s="56">
      <c r="A8" s="153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</row>
    <row r="9" ht="27" customFormat="1" customHeight="1" s="153">
      <c r="A9" s="176" t="inlineStr">
        <is>
          <t>№ пп.</t>
        </is>
      </c>
      <c r="B9" s="166" t="inlineStr">
        <is>
          <t>Код ресурса</t>
        </is>
      </c>
      <c r="C9" s="166" t="inlineStr">
        <is>
          <t>Наименование</t>
        </is>
      </c>
      <c r="D9" s="166" t="inlineStr">
        <is>
          <t>Ед. изм.</t>
        </is>
      </c>
      <c r="E9" s="166" t="inlineStr">
        <is>
          <t>Кол-во единиц по проектным данным</t>
        </is>
      </c>
      <c r="F9" s="166" t="inlineStr">
        <is>
          <t>Сметная стоимость в ценах на 01.01.2000 (руб.)</t>
        </is>
      </c>
      <c r="G9" s="196" t="n"/>
      <c r="H9" s="166" t="inlineStr">
        <is>
          <t>Удельный вес, %</t>
        </is>
      </c>
      <c r="I9" s="166" t="inlineStr">
        <is>
          <t>Сметная стоимость в ценах на 01.01.2023 (руб.)</t>
        </is>
      </c>
      <c r="J9" s="196" t="n"/>
      <c r="K9" s="42" t="n"/>
    </row>
    <row r="10" ht="28.5" customFormat="1" customHeight="1" s="153">
      <c r="A10" s="198" t="n"/>
      <c r="B10" s="198" t="n"/>
      <c r="C10" s="198" t="n"/>
      <c r="D10" s="198" t="n"/>
      <c r="E10" s="198" t="n"/>
      <c r="F10" s="166" t="inlineStr">
        <is>
          <t>на ед. изм.</t>
        </is>
      </c>
      <c r="G10" s="166" t="inlineStr">
        <is>
          <t>общая</t>
        </is>
      </c>
      <c r="H10" s="198" t="n"/>
      <c r="I10" s="166" t="inlineStr">
        <is>
          <t>на ед. изм.</t>
        </is>
      </c>
      <c r="J10" s="166" t="inlineStr">
        <is>
          <t>общая</t>
        </is>
      </c>
    </row>
    <row r="11" ht="15.6" customFormat="1" customHeight="1" s="153">
      <c r="A11" s="176" t="n">
        <v>1</v>
      </c>
      <c r="B11" s="166" t="n">
        <v>2</v>
      </c>
      <c r="C11" s="166" t="n">
        <v>3</v>
      </c>
      <c r="D11" s="166" t="n">
        <v>4</v>
      </c>
      <c r="E11" s="166" t="n">
        <v>5</v>
      </c>
      <c r="F11" s="166" t="n">
        <v>6</v>
      </c>
      <c r="G11" s="166" t="n">
        <v>7</v>
      </c>
      <c r="H11" s="166" t="n">
        <v>8</v>
      </c>
      <c r="I11" s="166" t="n">
        <v>9</v>
      </c>
      <c r="J11" s="166" t="n">
        <v>10</v>
      </c>
    </row>
    <row r="12" ht="15.6" customFormat="1" customHeight="1" s="153">
      <c r="A12" s="174" t="n"/>
      <c r="B12" s="172" t="inlineStr">
        <is>
          <t>Затраты труда рабочих-строителей</t>
        </is>
      </c>
      <c r="C12" s="195" t="n"/>
      <c r="D12" s="195" t="n"/>
      <c r="E12" s="195" t="n"/>
      <c r="F12" s="195" t="n"/>
      <c r="G12" s="195" t="n"/>
      <c r="H12" s="196" t="n"/>
      <c r="I12" s="174" t="n"/>
      <c r="J12" s="174" t="n"/>
    </row>
    <row r="13" ht="31.15" customFormat="1" customHeight="1" s="153">
      <c r="A13" s="169" t="n">
        <v>1</v>
      </c>
      <c r="B13" s="169" t="inlineStr">
        <is>
          <t>1-100-37</t>
        </is>
      </c>
      <c r="C13" s="168" t="inlineStr">
        <is>
          <t>Затраты труда рабочих (Средний разряд работы 3,7)</t>
        </is>
      </c>
      <c r="D13" s="169" t="inlineStr">
        <is>
          <t>чел.-ч</t>
        </is>
      </c>
      <c r="E13" s="169">
        <f>Прил.3!F12</f>
        <v/>
      </c>
      <c r="F13" s="177">
        <f>G13/E13</f>
        <v/>
      </c>
      <c r="G13" s="177">
        <f>Прил.3!H12</f>
        <v/>
      </c>
      <c r="H13" s="25">
        <f>G13/G14</f>
        <v/>
      </c>
      <c r="I13" s="177">
        <f>ФОТр.тек.!E13</f>
        <v/>
      </c>
      <c r="J13" s="177">
        <f>ROUND(I13*E13,2)</f>
        <v/>
      </c>
    </row>
    <row r="14" ht="31.15" customFormat="1" customHeight="1" s="153">
      <c r="A14" s="169" t="n"/>
      <c r="B14" s="169" t="n"/>
      <c r="C14" s="168" t="inlineStr">
        <is>
          <t>Итого по разделу "Затраты труда рабочих-строителей"</t>
        </is>
      </c>
      <c r="D14" s="169" t="inlineStr">
        <is>
          <t>чел.-ч</t>
        </is>
      </c>
      <c r="E14" s="169">
        <f>SUM(E13:E13)</f>
        <v/>
      </c>
      <c r="F14" s="177" t="n"/>
      <c r="G14" s="177">
        <f>SUM(G13:G13)</f>
        <v/>
      </c>
      <c r="H14" s="25" t="n">
        <v>1</v>
      </c>
      <c r="I14" s="177" t="n"/>
      <c r="J14" s="177">
        <f>SUM(J13:J13)</f>
        <v/>
      </c>
    </row>
    <row r="15" ht="15.6" customFormat="1" customHeight="1" s="153">
      <c r="A15" s="169" t="n"/>
      <c r="B15" s="169" t="inlineStr">
        <is>
          <t>Затраты труда машинистов</t>
        </is>
      </c>
      <c r="C15" s="195" t="n"/>
      <c r="D15" s="195" t="n"/>
      <c r="E15" s="195" t="n"/>
      <c r="F15" s="195" t="n"/>
      <c r="G15" s="195" t="n"/>
      <c r="H15" s="196" t="n"/>
      <c r="I15" s="177" t="n"/>
      <c r="J15" s="177" t="n"/>
    </row>
    <row r="16" ht="15.6" customFormat="1" customHeight="1" s="153">
      <c r="A16" s="169" t="n">
        <v>2</v>
      </c>
      <c r="B16" s="169" t="n">
        <v>2</v>
      </c>
      <c r="C16" s="168" t="inlineStr">
        <is>
          <t>Затраты труда машинистов</t>
        </is>
      </c>
      <c r="D16" s="169" t="inlineStr">
        <is>
          <t>чел.-ч</t>
        </is>
      </c>
      <c r="E16" s="169" t="n">
        <v>761.549163</v>
      </c>
      <c r="F16" s="177" t="n">
        <v>13.47</v>
      </c>
      <c r="G16" s="177">
        <f>ROUND(F16*E16,2)</f>
        <v/>
      </c>
      <c r="H16" s="25" t="n">
        <v>1</v>
      </c>
      <c r="I16" s="177">
        <f>ROUND(F16*Прил.10!$D$10,2)</f>
        <v/>
      </c>
      <c r="J16" s="177">
        <f>ROUND(I16*E16,2)</f>
        <v/>
      </c>
    </row>
    <row r="17" ht="15.6" customFormat="1" customHeight="1" s="153">
      <c r="A17" s="169" t="n"/>
      <c r="B17" s="167" t="inlineStr">
        <is>
          <t>Машины и механизмы</t>
        </is>
      </c>
      <c r="C17" s="195" t="n"/>
      <c r="D17" s="195" t="n"/>
      <c r="E17" s="195" t="n"/>
      <c r="F17" s="195" t="n"/>
      <c r="G17" s="195" t="n"/>
      <c r="H17" s="196" t="n"/>
      <c r="I17" s="177" t="n"/>
      <c r="J17" s="177" t="n"/>
    </row>
    <row r="18" ht="15.6" customFormat="1" customHeight="1" s="153">
      <c r="A18" s="169" t="n"/>
      <c r="B18" s="169" t="inlineStr">
        <is>
          <t>Основные Машины и механизмы</t>
        </is>
      </c>
      <c r="C18" s="195" t="n"/>
      <c r="D18" s="195" t="n"/>
      <c r="E18" s="195" t="n"/>
      <c r="F18" s="195" t="n"/>
      <c r="G18" s="195" t="n"/>
      <c r="H18" s="196" t="n"/>
      <c r="I18" s="177" t="n"/>
      <c r="J18" s="177" t="n"/>
    </row>
    <row r="19" ht="62.45" customFormat="1" customHeight="1" s="153">
      <c r="A19" s="169" t="n">
        <v>3</v>
      </c>
      <c r="B19" s="183" t="inlineStr">
        <is>
          <t>91.04.01-021</t>
        </is>
      </c>
      <c r="C19" s="18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19" s="191" t="inlineStr">
        <is>
          <t>маш.час</t>
        </is>
      </c>
      <c r="E19" s="189" t="n">
        <v>305.5916</v>
      </c>
      <c r="F19" s="29" t="n">
        <v>87.59999999999999</v>
      </c>
      <c r="G19" s="177">
        <f>ROUND(F19*E19,2)</f>
        <v/>
      </c>
      <c r="H19" s="25">
        <f>G19/G52</f>
        <v/>
      </c>
      <c r="I19" s="177">
        <f>ROUND(F19*Прил.10!$D$11,2)</f>
        <v/>
      </c>
      <c r="J19" s="177">
        <f>ROUND(I19*E19,2)</f>
        <v/>
      </c>
    </row>
    <row r="20" ht="63.75" customFormat="1" customHeight="1" s="153">
      <c r="A20" s="169" t="n">
        <v>4</v>
      </c>
      <c r="B20" s="183" t="inlineStr">
        <is>
          <t>91.04.01-504</t>
        </is>
      </c>
      <c r="C20" s="188" t="inlineStr">
        <is>
          <t>Комплекты оборудования вращательно-колонкового бурения электрические, глубина бурения до 300 м, диаметр до 60 м, мощность 30 кВт</t>
        </is>
      </c>
      <c r="D20" s="191" t="inlineStr">
        <is>
          <t>маш.час</t>
        </is>
      </c>
      <c r="E20" s="189" t="n">
        <v>255.109</v>
      </c>
      <c r="F20" s="29" t="n">
        <v>46.14</v>
      </c>
      <c r="G20" s="177">
        <f>ROUND(F20*E20,2)</f>
        <v/>
      </c>
      <c r="H20" s="25">
        <f>G20/G52</f>
        <v/>
      </c>
      <c r="I20" s="177">
        <f>ROUND(F20*Прил.10!$D$11,2)</f>
        <v/>
      </c>
      <c r="J20" s="177">
        <f>ROUND(I20*E20,2)</f>
        <v/>
      </c>
    </row>
    <row r="21" ht="31.15" customFormat="1" customHeight="1" s="153">
      <c r="A21" s="169" t="n">
        <v>5</v>
      </c>
      <c r="B21" s="183" t="inlineStr">
        <is>
          <t>91.05.02-005</t>
        </is>
      </c>
      <c r="C21" s="188" t="inlineStr">
        <is>
          <t>Краны козловые, грузоподъемность 32 т</t>
        </is>
      </c>
      <c r="D21" s="191" t="inlineStr">
        <is>
          <t>маш.час</t>
        </is>
      </c>
      <c r="E21" s="189" t="n">
        <v>34.33975</v>
      </c>
      <c r="F21" s="29" t="n">
        <v>120.24</v>
      </c>
      <c r="G21" s="177">
        <f>ROUND(F21*E21,2)</f>
        <v/>
      </c>
      <c r="H21" s="25">
        <f>G21/G52</f>
        <v/>
      </c>
      <c r="I21" s="177">
        <f>ROUND(F21*Прил.10!$D$11,2)</f>
        <v/>
      </c>
      <c r="J21" s="177">
        <f>ROUND(I21*E21,2)</f>
        <v/>
      </c>
    </row>
    <row r="22" ht="31.15" customFormat="1" customHeight="1" s="153">
      <c r="A22" s="169" t="n">
        <v>6</v>
      </c>
      <c r="B22" s="183" t="inlineStr">
        <is>
          <t>91.05.01-025</t>
        </is>
      </c>
      <c r="C22" s="188" t="inlineStr">
        <is>
          <t>Краны башенные, грузоподъемность 25-75 т</t>
        </is>
      </c>
      <c r="D22" s="191" t="inlineStr">
        <is>
          <t>маш.час</t>
        </is>
      </c>
      <c r="E22" s="189" t="n">
        <v>11.6722</v>
      </c>
      <c r="F22" s="29" t="n">
        <v>312.21</v>
      </c>
      <c r="G22" s="177">
        <f>ROUND(F22*E22,2)</f>
        <v/>
      </c>
      <c r="H22" s="25">
        <f>G22/G52</f>
        <v/>
      </c>
      <c r="I22" s="177">
        <f>ROUND(F22*Прил.10!$D$11,2)</f>
        <v/>
      </c>
      <c r="J22" s="177">
        <f>ROUND(I22*E22,2)</f>
        <v/>
      </c>
    </row>
    <row r="23" ht="31.15" customFormat="1" customHeight="1" s="153">
      <c r="A23" s="169" t="n">
        <v>7</v>
      </c>
      <c r="B23" s="183" t="inlineStr">
        <is>
          <t>91.05.05-015</t>
        </is>
      </c>
      <c r="C23" s="188" t="inlineStr">
        <is>
          <t>Краны на автомобильном ходу, грузоподъемность 16 т</t>
        </is>
      </c>
      <c r="D23" s="191" t="inlineStr">
        <is>
          <t>маш.час</t>
        </is>
      </c>
      <c r="E23" s="189" t="n">
        <v>19.107012</v>
      </c>
      <c r="F23" s="29" t="n">
        <v>115.4</v>
      </c>
      <c r="G23" s="177">
        <f>ROUND(F23*E23,2)</f>
        <v/>
      </c>
      <c r="H23" s="25">
        <f>G23/G52</f>
        <v/>
      </c>
      <c r="I23" s="177">
        <f>ROUND(F23*Прил.10!$D$11,2)</f>
        <v/>
      </c>
      <c r="J23" s="177">
        <f>ROUND(I23*E23,2)</f>
        <v/>
      </c>
    </row>
    <row r="24" ht="46.9" customFormat="1" customHeight="1" s="153">
      <c r="A24" s="169" t="n">
        <v>8</v>
      </c>
      <c r="B24" s="183" t="inlineStr">
        <is>
          <t>91.01.05-086</t>
        </is>
      </c>
      <c r="C24" s="188" t="inlineStr">
        <is>
          <t>Экскаваторы одноковшовые дизельные на гусеничном ходу, емкость ковша 0,65 м3</t>
        </is>
      </c>
      <c r="D24" s="191" t="inlineStr">
        <is>
          <t>маш.час</t>
        </is>
      </c>
      <c r="E24" s="189" t="n">
        <v>15.0513</v>
      </c>
      <c r="F24" s="29" t="n">
        <v>115.27</v>
      </c>
      <c r="G24" s="177">
        <f>ROUND(F24*E24,2)</f>
        <v/>
      </c>
      <c r="H24" s="25">
        <f>G24/G52</f>
        <v/>
      </c>
      <c r="I24" s="177">
        <f>ROUND(F24*Прил.10!$D$11,2)</f>
        <v/>
      </c>
      <c r="J24" s="177">
        <f>ROUND(I24*E24,2)</f>
        <v/>
      </c>
    </row>
    <row r="25" ht="31.15" customFormat="1" customHeight="1" s="153">
      <c r="A25" s="169" t="n">
        <v>9</v>
      </c>
      <c r="B25" s="183" t="inlineStr">
        <is>
          <t>91.14.02-001</t>
        </is>
      </c>
      <c r="C25" s="188" t="inlineStr">
        <is>
          <t>Автомобили бортовые, грузоподъемность до 5 т</t>
        </is>
      </c>
      <c r="D25" s="191" t="inlineStr">
        <is>
          <t>маш.час</t>
        </is>
      </c>
      <c r="E25" s="189" t="n">
        <v>24.957036</v>
      </c>
      <c r="F25" s="29" t="n">
        <v>65.70999999999999</v>
      </c>
      <c r="G25" s="177">
        <f>ROUND(F25*E25,2)</f>
        <v/>
      </c>
      <c r="H25" s="25">
        <f>G25/G52</f>
        <v/>
      </c>
      <c r="I25" s="177">
        <f>ROUND(F25*Прил.10!$D$11,2)</f>
        <v/>
      </c>
      <c r="J25" s="177">
        <f>ROUND(I25*E25,2)</f>
        <v/>
      </c>
    </row>
    <row r="26" ht="15.6" customFormat="1" customHeight="1" s="153">
      <c r="A26" s="169" t="n"/>
      <c r="B26" s="183" t="inlineStr">
        <is>
          <t>Итого основные Машины и механизмы</t>
        </is>
      </c>
      <c r="C26" s="195" t="n"/>
      <c r="D26" s="195" t="n"/>
      <c r="E26" s="195" t="n"/>
      <c r="F26" s="196" t="n"/>
      <c r="G26" s="29">
        <f>SUM(G19:G25)</f>
        <v/>
      </c>
      <c r="H26" s="25">
        <f>SUM(H19:H25)</f>
        <v/>
      </c>
      <c r="I26" s="177" t="n"/>
      <c r="J26" s="177">
        <f>SUM(J19:J25)</f>
        <v/>
      </c>
    </row>
    <row r="27" hidden="1" outlineLevel="1" ht="31.15" customFormat="1" customHeight="1" s="153">
      <c r="A27" s="169" t="n">
        <v>10</v>
      </c>
      <c r="B27" s="183" t="inlineStr">
        <is>
          <t>91.06.06-042</t>
        </is>
      </c>
      <c r="C27" s="188" t="inlineStr">
        <is>
          <t>Подъемники гидравлические, высота подъема 10 м</t>
        </is>
      </c>
      <c r="D27" s="191" t="inlineStr">
        <is>
          <t>маш.час</t>
        </is>
      </c>
      <c r="E27" s="189" t="n">
        <v>46.2176</v>
      </c>
      <c r="F27" s="29" t="n">
        <v>29.6</v>
      </c>
      <c r="G27" s="177">
        <f>ROUND(F27*E27,2)</f>
        <v/>
      </c>
      <c r="H27" s="25">
        <f>G27/G52</f>
        <v/>
      </c>
      <c r="I27" s="177">
        <f>ROUND(F27*Прил.10!$D$11,2)</f>
        <v/>
      </c>
      <c r="J27" s="177">
        <f>ROUND(I27*E27,2)</f>
        <v/>
      </c>
    </row>
    <row r="28" hidden="1" outlineLevel="1" ht="31.15" customFormat="1" customHeight="1" s="153">
      <c r="A28" s="169" t="n">
        <v>11</v>
      </c>
      <c r="B28" s="183" t="inlineStr">
        <is>
          <t>91.05.06-012</t>
        </is>
      </c>
      <c r="C28" s="188" t="inlineStr">
        <is>
          <t>Краны на гусеничном ходу, грузоподъемность до 16 т</t>
        </is>
      </c>
      <c r="D28" s="191" t="inlineStr">
        <is>
          <t>маш.час</t>
        </is>
      </c>
      <c r="E28" s="189" t="n">
        <v>12.47505</v>
      </c>
      <c r="F28" s="29" t="n">
        <v>96.89</v>
      </c>
      <c r="G28" s="177">
        <f>ROUND(F28*E28,2)</f>
        <v/>
      </c>
      <c r="H28" s="25">
        <f>G28/G52</f>
        <v/>
      </c>
      <c r="I28" s="177">
        <f>ROUND(F28*Прил.10!$D$11,2)</f>
        <v/>
      </c>
      <c r="J28" s="177">
        <f>ROUND(I28*E28,2)</f>
        <v/>
      </c>
    </row>
    <row r="29" hidden="1" outlineLevel="1" ht="31.15" customFormat="1" customHeight="1" s="153">
      <c r="A29" s="169" t="n">
        <v>12</v>
      </c>
      <c r="B29" s="183" t="inlineStr">
        <is>
          <t>91.05.01-017</t>
        </is>
      </c>
      <c r="C29" s="188" t="inlineStr">
        <is>
          <t>Краны башенные, грузоподъемность 8 т</t>
        </is>
      </c>
      <c r="D29" s="191" t="inlineStr">
        <is>
          <t>маш.час</t>
        </is>
      </c>
      <c r="E29" s="189" t="n">
        <v>12.33282</v>
      </c>
      <c r="F29" s="29" t="n">
        <v>86.40000000000001</v>
      </c>
      <c r="G29" s="177">
        <f>ROUND(F29*E29,2)</f>
        <v/>
      </c>
      <c r="H29" s="25">
        <f>G29/G52</f>
        <v/>
      </c>
      <c r="I29" s="177">
        <f>ROUND(F29*Прил.10!$D$11,2)</f>
        <v/>
      </c>
      <c r="J29" s="177">
        <f>ROUND(I29*E29,2)</f>
        <v/>
      </c>
    </row>
    <row r="30" hidden="1" outlineLevel="1" ht="31.15" customFormat="1" customHeight="1" s="153">
      <c r="A30" s="169" t="n">
        <v>13</v>
      </c>
      <c r="B30" s="183" t="inlineStr">
        <is>
          <t>91.05.06-007</t>
        </is>
      </c>
      <c r="C30" s="188" t="inlineStr">
        <is>
          <t>Краны на гусеничном ходу, грузоподъемность 25 т</t>
        </is>
      </c>
      <c r="D30" s="191" t="inlineStr">
        <is>
          <t>маш.час</t>
        </is>
      </c>
      <c r="E30" s="189" t="n">
        <v>8.156739999999999</v>
      </c>
      <c r="F30" s="29" t="n">
        <v>120.04</v>
      </c>
      <c r="G30" s="177">
        <f>ROUND(F30*E30,2)</f>
        <v/>
      </c>
      <c r="H30" s="25">
        <f>G30/G52</f>
        <v/>
      </c>
      <c r="I30" s="177">
        <f>ROUND(F30*Прил.10!$D$11,2)</f>
        <v/>
      </c>
      <c r="J30" s="177">
        <f>ROUND(I30*E30,2)</f>
        <v/>
      </c>
    </row>
    <row r="31" hidden="1" outlineLevel="1" ht="62.45" customFormat="1" customHeight="1" s="153">
      <c r="A31" s="169" t="n">
        <v>14</v>
      </c>
      <c r="B31" s="183" t="inlineStr">
        <is>
          <t>91.18.01-007</t>
        </is>
      </c>
      <c r="C31" s="18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91" t="inlineStr">
        <is>
          <t>маш.час</t>
        </is>
      </c>
      <c r="E31" s="189" t="n">
        <v>7.5194</v>
      </c>
      <c r="F31" s="29" t="n">
        <v>90</v>
      </c>
      <c r="G31" s="177">
        <f>ROUND(F31*E31,2)</f>
        <v/>
      </c>
      <c r="H31" s="25">
        <f>G31/G52</f>
        <v/>
      </c>
      <c r="I31" s="177">
        <f>ROUND(F31*Прил.10!$D$11,2)</f>
        <v/>
      </c>
      <c r="J31" s="177">
        <f>ROUND(I31*E31,2)</f>
        <v/>
      </c>
    </row>
    <row r="32" hidden="1" outlineLevel="1" ht="46.9" customFormat="1" customHeight="1" s="153">
      <c r="A32" s="169" t="n">
        <v>15</v>
      </c>
      <c r="B32" s="183" t="inlineStr">
        <is>
          <t>91.17.04-171</t>
        </is>
      </c>
      <c r="C32" s="188" t="inlineStr">
        <is>
          <t>Преобразователи сварочные номинальным сварочным током 315-500 А</t>
        </is>
      </c>
      <c r="D32" s="191" t="inlineStr">
        <is>
          <t>маш.час</t>
        </is>
      </c>
      <c r="E32" s="189" t="n">
        <v>41.55417</v>
      </c>
      <c r="F32" s="29" t="n">
        <v>12.31</v>
      </c>
      <c r="G32" s="177">
        <f>ROUND(F32*E32,2)</f>
        <v/>
      </c>
      <c r="H32" s="25">
        <f>G32/G52</f>
        <v/>
      </c>
      <c r="I32" s="177">
        <f>ROUND(F32*Прил.10!$D$11,2)</f>
        <v/>
      </c>
      <c r="J32" s="177">
        <f>ROUND(I32*E32,2)</f>
        <v/>
      </c>
    </row>
    <row r="33" hidden="1" outlineLevel="1" ht="15.6" customFormat="1" customHeight="1" s="153">
      <c r="A33" s="169" t="n">
        <v>16</v>
      </c>
      <c r="B33" s="183" t="inlineStr">
        <is>
          <t>91.13.01-038</t>
        </is>
      </c>
      <c r="C33" s="188" t="inlineStr">
        <is>
          <t>Машины поливомоечные 6000 л</t>
        </is>
      </c>
      <c r="D33" s="191" t="inlineStr">
        <is>
          <t>маш.час</t>
        </is>
      </c>
      <c r="E33" s="189" t="n">
        <v>3.5014</v>
      </c>
      <c r="F33" s="29" t="n">
        <v>110</v>
      </c>
      <c r="G33" s="177">
        <f>ROUND(F33*E33,2)</f>
        <v/>
      </c>
      <c r="H33" s="25">
        <f>G33/G52</f>
        <v/>
      </c>
      <c r="I33" s="177">
        <f>ROUND(F33*Прил.10!$D$11,2)</f>
        <v/>
      </c>
      <c r="J33" s="177">
        <f>ROUND(I33*E33,2)</f>
        <v/>
      </c>
    </row>
    <row r="34" hidden="1" outlineLevel="1" ht="31.15" customFormat="1" customHeight="1" s="153">
      <c r="A34" s="169" t="n">
        <v>17</v>
      </c>
      <c r="B34" s="183" t="inlineStr">
        <is>
          <t>91.17.04-233</t>
        </is>
      </c>
      <c r="C34" s="188" t="inlineStr">
        <is>
          <t>Установки для сварки ручной дуговой (постоянного тока)</t>
        </is>
      </c>
      <c r="D34" s="191" t="inlineStr">
        <is>
          <t>маш.час</t>
        </is>
      </c>
      <c r="E34" s="189" t="n">
        <v>42.4863</v>
      </c>
      <c r="F34" s="29" t="n">
        <v>8.1</v>
      </c>
      <c r="G34" s="177">
        <f>ROUND(F34*E34,2)</f>
        <v/>
      </c>
      <c r="H34" s="25">
        <f>G34/G52</f>
        <v/>
      </c>
      <c r="I34" s="177">
        <f>ROUND(F34*Прил.10!$D$11,2)</f>
        <v/>
      </c>
      <c r="J34" s="177">
        <f>ROUND(I34*E34,2)</f>
        <v/>
      </c>
    </row>
    <row r="35" hidden="1" outlineLevel="1" ht="46.9" customFormat="1" customHeight="1" s="153">
      <c r="A35" s="169" t="n">
        <v>18</v>
      </c>
      <c r="B35" s="183" t="inlineStr">
        <is>
          <t>91.17.04-036</t>
        </is>
      </c>
      <c r="C35" s="188" t="inlineStr">
        <is>
          <t>Агрегаты сварочные передвижные с дизельным двигателем, номинальный сварочный ток 250-400 А</t>
        </is>
      </c>
      <c r="D35" s="191" t="inlineStr">
        <is>
          <t>маш.час</t>
        </is>
      </c>
      <c r="E35" s="189" t="n">
        <v>24.121</v>
      </c>
      <c r="F35" s="29" t="n">
        <v>14</v>
      </c>
      <c r="G35" s="177">
        <f>ROUND(F35*E35,2)</f>
        <v/>
      </c>
      <c r="H35" s="25">
        <f>G35/G52</f>
        <v/>
      </c>
      <c r="I35" s="177">
        <f>ROUND(F35*Прил.10!$D$11,2)</f>
        <v/>
      </c>
      <c r="J35" s="177">
        <f>ROUND(I35*E35,2)</f>
        <v/>
      </c>
    </row>
    <row r="36" hidden="1" outlineLevel="1" ht="31.15" customFormat="1" customHeight="1" s="153">
      <c r="A36" s="169" t="n">
        <v>19</v>
      </c>
      <c r="B36" s="183" t="inlineStr">
        <is>
          <t>91.21.22-442</t>
        </is>
      </c>
      <c r="C36" s="188" t="inlineStr">
        <is>
          <t>Установки для заливки пенополиуретана</t>
        </is>
      </c>
      <c r="D36" s="191" t="inlineStr">
        <is>
          <t>маш.час</t>
        </is>
      </c>
      <c r="E36" s="189" t="n">
        <v>7.218</v>
      </c>
      <c r="F36" s="29" t="n">
        <v>35.61</v>
      </c>
      <c r="G36" s="177">
        <f>ROUND(F36*E36,2)</f>
        <v/>
      </c>
      <c r="H36" s="25">
        <f>G36/G52</f>
        <v/>
      </c>
      <c r="I36" s="177">
        <f>ROUND(F36*Прил.10!$D$11,2)</f>
        <v/>
      </c>
      <c r="J36" s="177">
        <f>ROUND(I36*E36,2)</f>
        <v/>
      </c>
    </row>
    <row r="37" hidden="1" outlineLevel="1" ht="31.15" customFormat="1" customHeight="1" s="153">
      <c r="A37" s="169" t="n">
        <v>20</v>
      </c>
      <c r="B37" s="183" t="inlineStr">
        <is>
          <t>91.10.05-001</t>
        </is>
      </c>
      <c r="C37" s="188" t="inlineStr">
        <is>
          <t>Трубоукладчики для труб диаметром 800-1000 мм, грузоподъемность 35 т</t>
        </is>
      </c>
      <c r="D37" s="191" t="inlineStr">
        <is>
          <t>маш.час</t>
        </is>
      </c>
      <c r="E37" s="189" t="n">
        <v>1.14</v>
      </c>
      <c r="F37" s="29" t="n">
        <v>175.35</v>
      </c>
      <c r="G37" s="177">
        <f>ROUND(F37*E37,2)</f>
        <v/>
      </c>
      <c r="H37" s="25">
        <f>G37/G52</f>
        <v/>
      </c>
      <c r="I37" s="177">
        <f>ROUND(F37*Прил.10!$D$11,2)</f>
        <v/>
      </c>
      <c r="J37" s="177">
        <f>ROUND(I37*E37,2)</f>
        <v/>
      </c>
    </row>
    <row r="38" hidden="1" outlineLevel="1" ht="31.15" customFormat="1" customHeight="1" s="153">
      <c r="A38" s="169" t="n">
        <v>21</v>
      </c>
      <c r="B38" s="183" t="inlineStr">
        <is>
          <t>91.01.01-035</t>
        </is>
      </c>
      <c r="C38" s="188" t="inlineStr">
        <is>
          <t>Бульдозеры, мощность 79 кВт (108 л.с.)</t>
        </is>
      </c>
      <c r="D38" s="191" t="inlineStr">
        <is>
          <t>маш.час</t>
        </is>
      </c>
      <c r="E38" s="189" t="n">
        <v>1.8908</v>
      </c>
      <c r="F38" s="29" t="n">
        <v>79.06999999999999</v>
      </c>
      <c r="G38" s="177">
        <f>ROUND(F38*E38,2)</f>
        <v/>
      </c>
      <c r="H38" s="25">
        <f>G38/G52</f>
        <v/>
      </c>
      <c r="I38" s="177">
        <f>ROUND(F38*Прил.10!$D$11,2)</f>
        <v/>
      </c>
      <c r="J38" s="177">
        <f>ROUND(I38*E38,2)</f>
        <v/>
      </c>
    </row>
    <row r="39" hidden="1" outlineLevel="1" ht="31.15" customFormat="1" customHeight="1" s="153">
      <c r="A39" s="169" t="n">
        <v>22</v>
      </c>
      <c r="B39" s="183" t="inlineStr">
        <is>
          <t>91.14.02-003</t>
        </is>
      </c>
      <c r="C39" s="188" t="inlineStr">
        <is>
          <t>Автомобили бортовые, грузоподъемность до 10 т</t>
        </is>
      </c>
      <c r="D39" s="191" t="inlineStr">
        <is>
          <t>маш.час</t>
        </is>
      </c>
      <c r="E39" s="189" t="n">
        <v>1.6225</v>
      </c>
      <c r="F39" s="29" t="n">
        <v>80.44</v>
      </c>
      <c r="G39" s="177">
        <f>ROUND(F39*E39,2)</f>
        <v/>
      </c>
      <c r="H39" s="25">
        <f>G39/G52</f>
        <v/>
      </c>
      <c r="I39" s="177">
        <f>ROUND(F39*Прил.10!$D$11,2)</f>
        <v/>
      </c>
      <c r="J39" s="177">
        <f>ROUND(I39*E39,2)</f>
        <v/>
      </c>
    </row>
    <row r="40" hidden="1" outlineLevel="1" ht="31.15" customFormat="1" customHeight="1" s="153">
      <c r="A40" s="169" t="n">
        <v>23</v>
      </c>
      <c r="B40" s="183" t="inlineStr">
        <is>
          <t>91.06.01-003</t>
        </is>
      </c>
      <c r="C40" s="188" t="inlineStr">
        <is>
          <t>Домкраты гидравлические, грузоподъемность 63-100 т</t>
        </is>
      </c>
      <c r="D40" s="191" t="inlineStr">
        <is>
          <t>маш.час</t>
        </is>
      </c>
      <c r="E40" s="189" t="n">
        <v>103.6913</v>
      </c>
      <c r="F40" s="29" t="n">
        <v>0.9</v>
      </c>
      <c r="G40" s="177">
        <f>ROUND(F40*E40,2)</f>
        <v/>
      </c>
      <c r="H40" s="25">
        <f>G40/G52</f>
        <v/>
      </c>
      <c r="I40" s="177">
        <f>ROUND(F40*Прил.10!$D$11,2)</f>
        <v/>
      </c>
      <c r="J40" s="177">
        <f>ROUND(I40*E40,2)</f>
        <v/>
      </c>
    </row>
    <row r="41" hidden="1" outlineLevel="1" ht="15.6" customFormat="1" customHeight="1" s="153">
      <c r="A41" s="169" t="n">
        <v>24</v>
      </c>
      <c r="B41" s="183" t="inlineStr">
        <is>
          <t>91.17.04-042</t>
        </is>
      </c>
      <c r="C41" s="188" t="inlineStr">
        <is>
          <t>Аппараты для газовой сварки и резки</t>
        </is>
      </c>
      <c r="D41" s="191" t="inlineStr">
        <is>
          <t>маш.час</t>
        </is>
      </c>
      <c r="E41" s="189" t="n">
        <v>69.91706000000001</v>
      </c>
      <c r="F41" s="29" t="n">
        <v>1.2</v>
      </c>
      <c r="G41" s="177">
        <f>ROUND(F41*E41,2)</f>
        <v/>
      </c>
      <c r="H41" s="25">
        <f>G41/G52</f>
        <v/>
      </c>
      <c r="I41" s="177">
        <f>ROUND(F41*Прил.10!$D$11,2)</f>
        <v/>
      </c>
      <c r="J41" s="177">
        <f>ROUND(I41*E41,2)</f>
        <v/>
      </c>
    </row>
    <row r="42" hidden="1" outlineLevel="1" ht="46.9" customFormat="1" customHeight="1" s="153">
      <c r="A42" s="169" t="n">
        <v>25</v>
      </c>
      <c r="B42" s="183" t="inlineStr">
        <is>
          <t>91.21.01-012</t>
        </is>
      </c>
      <c r="C42" s="188" t="inlineStr">
        <is>
          <t>Агрегаты окрасочные высокого давления для окраски поверхностей конструкций, мощность 1 кВт</t>
        </is>
      </c>
      <c r="D42" s="191" t="inlineStr">
        <is>
          <t>маш.час</t>
        </is>
      </c>
      <c r="E42" s="189" t="n">
        <v>9.56508</v>
      </c>
      <c r="F42" s="29" t="n">
        <v>6.82</v>
      </c>
      <c r="G42" s="177">
        <f>ROUND(F42*E42,2)</f>
        <v/>
      </c>
      <c r="H42" s="25">
        <f>G42/G52</f>
        <v/>
      </c>
      <c r="I42" s="177">
        <f>ROUND(F42*Прил.10!$D$11,2)</f>
        <v/>
      </c>
      <c r="J42" s="177">
        <f>ROUND(I42*E42,2)</f>
        <v/>
      </c>
    </row>
    <row r="43" hidden="1" outlineLevel="1" ht="15.6" customFormat="1" customHeight="1" s="153">
      <c r="A43" s="169" t="n">
        <v>26</v>
      </c>
      <c r="B43" s="183" t="inlineStr">
        <is>
          <t>91.08.04-021</t>
        </is>
      </c>
      <c r="C43" s="188" t="inlineStr">
        <is>
          <t>Котлы битумные передвижные 400 л</t>
        </is>
      </c>
      <c r="D43" s="191" t="inlineStr">
        <is>
          <t>маш.час</t>
        </is>
      </c>
      <c r="E43" s="189" t="n">
        <v>2.03775</v>
      </c>
      <c r="F43" s="29" t="n">
        <v>30</v>
      </c>
      <c r="G43" s="177">
        <f>ROUND(F43*E43,2)</f>
        <v/>
      </c>
      <c r="H43" s="25">
        <f>G43/G52</f>
        <v/>
      </c>
      <c r="I43" s="177">
        <f>ROUND(F43*Прил.10!$D$11,2)</f>
        <v/>
      </c>
      <c r="J43" s="177">
        <f>ROUND(I43*E43,2)</f>
        <v/>
      </c>
    </row>
    <row r="44" hidden="1" outlineLevel="1" ht="31.15" customFormat="1" customHeight="1" s="153">
      <c r="A44" s="169" t="n">
        <v>27</v>
      </c>
      <c r="B44" s="183" t="inlineStr">
        <is>
          <t>91.14.04-001</t>
        </is>
      </c>
      <c r="C44" s="188" t="inlineStr">
        <is>
          <t>Тягачи седельные, грузоподъемность 12 т</t>
        </is>
      </c>
      <c r="D44" s="191" t="inlineStr">
        <is>
          <t>маш.час</t>
        </is>
      </c>
      <c r="E44" s="189" t="n">
        <v>0.495</v>
      </c>
      <c r="F44" s="29" t="n">
        <v>102.84</v>
      </c>
      <c r="G44" s="177">
        <f>ROUND(F44*E44,2)</f>
        <v/>
      </c>
      <c r="H44" s="25">
        <f>G44/G52</f>
        <v/>
      </c>
      <c r="I44" s="177">
        <f>ROUND(F44*Прил.10!$D$11,2)</f>
        <v/>
      </c>
      <c r="J44" s="177">
        <f>ROUND(I44*E44,2)</f>
        <v/>
      </c>
    </row>
    <row r="45" hidden="1" outlineLevel="1" ht="15.6" customFormat="1" customHeight="1" s="153">
      <c r="A45" s="169" t="n">
        <v>28</v>
      </c>
      <c r="B45" s="183" t="inlineStr">
        <is>
          <t>91.06.05-011</t>
        </is>
      </c>
      <c r="C45" s="188" t="inlineStr">
        <is>
          <t>Погрузчики, грузоподъемность 5 т</t>
        </is>
      </c>
      <c r="D45" s="191" t="inlineStr">
        <is>
          <t>маш.час</t>
        </is>
      </c>
      <c r="E45" s="189" t="n">
        <v>0.369955</v>
      </c>
      <c r="F45" s="29" t="n">
        <v>89.98999999999999</v>
      </c>
      <c r="G45" s="177">
        <f>ROUND(F45*E45,2)</f>
        <v/>
      </c>
      <c r="H45" s="25">
        <f>G45/G52</f>
        <v/>
      </c>
      <c r="I45" s="177">
        <f>ROUND(F45*Прил.10!$D$11,2)</f>
        <v/>
      </c>
      <c r="J45" s="177">
        <f>ROUND(I45*E45,2)</f>
        <v/>
      </c>
    </row>
    <row r="46" hidden="1" outlineLevel="1" ht="46.9" customFormat="1" customHeight="1" s="153">
      <c r="A46" s="169" t="n">
        <v>29</v>
      </c>
      <c r="B46" s="183" t="inlineStr">
        <is>
          <t>91.08.09-023</t>
        </is>
      </c>
      <c r="C46" s="188" t="inlineStr">
        <is>
          <t>Трамбовки пневматические при работе от передвижных компрессорных станций</t>
        </is>
      </c>
      <c r="D46" s="191" t="inlineStr">
        <is>
          <t>маш.час</t>
        </is>
      </c>
      <c r="E46" s="189" t="n">
        <v>30.135</v>
      </c>
      <c r="F46" s="29" t="n">
        <v>0.55</v>
      </c>
      <c r="G46" s="177">
        <f>ROUND(F46*E46,2)</f>
        <v/>
      </c>
      <c r="H46" s="25">
        <f>G46/G52</f>
        <v/>
      </c>
      <c r="I46" s="177">
        <f>ROUND(F46*Прил.10!$D$11,2)</f>
        <v/>
      </c>
      <c r="J46" s="177">
        <f>ROUND(I46*E46,2)</f>
        <v/>
      </c>
    </row>
    <row r="47" hidden="1" outlineLevel="1" ht="15.6" customFormat="1" customHeight="1" s="153">
      <c r="A47" s="169" t="n">
        <v>30</v>
      </c>
      <c r="B47" s="183" t="inlineStr">
        <is>
          <t>91.07.04-001</t>
        </is>
      </c>
      <c r="C47" s="188" t="inlineStr">
        <is>
          <t>Вибраторы глубинные</t>
        </is>
      </c>
      <c r="D47" s="191" t="inlineStr">
        <is>
          <t>маш.час</t>
        </is>
      </c>
      <c r="E47" s="189" t="n">
        <v>4.949625</v>
      </c>
      <c r="F47" s="29" t="n">
        <v>1.9</v>
      </c>
      <c r="G47" s="177">
        <f>ROUND(F47*E47,2)</f>
        <v/>
      </c>
      <c r="H47" s="25">
        <f>G47/G52</f>
        <v/>
      </c>
      <c r="I47" s="177">
        <f>ROUND(F47*Прил.10!$D$11,2)</f>
        <v/>
      </c>
      <c r="J47" s="177">
        <f>ROUND(I47*E47,2)</f>
        <v/>
      </c>
    </row>
    <row r="48" hidden="1" outlineLevel="1" ht="31.15" customFormat="1" customHeight="1" s="153">
      <c r="A48" s="169" t="n">
        <v>31</v>
      </c>
      <c r="B48" s="183" t="inlineStr">
        <is>
          <t>91.14.05-011</t>
        </is>
      </c>
      <c r="C48" s="188" t="inlineStr">
        <is>
          <t>Полуприцепы общего назначения, грузоподъемность 12 т</t>
        </is>
      </c>
      <c r="D48" s="191" t="inlineStr">
        <is>
          <t>маш.час</t>
        </is>
      </c>
      <c r="E48" s="189" t="n">
        <v>0.495</v>
      </c>
      <c r="F48" s="29" t="n">
        <v>12</v>
      </c>
      <c r="G48" s="177">
        <f>ROUND(F48*E48,2)</f>
        <v/>
      </c>
      <c r="H48" s="25">
        <f>G48/G52</f>
        <v/>
      </c>
      <c r="I48" s="177">
        <f>ROUND(F48*Прил.10!$D$11,2)</f>
        <v/>
      </c>
      <c r="J48" s="177">
        <f>ROUND(I48*E48,2)</f>
        <v/>
      </c>
    </row>
    <row r="49" hidden="1" outlineLevel="1" ht="15.6" customFormat="1" customHeight="1" s="153">
      <c r="A49" s="169" t="n">
        <v>32</v>
      </c>
      <c r="B49" s="183" t="inlineStr">
        <is>
          <t>91.07.04-002</t>
        </is>
      </c>
      <c r="C49" s="188" t="inlineStr">
        <is>
          <t>Вибраторы поверхностные</t>
        </is>
      </c>
      <c r="D49" s="191" t="inlineStr">
        <is>
          <t>маш.час</t>
        </is>
      </c>
      <c r="E49" s="189" t="n">
        <v>1.917865</v>
      </c>
      <c r="F49" s="29" t="n">
        <v>0.5</v>
      </c>
      <c r="G49" s="177">
        <f>ROUND(F49*E49,2)</f>
        <v/>
      </c>
      <c r="H49" s="25">
        <f>G49/G52</f>
        <v/>
      </c>
      <c r="I49" s="177">
        <f>ROUND(F49*Прил.10!$D$11,2)</f>
        <v/>
      </c>
      <c r="J49" s="177">
        <f>ROUND(I49*E49,2)</f>
        <v/>
      </c>
    </row>
    <row r="50" hidden="1" outlineLevel="1" ht="31.15" customFormat="1" customHeight="1" s="153">
      <c r="A50" s="169" t="n">
        <v>33</v>
      </c>
      <c r="B50" s="183" t="inlineStr">
        <is>
          <t>91.06.03-060</t>
        </is>
      </c>
      <c r="C50" s="188" t="inlineStr">
        <is>
          <t>Лебедки электрические тяговым усилием до 5,79 кН (0,59 т)</t>
        </is>
      </c>
      <c r="D50" s="191" t="inlineStr">
        <is>
          <t>маш.час</t>
        </is>
      </c>
      <c r="E50" s="189" t="n">
        <v>0.10808</v>
      </c>
      <c r="F50" s="29" t="n">
        <v>1.7</v>
      </c>
      <c r="G50" s="177">
        <f>ROUND(F50*E50,2)</f>
        <v/>
      </c>
      <c r="H50" s="25">
        <f>G50/G52</f>
        <v/>
      </c>
      <c r="I50" s="177">
        <f>ROUND(F50*Прил.10!$D$11,2)</f>
        <v/>
      </c>
      <c r="J50" s="177">
        <f>ROUND(I50*E50,2)</f>
        <v/>
      </c>
    </row>
    <row r="51" collapsed="1" ht="15.6" customFormat="1" customHeight="1" s="153">
      <c r="A51" s="169" t="n"/>
      <c r="B51" s="169" t="inlineStr">
        <is>
          <t>Итого прочие Машины и механизмы</t>
        </is>
      </c>
      <c r="C51" s="195" t="n"/>
      <c r="D51" s="195" t="n"/>
      <c r="E51" s="195" t="n"/>
      <c r="F51" s="196" t="n"/>
      <c r="G51" s="177">
        <f>SUM(G27:G50)</f>
        <v/>
      </c>
      <c r="H51" s="25">
        <f>SUM(H27:H50)</f>
        <v/>
      </c>
      <c r="I51" s="177" t="n"/>
      <c r="J51" s="177">
        <f>SUM(J27:J50)</f>
        <v/>
      </c>
    </row>
    <row r="52" ht="15.6" customFormat="1" customHeight="1" s="153">
      <c r="A52" s="169" t="n"/>
      <c r="B52" s="169" t="inlineStr">
        <is>
          <t>Итого по разделу "Машины и механизмы"</t>
        </is>
      </c>
      <c r="C52" s="195" t="n"/>
      <c r="D52" s="195" t="n"/>
      <c r="E52" s="195" t="n"/>
      <c r="F52" s="196" t="n"/>
      <c r="G52" s="177">
        <f>G26+G51</f>
        <v/>
      </c>
      <c r="H52" s="25">
        <f>H26+H51</f>
        <v/>
      </c>
      <c r="I52" s="177" t="n"/>
      <c r="J52" s="177">
        <f>J26+J51</f>
        <v/>
      </c>
    </row>
    <row r="53" ht="14.25" customFormat="1" customHeight="1" s="97">
      <c r="A53" s="166" t="n"/>
      <c r="B53" s="178" t="inlineStr">
        <is>
          <t>Оборудование</t>
        </is>
      </c>
      <c r="C53" s="195" t="n"/>
      <c r="D53" s="195" t="n"/>
      <c r="E53" s="195" t="n"/>
      <c r="F53" s="195" t="n"/>
      <c r="G53" s="195" t="n"/>
      <c r="H53" s="196" t="n"/>
      <c r="I53" s="174" t="n"/>
      <c r="J53" s="174" t="n"/>
    </row>
    <row r="54" ht="15.6" customHeight="1" s="122">
      <c r="A54" s="166" t="n"/>
      <c r="B54" s="184" t="inlineStr">
        <is>
          <t>Основное оборудование</t>
        </is>
      </c>
      <c r="C54" s="195" t="n"/>
      <c r="D54" s="195" t="n"/>
      <c r="E54" s="195" t="n"/>
      <c r="F54" s="195" t="n"/>
      <c r="G54" s="195" t="n"/>
      <c r="H54" s="196" t="n"/>
      <c r="I54" s="174" t="n"/>
      <c r="J54" s="174" t="n"/>
      <c r="K54" s="97" t="n"/>
      <c r="L54" s="97" t="n"/>
    </row>
    <row r="55" ht="15.6" customHeight="1" s="122">
      <c r="A55" s="166" t="n"/>
      <c r="B55" s="166" t="n"/>
      <c r="C55" s="184" t="inlineStr">
        <is>
          <t>Итого основное оборудование</t>
        </is>
      </c>
      <c r="D55" s="166" t="n"/>
      <c r="E55" s="104" t="n"/>
      <c r="F55" s="186" t="n"/>
      <c r="G55" s="106" t="n">
        <v>0</v>
      </c>
      <c r="H55" s="187" t="n">
        <v>0</v>
      </c>
      <c r="I55" s="108" t="n"/>
      <c r="J55" s="106" t="n">
        <v>0</v>
      </c>
      <c r="K55" s="97" t="n"/>
      <c r="L55" s="97" t="n"/>
    </row>
    <row r="56" ht="15.6" customHeight="1" s="122">
      <c r="A56" s="166" t="n"/>
      <c r="B56" s="166" t="n"/>
      <c r="C56" s="184" t="inlineStr">
        <is>
          <t>Итого прочее оборудование</t>
        </is>
      </c>
      <c r="D56" s="166" t="n"/>
      <c r="E56" s="104" t="n"/>
      <c r="F56" s="186" t="n"/>
      <c r="G56" s="106" t="n">
        <v>0</v>
      </c>
      <c r="H56" s="187" t="n">
        <v>0</v>
      </c>
      <c r="I56" s="108" t="n"/>
      <c r="J56" s="106" t="n">
        <v>0</v>
      </c>
      <c r="K56" s="97" t="n"/>
      <c r="L56" s="97" t="n"/>
    </row>
    <row r="57" ht="15.6" customHeight="1" s="122">
      <c r="A57" s="166" t="n"/>
      <c r="B57" s="166" t="n"/>
      <c r="C57" s="178" t="inlineStr">
        <is>
          <t>Итого по разделу «Оборудование»</t>
        </is>
      </c>
      <c r="D57" s="166" t="n"/>
      <c r="E57" s="185" t="n"/>
      <c r="F57" s="186" t="n"/>
      <c r="G57" s="106">
        <f>G55+G56</f>
        <v/>
      </c>
      <c r="H57" s="187" t="n">
        <v>0</v>
      </c>
      <c r="I57" s="108" t="n"/>
      <c r="J57" s="106">
        <f>J56+J55</f>
        <v/>
      </c>
      <c r="K57" s="97" t="n"/>
      <c r="L57" s="97" t="n"/>
    </row>
    <row r="58" ht="31.15" customHeight="1" s="122">
      <c r="A58" s="166" t="n"/>
      <c r="B58" s="166" t="n"/>
      <c r="C58" s="184" t="inlineStr">
        <is>
          <t>в том числе технологическое оборудование</t>
        </is>
      </c>
      <c r="D58" s="166" t="n"/>
      <c r="E58" s="111" t="n"/>
      <c r="F58" s="186" t="n"/>
      <c r="G58" s="106">
        <f>G57</f>
        <v/>
      </c>
      <c r="H58" s="187" t="n"/>
      <c r="I58" s="108" t="n"/>
      <c r="J58" s="106">
        <f>J57</f>
        <v/>
      </c>
      <c r="K58" s="97" t="n"/>
      <c r="L58" s="97" t="n"/>
    </row>
    <row r="59" ht="15.6" customFormat="1" customHeight="1" s="153">
      <c r="A59" s="169" t="n"/>
      <c r="B59" s="167" t="inlineStr">
        <is>
          <t>Материалы</t>
        </is>
      </c>
      <c r="C59" s="195" t="n"/>
      <c r="D59" s="195" t="n"/>
      <c r="E59" s="195" t="n"/>
      <c r="F59" s="195" t="n"/>
      <c r="G59" s="195" t="n"/>
      <c r="H59" s="196" t="n"/>
      <c r="I59" s="177" t="n"/>
      <c r="J59" s="177" t="n"/>
    </row>
    <row r="60" ht="15.6" customFormat="1" customHeight="1" s="153">
      <c r="A60" s="169" t="n"/>
      <c r="B60" s="169" t="inlineStr">
        <is>
          <t>Основные Материалы</t>
        </is>
      </c>
      <c r="C60" s="195" t="n"/>
      <c r="D60" s="195" t="n"/>
      <c r="E60" s="195" t="n"/>
      <c r="F60" s="195" t="n"/>
      <c r="G60" s="195" t="n"/>
      <c r="H60" s="196" t="n"/>
      <c r="I60" s="177" t="n"/>
      <c r="J60" s="177" t="n"/>
    </row>
    <row r="61" ht="46.9" customFormat="1" customHeight="1" s="153">
      <c r="A61" s="169" t="n">
        <v>34</v>
      </c>
      <c r="B61" s="183" t="inlineStr">
        <is>
          <t>20.2.04.04-0036</t>
        </is>
      </c>
      <c r="C61" s="188" t="inlineStr">
        <is>
          <t>Короб кабельный прямой плоский сейсмостойкий горячеоцинкованный КП-0,15/0,5-2 (ККПС-0,15/0,5-2)</t>
        </is>
      </c>
      <c r="D61" s="191" t="inlineStr">
        <is>
          <t>шт</t>
        </is>
      </c>
      <c r="E61" s="189" t="n">
        <v>211</v>
      </c>
      <c r="F61" s="29" t="n">
        <v>831.87</v>
      </c>
      <c r="G61" s="177">
        <f>ROUND(F61*E61,2)</f>
        <v/>
      </c>
      <c r="H61" s="25">
        <f>G61/G140</f>
        <v/>
      </c>
      <c r="I61" s="177">
        <f>ROUND(F61*Прил.10!$D$12,2)</f>
        <v/>
      </c>
      <c r="J61" s="177">
        <f>ROUND(I61*E61,2)</f>
        <v/>
      </c>
    </row>
    <row r="62" ht="78" customFormat="1" customHeight="1" s="153">
      <c r="A62" s="169" t="n">
        <v>35</v>
      </c>
      <c r="B62" s="183" t="inlineStr">
        <is>
          <t>14.2.02.10-1000</t>
        </is>
      </c>
      <c r="C62" s="188" t="inlineStr">
        <is>
          <t>Покрытие огнезащитное кабельных проходок (ПАСТА ОГНЕЗАЩИТНАЯ ТЕРМОРАСШИРЯЮЩАЯСЯ ДЛЯ ЗАЩИТЫ ЭЛЕКТРИЧЕСКИХ КАБЕЛЕЙ, МАРКА 'ОГРАКС-В')</t>
        </is>
      </c>
      <c r="D62" s="191" t="inlineStr">
        <is>
          <t>кг</t>
        </is>
      </c>
      <c r="E62" s="189" t="n">
        <v>540</v>
      </c>
      <c r="F62" s="29" t="n">
        <v>173.76</v>
      </c>
      <c r="G62" s="177">
        <f>ROUND(F62*E62,2)</f>
        <v/>
      </c>
      <c r="H62" s="25">
        <f>G62/G140</f>
        <v/>
      </c>
      <c r="I62" s="177">
        <f>ROUND(F62*Прил.10!$D$12,2)</f>
        <v/>
      </c>
      <c r="J62" s="177">
        <f>ROUND(I62*E62,2)</f>
        <v/>
      </c>
    </row>
    <row r="63" ht="62.45" customFormat="1" customHeight="1" s="153">
      <c r="A63" s="169" t="n">
        <v>36</v>
      </c>
      <c r="B63" s="183" t="inlineStr">
        <is>
          <t>08.3.12.02-0007</t>
        </is>
      </c>
      <c r="C63" s="188" t="inlineStr">
        <is>
          <t>Балки перекрытий и балки под установку оборудования составного сечения из прокатных профилей и листовой стали</t>
        </is>
      </c>
      <c r="D63" s="191" t="inlineStr">
        <is>
          <t>т</t>
        </is>
      </c>
      <c r="E63" s="189" t="n">
        <v>17.165</v>
      </c>
      <c r="F63" s="29" t="n">
        <v>5406.17</v>
      </c>
      <c r="G63" s="177">
        <f>ROUND(F63*E63,2)</f>
        <v/>
      </c>
      <c r="H63" s="25">
        <f>G63/G140</f>
        <v/>
      </c>
      <c r="I63" s="177">
        <f>ROUND(F63*Прил.10!$D$12,2)</f>
        <v/>
      </c>
      <c r="J63" s="177">
        <f>ROUND(I63*E63,2)</f>
        <v/>
      </c>
    </row>
    <row r="64" ht="15.6" customFormat="1" customHeight="1" s="153">
      <c r="A64" s="169" t="n">
        <v>37</v>
      </c>
      <c r="B64" s="183" t="inlineStr">
        <is>
          <t>07.2.07.11-0004</t>
        </is>
      </c>
      <c r="C64" s="188" t="inlineStr">
        <is>
          <t>Опоры стальные</t>
        </is>
      </c>
      <c r="D64" s="191" t="inlineStr">
        <is>
          <t>т</t>
        </is>
      </c>
      <c r="E64" s="189" t="n">
        <v>5.929</v>
      </c>
      <c r="F64" s="29" t="n">
        <v>9600</v>
      </c>
      <c r="G64" s="177">
        <f>ROUND(F64*E64,2)</f>
        <v/>
      </c>
      <c r="H64" s="25">
        <f>G64/G140</f>
        <v/>
      </c>
      <c r="I64" s="177">
        <f>ROUND(F64*Прил.10!$D$12,2)</f>
        <v/>
      </c>
      <c r="J64" s="177">
        <f>ROUND(I64*E64,2)</f>
        <v/>
      </c>
    </row>
    <row r="65" ht="31.15" customFormat="1" customHeight="1" s="153">
      <c r="A65" s="169" t="n">
        <v>38</v>
      </c>
      <c r="B65" s="183" t="inlineStr">
        <is>
          <t>04.1.02.05-0009</t>
        </is>
      </c>
      <c r="C65" s="188" t="inlineStr">
        <is>
          <t>Смеси бетонные тяжелого бетона (БСТ), класс В25 (М350)</t>
        </is>
      </c>
      <c r="D65" s="191" t="inlineStr">
        <is>
          <t>м3</t>
        </is>
      </c>
      <c r="E65" s="189" t="n">
        <v>29.99325</v>
      </c>
      <c r="F65" s="29" t="n">
        <v>725.6900000000001</v>
      </c>
      <c r="G65" s="177">
        <f>ROUND(F65*E65,2)</f>
        <v/>
      </c>
      <c r="H65" s="25">
        <f>G65/G140</f>
        <v/>
      </c>
      <c r="I65" s="177">
        <f>ROUND(F65*Прил.10!$D$12,2)</f>
        <v/>
      </c>
      <c r="J65" s="177">
        <f>ROUND(I65*E65,2)</f>
        <v/>
      </c>
    </row>
    <row r="66" ht="46.9" customFormat="1" customHeight="1" s="153">
      <c r="A66" s="169" t="n">
        <v>39</v>
      </c>
      <c r="B66" s="183" t="inlineStr">
        <is>
          <t>04.1.02.05-0023</t>
        </is>
      </c>
      <c r="C66" s="188" t="inlineStr">
        <is>
          <t>Смеси бетонные тяжелого бетона (БСТ), крупность заполнителя 10 мм, класс В7,5 (М100)</t>
        </is>
      </c>
      <c r="D66" s="191" t="inlineStr">
        <is>
          <t>м3</t>
        </is>
      </c>
      <c r="E66" s="189" t="n">
        <v>29.631</v>
      </c>
      <c r="F66" s="29" t="n">
        <v>600</v>
      </c>
      <c r="G66" s="177">
        <f>ROUND(F66*E66,2)</f>
        <v/>
      </c>
      <c r="H66" s="25">
        <f>G66/G140</f>
        <v/>
      </c>
      <c r="I66" s="177">
        <f>ROUND(F66*Прил.10!$D$12,2)</f>
        <v/>
      </c>
      <c r="J66" s="177">
        <f>ROUND(I66*E66,2)</f>
        <v/>
      </c>
    </row>
    <row r="67" ht="46.9" customFormat="1" customHeight="1" s="153">
      <c r="A67" s="169" t="n">
        <v>40</v>
      </c>
      <c r="B67" s="183" t="inlineStr">
        <is>
          <t>07.2.05.01-0032</t>
        </is>
      </c>
      <c r="C67" s="188" t="inlineStr">
        <is>
          <t>Ограждения лестничных проемов, лестничные марши, пожарные лестницы</t>
        </is>
      </c>
      <c r="D67" s="191" t="inlineStr">
        <is>
          <t>т</t>
        </is>
      </c>
      <c r="E67" s="189" t="n">
        <v>2.289</v>
      </c>
      <c r="F67" s="29" t="n">
        <v>7571</v>
      </c>
      <c r="G67" s="177">
        <f>ROUND(F67*E67,2)</f>
        <v/>
      </c>
      <c r="H67" s="25">
        <f>G67/G140</f>
        <v/>
      </c>
      <c r="I67" s="177">
        <f>ROUND(F67*Прил.10!$D$12,2)</f>
        <v/>
      </c>
      <c r="J67" s="177">
        <f>ROUND(I67*E67,2)</f>
        <v/>
      </c>
    </row>
    <row r="68" ht="46.9" customFormat="1" customHeight="1" s="153">
      <c r="A68" s="169" t="n">
        <v>41</v>
      </c>
      <c r="B68" s="183" t="inlineStr">
        <is>
          <t>11.1.03.06-0095</t>
        </is>
      </c>
      <c r="C68" s="188" t="inlineStr">
        <is>
          <t>Доска обрезная, хвойных пород, ширина 75-150 мм, толщина 44 мм и более, длина 4-6,5 м, сорт III</t>
        </is>
      </c>
      <c r="D68" s="191" t="inlineStr">
        <is>
          <t>м3</t>
        </is>
      </c>
      <c r="E68" s="189" t="n">
        <v>15.77531</v>
      </c>
      <c r="F68" s="29" t="n">
        <v>1056</v>
      </c>
      <c r="G68" s="177">
        <f>ROUND(F68*E68,2)</f>
        <v/>
      </c>
      <c r="H68" s="25">
        <f>G68/G140</f>
        <v/>
      </c>
      <c r="I68" s="177">
        <f>ROUND(F68*Прил.10!$D$12,2)</f>
        <v/>
      </c>
      <c r="J68" s="177">
        <f>ROUND(I68*E68,2)</f>
        <v/>
      </c>
    </row>
    <row r="69" ht="15.6" customFormat="1" customHeight="1" s="153">
      <c r="A69" s="169" t="n"/>
      <c r="B69" s="183" t="inlineStr">
        <is>
          <t>Итого основные Материалы</t>
        </is>
      </c>
      <c r="C69" s="195" t="n"/>
      <c r="D69" s="195" t="n"/>
      <c r="E69" s="195" t="n"/>
      <c r="F69" s="196" t="n"/>
      <c r="G69" s="29">
        <f>SUM(G61:G68)</f>
        <v/>
      </c>
      <c r="H69" s="25">
        <f>SUM(H61:H68)</f>
        <v/>
      </c>
      <c r="I69" s="177" t="n"/>
      <c r="J69" s="177">
        <f>SUM(J61:J68)</f>
        <v/>
      </c>
    </row>
    <row r="70" hidden="1" outlineLevel="1" ht="78" customFormat="1" customHeight="1" s="153">
      <c r="A70" s="169" t="n">
        <v>42</v>
      </c>
      <c r="B70" s="183" t="inlineStr">
        <is>
          <t>23.5.02.02-0096</t>
        </is>
      </c>
      <c r="C70" s="188" t="inlineStr">
        <is>
          <t>Трубы стальные электросварные прямошовные со снятой фаской из стали марок БСт2кп-БСт4кп и БСт2пс-БСт4пс, наружный диаметр 273 мм, толщина стенки 8 мм</t>
        </is>
      </c>
      <c r="D70" s="191" t="inlineStr">
        <is>
          <t>м</t>
        </is>
      </c>
      <c r="E70" s="189" t="n">
        <v>30.9366</v>
      </c>
      <c r="F70" s="29" t="n">
        <v>376.6</v>
      </c>
      <c r="G70" s="177">
        <f>ROUND(F70*E70,2)</f>
        <v/>
      </c>
      <c r="H70" s="25">
        <f>G70/G140</f>
        <v/>
      </c>
      <c r="I70" s="177">
        <f>ROUND(F70*Прил.10!$D$12,2)</f>
        <v/>
      </c>
      <c r="J70" s="177">
        <f>ROUND(I70*E70,2)</f>
        <v/>
      </c>
    </row>
    <row r="71" hidden="1" outlineLevel="1" ht="62.45" customFormat="1" customHeight="1" s="153">
      <c r="A71" s="169" t="n">
        <v>43</v>
      </c>
      <c r="B71" s="183" t="inlineStr">
        <is>
          <t>07.2.07.13-0161</t>
        </is>
      </c>
      <c r="C71" s="18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71" s="191" t="inlineStr">
        <is>
          <t>т</t>
        </is>
      </c>
      <c r="E71" s="189" t="n">
        <v>0.728</v>
      </c>
      <c r="F71" s="29" t="n">
        <v>11879.76</v>
      </c>
      <c r="G71" s="177">
        <f>ROUND(F71*E71,2)</f>
        <v/>
      </c>
      <c r="H71" s="25">
        <f>G71/G140</f>
        <v/>
      </c>
      <c r="I71" s="177">
        <f>ROUND(F71*Прил.10!$D$12,2)</f>
        <v/>
      </c>
      <c r="J71" s="177">
        <f>ROUND(I71*E71,2)</f>
        <v/>
      </c>
    </row>
    <row r="72" hidden="1" outlineLevel="1" ht="31.15" customFormat="1" customHeight="1" s="153">
      <c r="A72" s="169" t="n">
        <v>44</v>
      </c>
      <c r="B72" s="183" t="inlineStr">
        <is>
          <t>05.1.02.08-0084</t>
        </is>
      </c>
      <c r="C72" s="188" t="inlineStr">
        <is>
          <t>Трубы железобетонные безнапорные раструбные, диаметр 800 мм</t>
        </is>
      </c>
      <c r="D72" s="191" t="inlineStr">
        <is>
          <t>м</t>
        </is>
      </c>
      <c r="E72" s="189" t="n">
        <v>11.964</v>
      </c>
      <c r="F72" s="29" t="n">
        <v>617.12</v>
      </c>
      <c r="G72" s="177">
        <f>ROUND(F72*E72,2)</f>
        <v/>
      </c>
      <c r="H72" s="25">
        <f>G72/G140</f>
        <v/>
      </c>
      <c r="I72" s="177">
        <f>ROUND(F72*Прил.10!$D$12,2)</f>
        <v/>
      </c>
      <c r="J72" s="177">
        <f>ROUND(I72*E72,2)</f>
        <v/>
      </c>
    </row>
    <row r="73" hidden="1" outlineLevel="1" ht="15.6" customFormat="1" customHeight="1" s="153">
      <c r="A73" s="169" t="n">
        <v>45</v>
      </c>
      <c r="B73" s="183" t="inlineStr">
        <is>
          <t>20.2.03.03-0005</t>
        </is>
      </c>
      <c r="C73" s="188" t="inlineStr">
        <is>
          <t>Консоль кабельная стальная К-450</t>
        </is>
      </c>
      <c r="D73" s="191" t="inlineStr">
        <is>
          <t>шт</t>
        </is>
      </c>
      <c r="E73" s="189" t="n">
        <v>258</v>
      </c>
      <c r="F73" s="29" t="n">
        <v>23.5</v>
      </c>
      <c r="G73" s="177">
        <f>ROUND(F73*E73,2)</f>
        <v/>
      </c>
      <c r="H73" s="25">
        <f>G73/G140</f>
        <v/>
      </c>
      <c r="I73" s="177">
        <f>ROUND(F73*Прил.10!$D$12,2)</f>
        <v/>
      </c>
      <c r="J73" s="177">
        <f>ROUND(I73*E73,2)</f>
        <v/>
      </c>
    </row>
    <row r="74" hidden="1" outlineLevel="1" ht="46.9" customFormat="1" customHeight="1" s="153">
      <c r="A74" s="169" t="n">
        <v>46</v>
      </c>
      <c r="B74" s="183" t="inlineStr">
        <is>
          <t>08.4.03.03-0032</t>
        </is>
      </c>
      <c r="C74" s="188" t="inlineStr">
        <is>
          <t>Сталь арматурная, горячекатаная, периодического профиля, класс А-III, диаметр 12 мм</t>
        </is>
      </c>
      <c r="D74" s="191" t="inlineStr">
        <is>
          <t>т</t>
        </is>
      </c>
      <c r="E74" s="189" t="n">
        <v>0.5499000000000001</v>
      </c>
      <c r="F74" s="29" t="n">
        <v>7997.23</v>
      </c>
      <c r="G74" s="177">
        <f>ROUND(F74*E74,2)</f>
        <v/>
      </c>
      <c r="H74" s="25">
        <f>G74/G140</f>
        <v/>
      </c>
      <c r="I74" s="177">
        <f>ROUND(F74*Прил.10!$D$12,2)</f>
        <v/>
      </c>
      <c r="J74" s="177">
        <f>ROUND(I74*E74,2)</f>
        <v/>
      </c>
    </row>
    <row r="75" hidden="1" outlineLevel="1" ht="62.45" customFormat="1" customHeight="1" s="153">
      <c r="A75" s="169" t="n">
        <v>47</v>
      </c>
      <c r="B75" s="183" t="inlineStr">
        <is>
          <t>07.2.07.12-0026</t>
        </is>
      </c>
      <c r="C75" s="188" t="inlineStr">
        <is>
          <t>Отдельные конструктивные элементы зданий и сооружений с преобладанием толстолистовой стали, средняя масса сборочной единицы свыше 1 до 3 т</t>
        </is>
      </c>
      <c r="D75" s="191" t="inlineStr">
        <is>
          <t>т</t>
        </is>
      </c>
      <c r="E75" s="189" t="n">
        <v>0.52</v>
      </c>
      <c r="F75" s="29" t="n">
        <v>7887.4</v>
      </c>
      <c r="G75" s="177">
        <f>ROUND(F75*E75,2)</f>
        <v/>
      </c>
      <c r="H75" s="25">
        <f>G75/G140</f>
        <v/>
      </c>
      <c r="I75" s="177">
        <f>ROUND(F75*Прил.10!$D$12,2)</f>
        <v/>
      </c>
      <c r="J75" s="177">
        <f>ROUND(I75*E75,2)</f>
        <v/>
      </c>
    </row>
    <row r="76" hidden="1" outlineLevel="1" ht="46.9" customFormat="1" customHeight="1" s="153">
      <c r="A76" s="169" t="n">
        <v>48</v>
      </c>
      <c r="B76" s="183" t="inlineStr">
        <is>
          <t>12.2.05.05-0014</t>
        </is>
      </c>
      <c r="C76" s="188" t="inlineStr">
        <is>
          <t>Плиты из минеральной ваты повышенной жесткости на синтетическом связующем ППЖ-200</t>
        </is>
      </c>
      <c r="D76" s="191" t="inlineStr">
        <is>
          <t>м3</t>
        </is>
      </c>
      <c r="E76" s="189" t="n">
        <v>1.985</v>
      </c>
      <c r="F76" s="29" t="n">
        <v>1588.5</v>
      </c>
      <c r="G76" s="177">
        <f>ROUND(F76*E76,2)</f>
        <v/>
      </c>
      <c r="H76" s="25">
        <f>G76/G140</f>
        <v/>
      </c>
      <c r="I76" s="177">
        <f>ROUND(F76*Прил.10!$D$12,2)</f>
        <v/>
      </c>
      <c r="J76" s="177">
        <f>ROUND(I76*E76,2)</f>
        <v/>
      </c>
    </row>
    <row r="77" hidden="1" outlineLevel="1" ht="15.6" customFormat="1" customHeight="1" s="153">
      <c r="A77" s="169" t="n">
        <v>49</v>
      </c>
      <c r="B77" s="183" t="inlineStr">
        <is>
          <t>20.2.03.23-0045</t>
        </is>
      </c>
      <c r="C77" s="188" t="inlineStr">
        <is>
          <t>Стойка кабельная С-1200</t>
        </is>
      </c>
      <c r="D77" s="191" t="inlineStr">
        <is>
          <t>шт</t>
        </is>
      </c>
      <c r="E77" s="189" t="n">
        <v>50</v>
      </c>
      <c r="F77" s="29" t="n">
        <v>58.98</v>
      </c>
      <c r="G77" s="177">
        <f>ROUND(F77*E77,2)</f>
        <v/>
      </c>
      <c r="H77" s="25">
        <f>G77/G140</f>
        <v/>
      </c>
      <c r="I77" s="177">
        <f>ROUND(F77*Прил.10!$D$12,2)</f>
        <v/>
      </c>
      <c r="J77" s="177">
        <f>ROUND(I77*E77,2)</f>
        <v/>
      </c>
    </row>
    <row r="78" hidden="1" outlineLevel="1" ht="31.15" customFormat="1" customHeight="1" s="153">
      <c r="A78" s="169" t="n">
        <v>50</v>
      </c>
      <c r="B78" s="183" t="inlineStr">
        <is>
          <t>08.4.01.01-0022</t>
        </is>
      </c>
      <c r="C78" s="188" t="inlineStr">
        <is>
          <t>Детали анкерные с резьбой из прямых или гнутых круглых стержней</t>
        </is>
      </c>
      <c r="D78" s="191" t="inlineStr">
        <is>
          <t>т</t>
        </is>
      </c>
      <c r="E78" s="189" t="n">
        <v>0.262</v>
      </c>
      <c r="F78" s="29" t="n">
        <v>10100</v>
      </c>
      <c r="G78" s="177">
        <f>ROUND(F78*E78,2)</f>
        <v/>
      </c>
      <c r="H78" s="25">
        <f>G78/G140</f>
        <v/>
      </c>
      <c r="I78" s="177">
        <f>ROUND(F78*Прил.10!$D$12,2)</f>
        <v/>
      </c>
      <c r="J78" s="177">
        <f>ROUND(I78*E78,2)</f>
        <v/>
      </c>
    </row>
    <row r="79" hidden="1" outlineLevel="1" ht="31.15" customFormat="1" customHeight="1" s="153">
      <c r="A79" s="169" t="n">
        <v>51</v>
      </c>
      <c r="B79" s="183" t="inlineStr">
        <is>
          <t>12.2.03.05-0001</t>
        </is>
      </c>
      <c r="C79" s="188" t="inlineStr">
        <is>
          <t>Полиол системы жидких компонентов для напыления ППУ</t>
        </is>
      </c>
      <c r="D79" s="191" t="inlineStr">
        <is>
          <t>кг</t>
        </is>
      </c>
      <c r="E79" s="189" t="n">
        <v>38.556</v>
      </c>
      <c r="F79" s="29" t="n">
        <v>58.1</v>
      </c>
      <c r="G79" s="177">
        <f>ROUND(F79*E79,2)</f>
        <v/>
      </c>
      <c r="H79" s="25">
        <f>G79/G140</f>
        <v/>
      </c>
      <c r="I79" s="177">
        <f>ROUND(F79*Прил.10!$D$12,2)</f>
        <v/>
      </c>
      <c r="J79" s="177">
        <f>ROUND(I79*E79,2)</f>
        <v/>
      </c>
    </row>
    <row r="80" hidden="1" outlineLevel="1" ht="31.15" customFormat="1" customHeight="1" s="153">
      <c r="A80" s="169" t="n">
        <v>52</v>
      </c>
      <c r="B80" s="183" t="inlineStr">
        <is>
          <t>12.2.03.05-0003</t>
        </is>
      </c>
      <c r="C80" s="188" t="inlineStr">
        <is>
          <t>Изоцианат системы жидких компонентов для напыления ППУ</t>
        </is>
      </c>
      <c r="D80" s="191" t="inlineStr">
        <is>
          <t>кг</t>
        </is>
      </c>
      <c r="E80" s="189" t="n">
        <v>37.044</v>
      </c>
      <c r="F80" s="29" t="n">
        <v>51.8</v>
      </c>
      <c r="G80" s="177">
        <f>ROUND(F80*E80,2)</f>
        <v/>
      </c>
      <c r="H80" s="25">
        <f>G80/G140</f>
        <v/>
      </c>
      <c r="I80" s="177">
        <f>ROUND(F80*Прил.10!$D$12,2)</f>
        <v/>
      </c>
      <c r="J80" s="177">
        <f>ROUND(I80*E80,2)</f>
        <v/>
      </c>
    </row>
    <row r="81" hidden="1" outlineLevel="1" ht="78" customFormat="1" customHeight="1" s="153">
      <c r="A81" s="169" t="n">
        <v>53</v>
      </c>
      <c r="B81" s="183" t="inlineStr">
        <is>
          <t>20.2.04.06-0099</t>
        </is>
      </c>
      <c r="C81" s="188" t="inlineStr">
        <is>
          <t>Короб кабельный угловой для поворота горизонтальной трассы вниз под углом 90 °, сейсмостойкий КУН-0,15/0,4 (ККПС-УН-0,15/0,4),  горячеоцинкованный</t>
        </is>
      </c>
      <c r="D81" s="191" t="inlineStr">
        <is>
          <t>шт</t>
        </is>
      </c>
      <c r="E81" s="189" t="n">
        <v>4</v>
      </c>
      <c r="F81" s="29" t="n">
        <v>445.21</v>
      </c>
      <c r="G81" s="177">
        <f>ROUND(F81*E81,2)</f>
        <v/>
      </c>
      <c r="H81" s="25">
        <f>G81/G140</f>
        <v/>
      </c>
      <c r="I81" s="177">
        <f>ROUND(F81*Прил.10!$D$12,2)</f>
        <v/>
      </c>
      <c r="J81" s="177">
        <f>ROUND(I81*E81,2)</f>
        <v/>
      </c>
    </row>
    <row r="82" hidden="1" outlineLevel="1" ht="15.6" customFormat="1" customHeight="1" s="153">
      <c r="A82" s="169" t="n">
        <v>54</v>
      </c>
      <c r="B82" s="183" t="inlineStr">
        <is>
          <t>01.4.01.10-0017</t>
        </is>
      </c>
      <c r="C82" s="188" t="inlineStr">
        <is>
          <t>Шнек ПБС-65, длина 1300 мм</t>
        </is>
      </c>
      <c r="D82" s="191" t="inlineStr">
        <is>
          <t>шт</t>
        </is>
      </c>
      <c r="E82" s="189" t="n">
        <v>2.4264</v>
      </c>
      <c r="F82" s="29" t="n">
        <v>527.21</v>
      </c>
      <c r="G82" s="177">
        <f>ROUND(F82*E82,2)</f>
        <v/>
      </c>
      <c r="H82" s="25">
        <f>G82/G140</f>
        <v/>
      </c>
      <c r="I82" s="177">
        <f>ROUND(F82*Прил.10!$D$12,2)</f>
        <v/>
      </c>
      <c r="J82" s="177">
        <f>ROUND(I82*E82,2)</f>
        <v/>
      </c>
    </row>
    <row r="83" hidden="1" outlineLevel="1" ht="93.59999999999999" customFormat="1" customHeight="1" s="153">
      <c r="A83" s="169" t="n">
        <v>55</v>
      </c>
      <c r="B83" s="183" t="inlineStr">
        <is>
          <t>08.4.01.02-0013</t>
        </is>
      </c>
      <c r="C83" s="18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83" s="191" t="inlineStr">
        <is>
          <t>т</t>
        </is>
      </c>
      <c r="E83" s="189" t="n">
        <v>0.1858</v>
      </c>
      <c r="F83" s="29" t="n">
        <v>6800</v>
      </c>
      <c r="G83" s="177">
        <f>ROUND(F83*E83,2)</f>
        <v/>
      </c>
      <c r="H83" s="25">
        <f>G83/G140</f>
        <v/>
      </c>
      <c r="I83" s="177">
        <f>ROUND(F83*Прил.10!$D$12,2)</f>
        <v/>
      </c>
      <c r="J83" s="177">
        <f>ROUND(I83*E83,2)</f>
        <v/>
      </c>
    </row>
    <row r="84" hidden="1" outlineLevel="1" ht="46.9" customFormat="1" customHeight="1" s="153">
      <c r="A84" s="169" t="n">
        <v>56</v>
      </c>
      <c r="B84" s="183" t="inlineStr">
        <is>
          <t>08.4.03.03-0031</t>
        </is>
      </c>
      <c r="C84" s="188" t="inlineStr">
        <is>
          <t>Сталь арматурная, горячекатаная, периодического профиля, класс А-III, диаметр 10 мм</t>
        </is>
      </c>
      <c r="D84" s="191" t="inlineStr">
        <is>
          <t>т</t>
        </is>
      </c>
      <c r="E84" s="189" t="n">
        <v>0.1217</v>
      </c>
      <c r="F84" s="29" t="n">
        <v>8014.15</v>
      </c>
      <c r="G84" s="177">
        <f>ROUND(F84*E84,2)</f>
        <v/>
      </c>
      <c r="H84" s="25">
        <f>G84/G140</f>
        <v/>
      </c>
      <c r="I84" s="177">
        <f>ROUND(F84*Прил.10!$D$12,2)</f>
        <v/>
      </c>
      <c r="J84" s="177">
        <f>ROUND(I84*E84,2)</f>
        <v/>
      </c>
    </row>
    <row r="85" hidden="1" outlineLevel="1" ht="15.6" customFormat="1" customHeight="1" s="153">
      <c r="A85" s="169" t="n">
        <v>57</v>
      </c>
      <c r="B85" s="183" t="inlineStr">
        <is>
          <t>14.4.01.01-0003</t>
        </is>
      </c>
      <c r="C85" s="188" t="inlineStr">
        <is>
          <t>Грунтовка ГФ-021</t>
        </is>
      </c>
      <c r="D85" s="191" t="inlineStr">
        <is>
          <t>т</t>
        </is>
      </c>
      <c r="E85" s="189" t="n">
        <v>0.0568917</v>
      </c>
      <c r="F85" s="29" t="n">
        <v>15620</v>
      </c>
      <c r="G85" s="177">
        <f>ROUND(F85*E85,2)</f>
        <v/>
      </c>
      <c r="H85" s="25">
        <f>G85/G140</f>
        <v/>
      </c>
      <c r="I85" s="177">
        <f>ROUND(F85*Прил.10!$D$12,2)</f>
        <v/>
      </c>
      <c r="J85" s="177">
        <f>ROUND(I85*E85,2)</f>
        <v/>
      </c>
    </row>
    <row r="86" hidden="1" outlineLevel="1" ht="46.9" customFormat="1" customHeight="1" s="153">
      <c r="A86" s="169" t="n">
        <v>58</v>
      </c>
      <c r="B86" s="183" t="inlineStr">
        <is>
          <t>08.3.05.06-1001</t>
        </is>
      </c>
      <c r="C86" s="188" t="inlineStr">
        <is>
          <t>Сталь толстолистовая марка Ст0, толщина более 4 мм (с 10-кратной оборачив.)</t>
        </is>
      </c>
      <c r="D86" s="191" t="inlineStr">
        <is>
          <t>т</t>
        </is>
      </c>
      <c r="E86" s="189" t="n">
        <v>0.13</v>
      </c>
      <c r="F86" s="29" t="n">
        <v>6743.93</v>
      </c>
      <c r="G86" s="177">
        <f>ROUND(F86*E86,2)</f>
        <v/>
      </c>
      <c r="H86" s="25">
        <f>G86/G140</f>
        <v/>
      </c>
      <c r="I86" s="177">
        <f>ROUND(F86*Прил.10!$D$12,2)</f>
        <v/>
      </c>
      <c r="J86" s="177">
        <f>ROUND(I86*E86,2)</f>
        <v/>
      </c>
    </row>
    <row r="87" hidden="1" outlineLevel="1" ht="31.15" customFormat="1" customHeight="1" s="153">
      <c r="A87" s="169" t="n">
        <v>59</v>
      </c>
      <c r="B87" s="183" t="inlineStr">
        <is>
          <t>01.7.15.03-0042</t>
        </is>
      </c>
      <c r="C87" s="188" t="inlineStr">
        <is>
          <t>Болты с гайками и шайбами строительные</t>
        </is>
      </c>
      <c r="D87" s="191" t="inlineStr">
        <is>
          <t>кг</t>
        </is>
      </c>
      <c r="E87" s="189" t="n">
        <v>92.4235</v>
      </c>
      <c r="F87" s="29" t="n">
        <v>9.039999999999999</v>
      </c>
      <c r="G87" s="177">
        <f>ROUND(F87*E87,2)</f>
        <v/>
      </c>
      <c r="H87" s="25">
        <f>G87/G140</f>
        <v/>
      </c>
      <c r="I87" s="177">
        <f>ROUND(F87*Прил.10!$D$12,2)</f>
        <v/>
      </c>
      <c r="J87" s="177">
        <f>ROUND(I87*E87,2)</f>
        <v/>
      </c>
    </row>
    <row r="88" hidden="1" outlineLevel="1" ht="15.6" customFormat="1" customHeight="1" s="153">
      <c r="A88" s="169" t="n">
        <v>60</v>
      </c>
      <c r="B88" s="183" t="inlineStr">
        <is>
          <t>01.2.03.03-0007</t>
        </is>
      </c>
      <c r="C88" s="188" t="inlineStr">
        <is>
          <t>Мастика битумная</t>
        </is>
      </c>
      <c r="D88" s="191" t="inlineStr">
        <is>
          <t>т</t>
        </is>
      </c>
      <c r="E88" s="189" t="n">
        <v>0.2508</v>
      </c>
      <c r="F88" s="29" t="n">
        <v>3316.55</v>
      </c>
      <c r="G88" s="177">
        <f>ROUND(F88*E88,2)</f>
        <v/>
      </c>
      <c r="H88" s="25">
        <f>G88/G140</f>
        <v/>
      </c>
      <c r="I88" s="177">
        <f>ROUND(F88*Прил.10!$D$12,2)</f>
        <v/>
      </c>
      <c r="J88" s="177">
        <f>ROUND(I88*E88,2)</f>
        <v/>
      </c>
    </row>
    <row r="89" hidden="1" outlineLevel="1" ht="31.15" customFormat="1" customHeight="1" s="153">
      <c r="A89" s="169" t="n">
        <v>61</v>
      </c>
      <c r="B89" s="183" t="inlineStr">
        <is>
          <t>14.4.02.09-0301</t>
        </is>
      </c>
      <c r="C89" s="188" t="inlineStr">
        <is>
          <t>Композиция антикоррозионная цинкнаполненная</t>
        </is>
      </c>
      <c r="D89" s="191" t="inlineStr">
        <is>
          <t>кг</t>
        </is>
      </c>
      <c r="E89" s="189" t="n">
        <v>3.22</v>
      </c>
      <c r="F89" s="29" t="n">
        <v>238.48</v>
      </c>
      <c r="G89" s="177">
        <f>ROUND(F89*E89,2)</f>
        <v/>
      </c>
      <c r="H89" s="25">
        <f>G89/G140</f>
        <v/>
      </c>
      <c r="I89" s="177">
        <f>ROUND(F89*Прил.10!$D$12,2)</f>
        <v/>
      </c>
      <c r="J89" s="177">
        <f>ROUND(I89*E89,2)</f>
        <v/>
      </c>
    </row>
    <row r="90" hidden="1" outlineLevel="1" ht="31.15" customFormat="1" customHeight="1" s="153">
      <c r="A90" s="169" t="n">
        <v>62</v>
      </c>
      <c r="B90" s="183" t="inlineStr">
        <is>
          <t>01.7.11.07-0032</t>
        </is>
      </c>
      <c r="C90" s="188" t="inlineStr">
        <is>
          <t>Электроды сварочные Э42, диаметр 4 мм</t>
        </is>
      </c>
      <c r="D90" s="191" t="inlineStr">
        <is>
          <t>т</t>
        </is>
      </c>
      <c r="E90" s="189" t="n">
        <v>0.0738119</v>
      </c>
      <c r="F90" s="29" t="n">
        <v>10315.01</v>
      </c>
      <c r="G90" s="177">
        <f>ROUND(F90*E90,2)</f>
        <v/>
      </c>
      <c r="H90" s="25">
        <f>G90/G140</f>
        <v/>
      </c>
      <c r="I90" s="177">
        <f>ROUND(F90*Прил.10!$D$12,2)</f>
        <v/>
      </c>
      <c r="J90" s="177">
        <f>ROUND(I90*E90,2)</f>
        <v/>
      </c>
    </row>
    <row r="91" hidden="1" outlineLevel="1" ht="15.6" customFormat="1" customHeight="1" s="153">
      <c r="A91" s="169" t="n">
        <v>63</v>
      </c>
      <c r="B91" s="183" t="inlineStr">
        <is>
          <t>14.4.01.01-0003</t>
        </is>
      </c>
      <c r="C91" s="188" t="inlineStr">
        <is>
          <t>Грунтовка ГФ-021</t>
        </is>
      </c>
      <c r="D91" s="191" t="inlineStr">
        <is>
          <t>т</t>
        </is>
      </c>
      <c r="E91" s="189" t="n">
        <v>0.048636</v>
      </c>
      <c r="F91" s="29" t="n">
        <v>15620</v>
      </c>
      <c r="G91" s="177">
        <f>ROUND(F91*E91,2)</f>
        <v/>
      </c>
      <c r="H91" s="25">
        <f>G91/G140</f>
        <v/>
      </c>
      <c r="I91" s="177">
        <f>ROUND(F91*Прил.10!$D$12,2)</f>
        <v/>
      </c>
      <c r="J91" s="177">
        <f>ROUND(I91*E91,2)</f>
        <v/>
      </c>
    </row>
    <row r="92" hidden="1" outlineLevel="1" ht="31.15" customFormat="1" customHeight="1" s="153">
      <c r="A92" s="169" t="n">
        <v>64</v>
      </c>
      <c r="B92" s="183" t="inlineStr">
        <is>
          <t>02.2.05.04-1792</t>
        </is>
      </c>
      <c r="C92" s="188" t="inlineStr">
        <is>
          <t>Щебень М 1400, фракция 20-40 мм, группа 2</t>
        </is>
      </c>
      <c r="D92" s="191" t="inlineStr">
        <is>
          <t>м3</t>
        </is>
      </c>
      <c r="E92" s="189" t="n">
        <v>5</v>
      </c>
      <c r="F92" s="29" t="n">
        <v>140.9</v>
      </c>
      <c r="G92" s="177">
        <f>ROUND(F92*E92,2)</f>
        <v/>
      </c>
      <c r="H92" s="25">
        <f>G92/G140</f>
        <v/>
      </c>
      <c r="I92" s="177">
        <f>ROUND(F92*Прил.10!$D$12,2)</f>
        <v/>
      </c>
      <c r="J92" s="177">
        <f>ROUND(I92*E92,2)</f>
        <v/>
      </c>
    </row>
    <row r="93" hidden="1" outlineLevel="1" ht="15.6" customFormat="1" customHeight="1" s="153">
      <c r="A93" s="169" t="n">
        <v>65</v>
      </c>
      <c r="B93" s="183" t="inlineStr">
        <is>
          <t>14.4.04.08-0003</t>
        </is>
      </c>
      <c r="C93" s="188" t="inlineStr">
        <is>
          <t>Эмаль ПФ-115, серая</t>
        </is>
      </c>
      <c r="D93" s="191" t="inlineStr">
        <is>
          <t>т</t>
        </is>
      </c>
      <c r="E93" s="189" t="n">
        <v>0.048636</v>
      </c>
      <c r="F93" s="29" t="n">
        <v>14312.87</v>
      </c>
      <c r="G93" s="177">
        <f>ROUND(F93*E93,2)</f>
        <v/>
      </c>
      <c r="H93" s="25">
        <f>G93/G140</f>
        <v/>
      </c>
      <c r="I93" s="177">
        <f>ROUND(F93*Прил.10!$D$12,2)</f>
        <v/>
      </c>
      <c r="J93" s="177">
        <f>ROUND(I93*E93,2)</f>
        <v/>
      </c>
    </row>
    <row r="94" hidden="1" outlineLevel="1" ht="15.6" customFormat="1" customHeight="1" s="153">
      <c r="A94" s="169" t="n">
        <v>66</v>
      </c>
      <c r="B94" s="183" t="inlineStr">
        <is>
          <t>01.7.15.06-0111</t>
        </is>
      </c>
      <c r="C94" s="188" t="inlineStr">
        <is>
          <t>Гвозди строительные</t>
        </is>
      </c>
      <c r="D94" s="191" t="inlineStr">
        <is>
          <t>т</t>
        </is>
      </c>
      <c r="E94" s="189" t="n">
        <v>0.0505908</v>
      </c>
      <c r="F94" s="29" t="n">
        <v>11978</v>
      </c>
      <c r="G94" s="177">
        <f>ROUND(F94*E94,2)</f>
        <v/>
      </c>
      <c r="H94" s="25">
        <f>G94/G140</f>
        <v/>
      </c>
      <c r="I94" s="177">
        <f>ROUND(F94*Прил.10!$D$12,2)</f>
        <v/>
      </c>
      <c r="J94" s="177">
        <f>ROUND(I94*E94,2)</f>
        <v/>
      </c>
    </row>
    <row r="95" hidden="1" outlineLevel="1" ht="78" customFormat="1" customHeight="1" s="153">
      <c r="A95" s="169" t="n">
        <v>67</v>
      </c>
      <c r="B95" s="183" t="inlineStr">
        <is>
          <t>20.2.04.06-0089</t>
        </is>
      </c>
      <c r="C95" s="188" t="inlineStr">
        <is>
          <t>Короб кабельный угловой для поворота горизонтальной трассы вниз под углом 90 °, сейсмостойкий КУН-0,1/0,2 (ККПС-УН-0,1/0,2), горячеоцинкованный</t>
        </is>
      </c>
      <c r="D95" s="191" t="inlineStr">
        <is>
          <t>шт</t>
        </is>
      </c>
      <c r="E95" s="189" t="n">
        <v>2</v>
      </c>
      <c r="F95" s="29" t="n">
        <v>263.13</v>
      </c>
      <c r="G95" s="177">
        <f>ROUND(F95*E95,2)</f>
        <v/>
      </c>
      <c r="H95" s="25">
        <f>G95/G140</f>
        <v/>
      </c>
      <c r="I95" s="177">
        <f>ROUND(F95*Прил.10!$D$12,2)</f>
        <v/>
      </c>
      <c r="J95" s="177">
        <f>ROUND(I95*E95,2)</f>
        <v/>
      </c>
    </row>
    <row r="96" hidden="1" outlineLevel="1" ht="31.15" customFormat="1" customHeight="1" s="153">
      <c r="A96" s="169" t="n">
        <v>68</v>
      </c>
      <c r="B96" s="183" t="inlineStr">
        <is>
          <t>01.7.11.07-0040</t>
        </is>
      </c>
      <c r="C96" s="188" t="inlineStr">
        <is>
          <t>Электроды сварочные Э50А, диаметр 4 мм</t>
        </is>
      </c>
      <c r="D96" s="191" t="inlineStr">
        <is>
          <t>т</t>
        </is>
      </c>
      <c r="E96" s="189" t="n">
        <v>0.04333</v>
      </c>
      <c r="F96" s="29" t="n">
        <v>11524</v>
      </c>
      <c r="G96" s="177">
        <f>ROUND(F96*E96,2)</f>
        <v/>
      </c>
      <c r="H96" s="25">
        <f>G96/G140</f>
        <v/>
      </c>
      <c r="I96" s="177">
        <f>ROUND(F96*Прил.10!$D$12,2)</f>
        <v/>
      </c>
      <c r="J96" s="177">
        <f>ROUND(I96*E96,2)</f>
        <v/>
      </c>
    </row>
    <row r="97" hidden="1" outlineLevel="1" ht="31.15" customFormat="1" customHeight="1" s="153">
      <c r="A97" s="169" t="n">
        <v>69</v>
      </c>
      <c r="B97" s="183" t="inlineStr">
        <is>
          <t>08.3.11.01-0016</t>
        </is>
      </c>
      <c r="C97" s="188" t="inlineStr">
        <is>
          <t>Швеллеры № 12-40 сталь марки 0 (с 10-кратной оборачив.)</t>
        </is>
      </c>
      <c r="D97" s="191" t="inlineStr">
        <is>
          <t>т</t>
        </is>
      </c>
      <c r="E97" s="189" t="n">
        <v>0.08</v>
      </c>
      <c r="F97" s="29" t="n">
        <v>6054.11</v>
      </c>
      <c r="G97" s="177">
        <f>ROUND(F97*E97,2)</f>
        <v/>
      </c>
      <c r="H97" s="25">
        <f>G97/G140</f>
        <v/>
      </c>
      <c r="I97" s="177">
        <f>ROUND(F97*Прил.10!$D$12,2)</f>
        <v/>
      </c>
      <c r="J97" s="177">
        <f>ROUND(I97*E97,2)</f>
        <v/>
      </c>
    </row>
    <row r="98" hidden="1" outlineLevel="1" ht="31.15" customFormat="1" customHeight="1" s="153">
      <c r="A98" s="169" t="n">
        <v>70</v>
      </c>
      <c r="B98" s="183" t="inlineStr">
        <is>
          <t>01.7.11.07-0034</t>
        </is>
      </c>
      <c r="C98" s="188" t="inlineStr">
        <is>
          <t>Электроды сварочные Э42А, диаметр 4 мм</t>
        </is>
      </c>
      <c r="D98" s="191" t="inlineStr">
        <is>
          <t>кг</t>
        </is>
      </c>
      <c r="E98" s="189" t="n">
        <v>42.7848</v>
      </c>
      <c r="F98" s="29" t="n">
        <v>10.57</v>
      </c>
      <c r="G98" s="177">
        <f>ROUND(F98*E98,2)</f>
        <v/>
      </c>
      <c r="H98" s="25">
        <f>G98/G140</f>
        <v/>
      </c>
      <c r="I98" s="177">
        <f>ROUND(F98*Прил.10!$D$12,2)</f>
        <v/>
      </c>
      <c r="J98" s="177">
        <f>ROUND(I98*E98,2)</f>
        <v/>
      </c>
    </row>
    <row r="99" hidden="1" outlineLevel="1" ht="15.6" customFormat="1" customHeight="1" s="153">
      <c r="A99" s="169" t="n">
        <v>71</v>
      </c>
      <c r="B99" s="183" t="inlineStr">
        <is>
          <t>11.2.13.04-0011</t>
        </is>
      </c>
      <c r="C99" s="188" t="inlineStr">
        <is>
          <t>Щиты из досок, толщина 25 мм</t>
        </is>
      </c>
      <c r="D99" s="191" t="inlineStr">
        <is>
          <t>м2</t>
        </is>
      </c>
      <c r="E99" s="189" t="n">
        <v>10.9335</v>
      </c>
      <c r="F99" s="29" t="n">
        <v>35.53</v>
      </c>
      <c r="G99" s="177">
        <f>ROUND(F99*E99,2)</f>
        <v/>
      </c>
      <c r="H99" s="25">
        <f>G99/G140</f>
        <v/>
      </c>
      <c r="I99" s="177">
        <f>ROUND(F99*Прил.10!$D$12,2)</f>
        <v/>
      </c>
      <c r="J99" s="177">
        <f>ROUND(I99*E99,2)</f>
        <v/>
      </c>
    </row>
    <row r="100" hidden="1" outlineLevel="1" ht="15.6" customFormat="1" customHeight="1" s="153">
      <c r="A100" s="169" t="n">
        <v>72</v>
      </c>
      <c r="B100" s="183" t="inlineStr">
        <is>
          <t>20.2.08.07-0033</t>
        </is>
      </c>
      <c r="C100" s="188" t="inlineStr">
        <is>
          <t>Скоба У1078</t>
        </is>
      </c>
      <c r="D100" s="191" t="inlineStr">
        <is>
          <t>100 шт</t>
        </is>
      </c>
      <c r="E100" s="189" t="n">
        <v>0.6292</v>
      </c>
      <c r="F100" s="29" t="n">
        <v>617</v>
      </c>
      <c r="G100" s="177">
        <f>ROUND(F100*E100,2)</f>
        <v/>
      </c>
      <c r="H100" s="25">
        <f>G100/G140</f>
        <v/>
      </c>
      <c r="I100" s="177">
        <f>ROUND(F100*Прил.10!$D$12,2)</f>
        <v/>
      </c>
      <c r="J100" s="177">
        <f>ROUND(I100*E100,2)</f>
        <v/>
      </c>
    </row>
    <row r="101" hidden="1" outlineLevel="1" ht="31.15" customFormat="1" customHeight="1" s="153">
      <c r="A101" s="169" t="n">
        <v>73</v>
      </c>
      <c r="B101" s="183" t="inlineStr">
        <is>
          <t>01.7.07.12-0024</t>
        </is>
      </c>
      <c r="C101" s="188" t="inlineStr">
        <is>
          <t>Пленка полиэтиленовая, толщина 0,15 мм</t>
        </is>
      </c>
      <c r="D101" s="191" t="inlineStr">
        <is>
          <t>м2</t>
        </is>
      </c>
      <c r="E101" s="189" t="n">
        <v>105.1705</v>
      </c>
      <c r="F101" s="29" t="n">
        <v>3.62</v>
      </c>
      <c r="G101" s="177">
        <f>ROUND(F101*E101,2)</f>
        <v/>
      </c>
      <c r="H101" s="25">
        <f>G101/G140</f>
        <v/>
      </c>
      <c r="I101" s="177">
        <f>ROUND(F101*Прил.10!$D$12,2)</f>
        <v/>
      </c>
      <c r="J101" s="177">
        <f>ROUND(I101*E101,2)</f>
        <v/>
      </c>
    </row>
    <row r="102" hidden="1" outlineLevel="1" ht="15.6" customFormat="1" customHeight="1" s="153">
      <c r="A102" s="169" t="n">
        <v>74</v>
      </c>
      <c r="B102" s="183" t="inlineStr">
        <is>
          <t>01.3.02.08-0001</t>
        </is>
      </c>
      <c r="C102" s="188" t="inlineStr">
        <is>
          <t>Кислород газообразный технический</t>
        </is>
      </c>
      <c r="D102" s="191" t="inlineStr">
        <is>
          <t>м3</t>
        </is>
      </c>
      <c r="E102" s="189" t="n">
        <v>60.89059</v>
      </c>
      <c r="F102" s="29" t="n">
        <v>6.22</v>
      </c>
      <c r="G102" s="177">
        <f>ROUND(F102*E102,2)</f>
        <v/>
      </c>
      <c r="H102" s="25">
        <f>G102/G140</f>
        <v/>
      </c>
      <c r="I102" s="177">
        <f>ROUND(F102*Прил.10!$D$12,2)</f>
        <v/>
      </c>
      <c r="J102" s="177">
        <f>ROUND(I102*E102,2)</f>
        <v/>
      </c>
    </row>
    <row r="103" hidden="1" outlineLevel="1" ht="15.6" customFormat="1" customHeight="1" s="153">
      <c r="A103" s="169" t="n">
        <v>75</v>
      </c>
      <c r="B103" s="183" t="inlineStr">
        <is>
          <t>20.2.03.03-0002</t>
        </is>
      </c>
      <c r="C103" s="188" t="inlineStr">
        <is>
          <t>Консоль кабельная стальная К-250</t>
        </is>
      </c>
      <c r="D103" s="191" t="inlineStr">
        <is>
          <t>шт</t>
        </is>
      </c>
      <c r="E103" s="189" t="n">
        <v>24</v>
      </c>
      <c r="F103" s="29" t="n">
        <v>13.34</v>
      </c>
      <c r="G103" s="177">
        <f>ROUND(F103*E103,2)</f>
        <v/>
      </c>
      <c r="H103" s="25">
        <f>G103/G140</f>
        <v/>
      </c>
      <c r="I103" s="177">
        <f>ROUND(F103*Прил.10!$D$12,2)</f>
        <v/>
      </c>
      <c r="J103" s="177">
        <f>ROUND(I103*E103,2)</f>
        <v/>
      </c>
    </row>
    <row r="104" hidden="1" outlineLevel="1" ht="78" customFormat="1" customHeight="1" s="153">
      <c r="A104" s="169" t="n">
        <v>76</v>
      </c>
      <c r="B104" s="183" t="inlineStr">
        <is>
          <t>07.2.07.12-0020</t>
        </is>
      </c>
      <c r="C104" s="188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04" s="191" t="inlineStr">
        <is>
          <t>т</t>
        </is>
      </c>
      <c r="E104" s="189" t="n">
        <v>0.0413485</v>
      </c>
      <c r="F104" s="29" t="n">
        <v>7712</v>
      </c>
      <c r="G104" s="177">
        <f>ROUND(F104*E104,2)</f>
        <v/>
      </c>
      <c r="H104" s="25">
        <f>G104/G140</f>
        <v/>
      </c>
      <c r="I104" s="177">
        <f>ROUND(F104*Прил.10!$D$12,2)</f>
        <v/>
      </c>
      <c r="J104" s="177">
        <f>ROUND(I104*E104,2)</f>
        <v/>
      </c>
    </row>
    <row r="105" hidden="1" outlineLevel="1" ht="15.6" customFormat="1" customHeight="1" s="153">
      <c r="A105" s="169" t="n">
        <v>77</v>
      </c>
      <c r="B105" s="183" t="inlineStr">
        <is>
          <t>08.3.11.01-0091</t>
        </is>
      </c>
      <c r="C105" s="188" t="inlineStr">
        <is>
          <t>Швеллеры № 40, марка стали Ст0</t>
        </is>
      </c>
      <c r="D105" s="191" t="inlineStr">
        <is>
          <t>т</t>
        </is>
      </c>
      <c r="E105" s="189" t="n">
        <v>0.0516642</v>
      </c>
      <c r="F105" s="29" t="n">
        <v>4920</v>
      </c>
      <c r="G105" s="177">
        <f>ROUND(F105*E105,2)</f>
        <v/>
      </c>
      <c r="H105" s="25">
        <f>G105/G140</f>
        <v/>
      </c>
      <c r="I105" s="177">
        <f>ROUND(F105*Прил.10!$D$12,2)</f>
        <v/>
      </c>
      <c r="J105" s="177">
        <f>ROUND(I105*E105,2)</f>
        <v/>
      </c>
    </row>
    <row r="106" hidden="1" outlineLevel="1" ht="15.6" customFormat="1" customHeight="1" s="153">
      <c r="A106" s="169" t="n">
        <v>78</v>
      </c>
      <c r="B106" s="183" t="inlineStr">
        <is>
          <t>01.7.07.29-0031</t>
        </is>
      </c>
      <c r="C106" s="188" t="inlineStr">
        <is>
          <t>Каболка</t>
        </is>
      </c>
      <c r="D106" s="191" t="inlineStr">
        <is>
          <t>т</t>
        </is>
      </c>
      <c r="E106" s="189" t="n">
        <v>0.00804</v>
      </c>
      <c r="F106" s="29" t="n">
        <v>30030</v>
      </c>
      <c r="G106" s="177">
        <f>ROUND(F106*E106,2)</f>
        <v/>
      </c>
      <c r="H106" s="25">
        <f>G106/G140</f>
        <v/>
      </c>
      <c r="I106" s="177">
        <f>ROUND(F106*Прил.10!$D$12,2)</f>
        <v/>
      </c>
      <c r="J106" s="177">
        <f>ROUND(I106*E106,2)</f>
        <v/>
      </c>
    </row>
    <row r="107" hidden="1" outlineLevel="1" ht="31.15" customFormat="1" customHeight="1" s="153">
      <c r="A107" s="169" t="n">
        <v>79</v>
      </c>
      <c r="B107" s="183" t="inlineStr">
        <is>
          <t>01.7.11.07-0036</t>
        </is>
      </c>
      <c r="C107" s="188" t="inlineStr">
        <is>
          <t>Электроды сварочные Э46, диаметр 4 мм</t>
        </is>
      </c>
      <c r="D107" s="191" t="inlineStr">
        <is>
          <t>кг</t>
        </is>
      </c>
      <c r="E107" s="189" t="n">
        <v>20.4517</v>
      </c>
      <c r="F107" s="29" t="n">
        <v>10.75</v>
      </c>
      <c r="G107" s="177">
        <f>ROUND(F107*E107,2)</f>
        <v/>
      </c>
      <c r="H107" s="25">
        <f>G107/G140</f>
        <v/>
      </c>
      <c r="I107" s="177">
        <f>ROUND(F107*Прил.10!$D$12,2)</f>
        <v/>
      </c>
      <c r="J107" s="177">
        <f>ROUND(I107*E107,2)</f>
        <v/>
      </c>
    </row>
    <row r="108" hidden="1" outlineLevel="1" ht="31.15" customFormat="1" customHeight="1" s="153">
      <c r="A108" s="169" t="n">
        <v>80</v>
      </c>
      <c r="B108" s="183" t="inlineStr">
        <is>
          <t>01.7.15.07-0014</t>
        </is>
      </c>
      <c r="C108" s="188" t="inlineStr">
        <is>
          <t>Дюбели распорные полипропиленовые</t>
        </is>
      </c>
      <c r="D108" s="191" t="inlineStr">
        <is>
          <t>100 шт</t>
        </is>
      </c>
      <c r="E108" s="189" t="n">
        <v>2.288</v>
      </c>
      <c r="F108" s="29" t="n">
        <v>86</v>
      </c>
      <c r="G108" s="177">
        <f>ROUND(F108*E108,2)</f>
        <v/>
      </c>
      <c r="H108" s="25">
        <f>G108/G140</f>
        <v/>
      </c>
      <c r="I108" s="177">
        <f>ROUND(F108*Прил.10!$D$12,2)</f>
        <v/>
      </c>
      <c r="J108" s="177">
        <f>ROUND(I108*E108,2)</f>
        <v/>
      </c>
    </row>
    <row r="109" hidden="1" outlineLevel="1" ht="15.6" customFormat="1" customHeight="1" s="153">
      <c r="A109" s="169" t="n">
        <v>81</v>
      </c>
      <c r="B109" s="183" t="inlineStr">
        <is>
          <t>12.2.03.15-0061</t>
        </is>
      </c>
      <c r="C109" s="188" t="inlineStr">
        <is>
          <t>Хлорметилен</t>
        </is>
      </c>
      <c r="D109" s="191" t="inlineStr">
        <is>
          <t>кг</t>
        </is>
      </c>
      <c r="E109" s="189" t="n">
        <v>2.7</v>
      </c>
      <c r="F109" s="29" t="n">
        <v>65.3</v>
      </c>
      <c r="G109" s="177">
        <f>ROUND(F109*E109,2)</f>
        <v/>
      </c>
      <c r="H109" s="25">
        <f>G109/G140</f>
        <v/>
      </c>
      <c r="I109" s="177">
        <f>ROUND(F109*Прил.10!$D$12,2)</f>
        <v/>
      </c>
      <c r="J109" s="177">
        <f>ROUND(I109*E109,2)</f>
        <v/>
      </c>
    </row>
    <row r="110" hidden="1" outlineLevel="1" ht="15.6" customFormat="1" customHeight="1" s="153">
      <c r="A110" s="169" t="n">
        <v>82</v>
      </c>
      <c r="B110" s="183" t="inlineStr">
        <is>
          <t>14.5.09.07-0030</t>
        </is>
      </c>
      <c r="C110" s="188" t="inlineStr">
        <is>
          <t>Растворитель Р-4</t>
        </is>
      </c>
      <c r="D110" s="191" t="inlineStr">
        <is>
          <t>кг</t>
        </is>
      </c>
      <c r="E110" s="189" t="n">
        <v>15.9786</v>
      </c>
      <c r="F110" s="29" t="n">
        <v>9.42</v>
      </c>
      <c r="G110" s="177">
        <f>ROUND(F110*E110,2)</f>
        <v/>
      </c>
      <c r="H110" s="25">
        <f>G110/G140</f>
        <v/>
      </c>
      <c r="I110" s="177">
        <f>ROUND(F110*Прил.10!$D$12,2)</f>
        <v/>
      </c>
      <c r="J110" s="177">
        <f>ROUND(I110*E110,2)</f>
        <v/>
      </c>
    </row>
    <row r="111" hidden="1" outlineLevel="1" ht="31.15" customFormat="1" customHeight="1" s="153">
      <c r="A111" s="169" t="n">
        <v>83</v>
      </c>
      <c r="B111" s="183" t="inlineStr">
        <is>
          <t>04.1.02.05-0011</t>
        </is>
      </c>
      <c r="C111" s="188" t="inlineStr">
        <is>
          <t>Смеси бетонные тяжелого бетона (БСТ), класс В30 (М400)</t>
        </is>
      </c>
      <c r="D111" s="191" t="inlineStr">
        <is>
          <t>м3</t>
        </is>
      </c>
      <c r="E111" s="189" t="n">
        <v>0.1632</v>
      </c>
      <c r="F111" s="29" t="n">
        <v>790</v>
      </c>
      <c r="G111" s="177">
        <f>ROUND(F111*E111,2)</f>
        <v/>
      </c>
      <c r="H111" s="25">
        <f>G111/G140</f>
        <v/>
      </c>
      <c r="I111" s="177">
        <f>ROUND(F111*Прил.10!$D$12,2)</f>
        <v/>
      </c>
      <c r="J111" s="177">
        <f>ROUND(I111*E111,2)</f>
        <v/>
      </c>
    </row>
    <row r="112" hidden="1" outlineLevel="1" ht="46.9" customFormat="1" customHeight="1" s="153">
      <c r="A112" s="169" t="n">
        <v>84</v>
      </c>
      <c r="B112" s="183" t="inlineStr">
        <is>
          <t>08.4.02.03-0001</t>
        </is>
      </c>
      <c r="C112" s="188" t="inlineStr">
        <is>
          <t>Каркасы арматурные класса А-I диаметром: 8 мм (с учетом 1 % на отходы) 0,017х1,01</t>
        </is>
      </c>
      <c r="D112" s="191" t="inlineStr">
        <is>
          <t>т</t>
        </is>
      </c>
      <c r="E112" s="189" t="n">
        <v>0.0172</v>
      </c>
      <c r="F112" s="29" t="n">
        <v>7325.47</v>
      </c>
      <c r="G112" s="177">
        <f>ROUND(F112*E112,2)</f>
        <v/>
      </c>
      <c r="H112" s="25">
        <f>G112/G140</f>
        <v/>
      </c>
      <c r="I112" s="177">
        <f>ROUND(F112*Прил.10!$D$12,2)</f>
        <v/>
      </c>
      <c r="J112" s="177">
        <f>ROUND(I112*E112,2)</f>
        <v/>
      </c>
    </row>
    <row r="113" hidden="1" outlineLevel="1" ht="46.9" customFormat="1" customHeight="1" s="153">
      <c r="A113" s="169" t="n">
        <v>85</v>
      </c>
      <c r="B113" s="183" t="inlineStr">
        <is>
          <t>08.3.01.01-0023</t>
        </is>
      </c>
      <c r="C113" s="188" t="inlineStr">
        <is>
          <t>Сталь двутавровая горячекатаная обычная, марка Ст0 (с 10-кратной оборачив.)</t>
        </is>
      </c>
      <c r="D113" s="191" t="inlineStr">
        <is>
          <t>т</t>
        </is>
      </c>
      <c r="E113" s="189" t="n">
        <v>0.015</v>
      </c>
      <c r="F113" s="29" t="n">
        <v>8237.27</v>
      </c>
      <c r="G113" s="177">
        <f>ROUND(F113*E113,2)</f>
        <v/>
      </c>
      <c r="H113" s="25">
        <f>G113/G140</f>
        <v/>
      </c>
      <c r="I113" s="177">
        <f>ROUND(F113*Прил.10!$D$12,2)</f>
        <v/>
      </c>
      <c r="J113" s="177">
        <f>ROUND(I113*E113,2)</f>
        <v/>
      </c>
    </row>
    <row r="114" hidden="1" outlineLevel="1" ht="15.6" customFormat="1" customHeight="1" s="153">
      <c r="A114" s="169" t="n">
        <v>86</v>
      </c>
      <c r="B114" s="183" t="inlineStr">
        <is>
          <t>01.7.20.08-0071</t>
        </is>
      </c>
      <c r="C114" s="188" t="inlineStr">
        <is>
          <t>Канат пеньковый пропитанный</t>
        </is>
      </c>
      <c r="D114" s="191" t="inlineStr">
        <is>
          <t>т</t>
        </is>
      </c>
      <c r="E114" s="189" t="n">
        <v>0.0026631</v>
      </c>
      <c r="F114" s="29" t="n">
        <v>37900</v>
      </c>
      <c r="G114" s="177">
        <f>ROUND(F114*E114,2)</f>
        <v/>
      </c>
      <c r="H114" s="25">
        <f>G114/G140</f>
        <v/>
      </c>
      <c r="I114" s="177">
        <f>ROUND(F114*Прил.10!$D$12,2)</f>
        <v/>
      </c>
      <c r="J114" s="177">
        <f>ROUND(I114*E114,2)</f>
        <v/>
      </c>
    </row>
    <row r="115" hidden="1" outlineLevel="1" ht="15.6" customFormat="1" customHeight="1" s="153">
      <c r="A115" s="169" t="n">
        <v>87</v>
      </c>
      <c r="B115" s="183" t="inlineStr">
        <is>
          <t>01.3.02.09-0022</t>
        </is>
      </c>
      <c r="C115" s="188" t="inlineStr">
        <is>
          <t>Пропан-бутан смесь техническая</t>
        </is>
      </c>
      <c r="D115" s="191" t="inlineStr">
        <is>
          <t>кг</t>
        </is>
      </c>
      <c r="E115" s="189" t="n">
        <v>15.44963</v>
      </c>
      <c r="F115" s="29" t="n">
        <v>6.09</v>
      </c>
      <c r="G115" s="177">
        <f>ROUND(F115*E115,2)</f>
        <v/>
      </c>
      <c r="H115" s="25">
        <f>G115/G140</f>
        <v/>
      </c>
      <c r="I115" s="177">
        <f>ROUND(F115*Прил.10!$D$12,2)</f>
        <v/>
      </c>
      <c r="J115" s="177">
        <f>ROUND(I115*E115,2)</f>
        <v/>
      </c>
    </row>
    <row r="116" hidden="1" outlineLevel="1" ht="15.6" customFormat="1" customHeight="1" s="153">
      <c r="A116" s="169" t="n">
        <v>88</v>
      </c>
      <c r="B116" s="183" t="inlineStr">
        <is>
          <t>01.7.03.01-0001</t>
        </is>
      </c>
      <c r="C116" s="188" t="inlineStr">
        <is>
          <t>Вода</t>
        </is>
      </c>
      <c r="D116" s="191" t="inlineStr">
        <is>
          <t>м3</t>
        </is>
      </c>
      <c r="E116" s="189" t="n">
        <v>35.334207</v>
      </c>
      <c r="F116" s="29" t="n">
        <v>2.44</v>
      </c>
      <c r="G116" s="177">
        <f>ROUND(F116*E116,2)</f>
        <v/>
      </c>
      <c r="H116" s="25">
        <f>G116/G140</f>
        <v/>
      </c>
      <c r="I116" s="177">
        <f>ROUND(F116*Прил.10!$D$12,2)</f>
        <v/>
      </c>
      <c r="J116" s="177">
        <f>ROUND(I116*E116,2)</f>
        <v/>
      </c>
    </row>
    <row r="117" hidden="1" outlineLevel="1" ht="15.6" customFormat="1" customHeight="1" s="153">
      <c r="A117" s="169" t="n">
        <v>89</v>
      </c>
      <c r="B117" s="183" t="inlineStr">
        <is>
          <t>12.2.03.15-0021</t>
        </is>
      </c>
      <c r="C117" s="188" t="inlineStr">
        <is>
          <t>Диоктилфталат</t>
        </is>
      </c>
      <c r="D117" s="191" t="inlineStr">
        <is>
          <t>кг</t>
        </is>
      </c>
      <c r="E117" s="189" t="n">
        <v>4.5</v>
      </c>
      <c r="F117" s="29" t="n">
        <v>18.4</v>
      </c>
      <c r="G117" s="177">
        <f>ROUND(F117*E117,2)</f>
        <v/>
      </c>
      <c r="H117" s="25">
        <f>G117/G140</f>
        <v/>
      </c>
      <c r="I117" s="177">
        <f>ROUND(F117*Прил.10!$D$12,2)</f>
        <v/>
      </c>
      <c r="J117" s="177">
        <f>ROUND(I117*E117,2)</f>
        <v/>
      </c>
    </row>
    <row r="118" hidden="1" outlineLevel="1" ht="15.6" customFormat="1" customHeight="1" s="153">
      <c r="A118" s="169" t="n">
        <v>90</v>
      </c>
      <c r="B118" s="183" t="inlineStr">
        <is>
          <t>01.3.02.03-0001</t>
        </is>
      </c>
      <c r="C118" s="188" t="inlineStr">
        <is>
          <t>Ацетилен газообразный технический</t>
        </is>
      </c>
      <c r="D118" s="191" t="inlineStr">
        <is>
          <t>м3</t>
        </is>
      </c>
      <c r="E118" s="189" t="n">
        <v>1.8</v>
      </c>
      <c r="F118" s="29" t="n">
        <v>38.51</v>
      </c>
      <c r="G118" s="177">
        <f>ROUND(F118*E118,2)</f>
        <v/>
      </c>
      <c r="H118" s="25">
        <f>G118/G140</f>
        <v/>
      </c>
      <c r="I118" s="177">
        <f>ROUND(F118*Прил.10!$D$12,2)</f>
        <v/>
      </c>
      <c r="J118" s="177">
        <f>ROUND(I118*E118,2)</f>
        <v/>
      </c>
    </row>
    <row r="119" hidden="1" outlineLevel="1" ht="15.6" customFormat="1" customHeight="1" s="153">
      <c r="A119" s="169" t="n">
        <v>91</v>
      </c>
      <c r="B119" s="183" t="inlineStr">
        <is>
          <t>01.3.01.03-0002</t>
        </is>
      </c>
      <c r="C119" s="188" t="inlineStr">
        <is>
          <t>Керосин для технических целей</t>
        </is>
      </c>
      <c r="D119" s="191" t="inlineStr">
        <is>
          <t>т</t>
        </is>
      </c>
      <c r="E119" s="189" t="n">
        <v>0.02508</v>
      </c>
      <c r="F119" s="29" t="n">
        <v>2606.9</v>
      </c>
      <c r="G119" s="177">
        <f>ROUND(F119*E119,2)</f>
        <v/>
      </c>
      <c r="H119" s="25">
        <f>G119/G140</f>
        <v/>
      </c>
      <c r="I119" s="177">
        <f>ROUND(F119*Прил.10!$D$12,2)</f>
        <v/>
      </c>
      <c r="J119" s="177">
        <f>ROUND(I119*E119,2)</f>
        <v/>
      </c>
    </row>
    <row r="120" hidden="1" outlineLevel="1" ht="15.6" customFormat="1" customHeight="1" s="153">
      <c r="A120" s="169" t="n">
        <v>92</v>
      </c>
      <c r="B120" s="183" t="inlineStr">
        <is>
          <t>14.5.09.02-0002</t>
        </is>
      </c>
      <c r="C120" s="188" t="inlineStr">
        <is>
          <t>Ксилол нефтяной, марка А</t>
        </is>
      </c>
      <c r="D120" s="191" t="inlineStr">
        <is>
          <t>т</t>
        </is>
      </c>
      <c r="E120" s="189" t="n">
        <v>0.008106</v>
      </c>
      <c r="F120" s="29" t="n">
        <v>7640</v>
      </c>
      <c r="G120" s="177">
        <f>ROUND(F120*E120,2)</f>
        <v/>
      </c>
      <c r="H120" s="25">
        <f>G120/G140</f>
        <v/>
      </c>
      <c r="I120" s="177">
        <f>ROUND(F120*Прил.10!$D$12,2)</f>
        <v/>
      </c>
      <c r="J120" s="177">
        <f>ROUND(I120*E120,2)</f>
        <v/>
      </c>
    </row>
    <row r="121" hidden="1" outlineLevel="1" ht="31.15" customFormat="1" customHeight="1" s="153">
      <c r="A121" s="169" t="n">
        <v>93</v>
      </c>
      <c r="B121" s="183" t="inlineStr">
        <is>
          <t>01.7.06.03-0022</t>
        </is>
      </c>
      <c r="C121" s="188" t="inlineStr">
        <is>
          <t>Лента полиэтиленовая с липким слоем А50</t>
        </is>
      </c>
      <c r="D121" s="191" t="inlineStr">
        <is>
          <t>кг</t>
        </is>
      </c>
      <c r="E121" s="189" t="n">
        <v>0.4734</v>
      </c>
      <c r="F121" s="29" t="n">
        <v>112</v>
      </c>
      <c r="G121" s="177">
        <f>ROUND(F121*E121,2)</f>
        <v/>
      </c>
      <c r="H121" s="25">
        <f>G121/G140</f>
        <v/>
      </c>
      <c r="I121" s="177">
        <f>ROUND(F121*Прил.10!$D$12,2)</f>
        <v/>
      </c>
      <c r="J121" s="177">
        <f>ROUND(I121*E121,2)</f>
        <v/>
      </c>
    </row>
    <row r="122" hidden="1" outlineLevel="1" ht="15.6" customFormat="1" customHeight="1" s="153">
      <c r="A122" s="169" t="n">
        <v>94</v>
      </c>
      <c r="B122" s="183" t="inlineStr">
        <is>
          <t>14.5.09.11-0102</t>
        </is>
      </c>
      <c r="C122" s="188" t="inlineStr">
        <is>
          <t>Уайт-спирит</t>
        </is>
      </c>
      <c r="D122" s="191" t="inlineStr">
        <is>
          <t>кг</t>
        </is>
      </c>
      <c r="E122" s="189" t="n">
        <v>7.5656</v>
      </c>
      <c r="F122" s="29" t="n">
        <v>6.67</v>
      </c>
      <c r="G122" s="177">
        <f>ROUND(F122*E122,2)</f>
        <v/>
      </c>
      <c r="H122" s="25">
        <f>G122/G140</f>
        <v/>
      </c>
      <c r="I122" s="177">
        <f>ROUND(F122*Прил.10!$D$12,2)</f>
        <v/>
      </c>
      <c r="J122" s="177">
        <f>ROUND(I122*E122,2)</f>
        <v/>
      </c>
    </row>
    <row r="123" hidden="1" outlineLevel="1" ht="46.9" customFormat="1" customHeight="1" s="153">
      <c r="A123" s="169" t="n">
        <v>95</v>
      </c>
      <c r="B123" s="183" t="inlineStr">
        <is>
          <t>11.1.03.01-0077</t>
        </is>
      </c>
      <c r="C123" s="188" t="inlineStr">
        <is>
          <t>Бруски обрезные, хвойных пород, длина 4-6,5 м, ширина 75-150 мм, толщина 40-75 мм, сорт I</t>
        </is>
      </c>
      <c r="D123" s="191" t="inlineStr">
        <is>
          <t>м3</t>
        </is>
      </c>
      <c r="E123" s="189" t="n">
        <v>0.02743</v>
      </c>
      <c r="F123" s="29" t="n">
        <v>1700</v>
      </c>
      <c r="G123" s="177">
        <f>ROUND(F123*E123,2)</f>
        <v/>
      </c>
      <c r="H123" s="25">
        <f>G123/G140</f>
        <v/>
      </c>
      <c r="I123" s="177">
        <f>ROUND(F123*Прил.10!$D$12,2)</f>
        <v/>
      </c>
      <c r="J123" s="177">
        <f>ROUND(I123*E123,2)</f>
        <v/>
      </c>
    </row>
    <row r="124" hidden="1" outlineLevel="1" ht="31.15" customFormat="1" customHeight="1" s="153">
      <c r="A124" s="169" t="n">
        <v>96</v>
      </c>
      <c r="B124" s="183" t="inlineStr">
        <is>
          <t>08.1.02.11-0001</t>
        </is>
      </c>
      <c r="C124" s="188" t="inlineStr">
        <is>
          <t>Поковки из квадратных заготовок, масса 1,8 кг</t>
        </is>
      </c>
      <c r="D124" s="191" t="inlineStr">
        <is>
          <t>т</t>
        </is>
      </c>
      <c r="E124" s="189" t="n">
        <v>0.00674</v>
      </c>
      <c r="F124" s="29" t="n">
        <v>5989</v>
      </c>
      <c r="G124" s="177">
        <f>ROUND(F124*E124,2)</f>
        <v/>
      </c>
      <c r="H124" s="25">
        <f>G124/G140</f>
        <v/>
      </c>
      <c r="I124" s="177">
        <f>ROUND(F124*Прил.10!$D$12,2)</f>
        <v/>
      </c>
      <c r="J124" s="177">
        <f>ROUND(I124*E124,2)</f>
        <v/>
      </c>
    </row>
    <row r="125" hidden="1" outlineLevel="1" ht="15.6" customFormat="1" customHeight="1" s="153">
      <c r="A125" s="169" t="n">
        <v>97</v>
      </c>
      <c r="B125" s="183" t="inlineStr">
        <is>
          <t>01.2.01.02-0001</t>
        </is>
      </c>
      <c r="C125" s="188" t="inlineStr">
        <is>
          <t>Битум горячий</t>
        </is>
      </c>
      <c r="D125" s="191" t="inlineStr">
        <is>
          <t>т</t>
        </is>
      </c>
      <c r="E125" s="189" t="n">
        <v>0.01672</v>
      </c>
      <c r="F125" s="29" t="n">
        <v>1946.91</v>
      </c>
      <c r="G125" s="177">
        <f>ROUND(F125*E125,2)</f>
        <v/>
      </c>
      <c r="H125" s="25">
        <f>G125/G140</f>
        <v/>
      </c>
      <c r="I125" s="177">
        <f>ROUND(F125*Прил.10!$D$12,2)</f>
        <v/>
      </c>
      <c r="J125" s="177">
        <f>ROUND(I125*E125,2)</f>
        <v/>
      </c>
    </row>
    <row r="126" hidden="1" outlineLevel="1" ht="46.9" customFormat="1" customHeight="1" s="153">
      <c r="A126" s="169" t="n">
        <v>98</v>
      </c>
      <c r="B126" s="183" t="inlineStr">
        <is>
          <t>08.3.05.02-0101</t>
        </is>
      </c>
      <c r="C126" s="188" t="inlineStr">
        <is>
          <t>Прокат толстолистовой горячекатаный в листах, марка стали ВСт3пс5, толщина 4-6 мм</t>
        </is>
      </c>
      <c r="D126" s="191" t="inlineStr">
        <is>
          <t>т</t>
        </is>
      </c>
      <c r="E126" s="189" t="n">
        <v>0.0056</v>
      </c>
      <c r="F126" s="29" t="n">
        <v>5763</v>
      </c>
      <c r="G126" s="177">
        <f>ROUND(F126*E126,2)</f>
        <v/>
      </c>
      <c r="H126" s="25">
        <f>G126/G140</f>
        <v/>
      </c>
      <c r="I126" s="177">
        <f>ROUND(F126*Прил.10!$D$12,2)</f>
        <v/>
      </c>
      <c r="J126" s="177">
        <f>ROUND(I126*E126,2)</f>
        <v/>
      </c>
    </row>
    <row r="127" hidden="1" outlineLevel="1" ht="31.15" customFormat="1" customHeight="1" s="153">
      <c r="A127" s="169" t="n">
        <v>99</v>
      </c>
      <c r="B127" s="183" t="inlineStr">
        <is>
          <t>08.3.03.06-0002</t>
        </is>
      </c>
      <c r="C127" s="188" t="inlineStr">
        <is>
          <t>Проволока горячекатаная в мотках, диаметр 6,3-6,5 мм</t>
        </is>
      </c>
      <c r="D127" s="191" t="inlineStr">
        <is>
          <t>т</t>
        </is>
      </c>
      <c r="E127" s="189" t="n">
        <v>0.0063249</v>
      </c>
      <c r="F127" s="29" t="n">
        <v>4455.2</v>
      </c>
      <c r="G127" s="177">
        <f>ROUND(F127*E127,2)</f>
        <v/>
      </c>
      <c r="H127" s="25">
        <f>G127/G140</f>
        <v/>
      </c>
      <c r="I127" s="177">
        <f>ROUND(F127*Прил.10!$D$12,2)</f>
        <v/>
      </c>
      <c r="J127" s="177">
        <f>ROUND(I127*E127,2)</f>
        <v/>
      </c>
    </row>
    <row r="128" hidden="1" outlineLevel="1" ht="78" customFormat="1" customHeight="1" s="153">
      <c r="A128" s="169" t="n">
        <v>100</v>
      </c>
      <c r="B128" s="183" t="inlineStr">
        <is>
          <t>08.2.02.11-0007</t>
        </is>
      </c>
      <c r="C128" s="18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28" s="191" t="inlineStr">
        <is>
          <t>10 м</t>
        </is>
      </c>
      <c r="E128" s="189" t="n">
        <v>0.4979997</v>
      </c>
      <c r="F128" s="29" t="n">
        <v>50.24</v>
      </c>
      <c r="G128" s="177">
        <f>ROUND(F128*E128,2)</f>
        <v/>
      </c>
      <c r="H128" s="25">
        <f>G128/G140</f>
        <v/>
      </c>
      <c r="I128" s="177">
        <f>ROUND(F128*Прил.10!$D$12,2)</f>
        <v/>
      </c>
      <c r="J128" s="177">
        <f>ROUND(I128*E128,2)</f>
        <v/>
      </c>
    </row>
    <row r="129" hidden="1" outlineLevel="1" ht="15.6" customFormat="1" customHeight="1" s="153">
      <c r="A129" s="169" t="n">
        <v>101</v>
      </c>
      <c r="B129" s="183" t="inlineStr">
        <is>
          <t>01.1.02.10-1022</t>
        </is>
      </c>
      <c r="C129" s="188" t="inlineStr">
        <is>
          <t>Хризотил, группа 6К</t>
        </is>
      </c>
      <c r="D129" s="191" t="inlineStr">
        <is>
          <t>т</t>
        </is>
      </c>
      <c r="E129" s="189" t="n">
        <v>0.009599999999999999</v>
      </c>
      <c r="F129" s="29" t="n">
        <v>1160</v>
      </c>
      <c r="G129" s="177">
        <f>ROUND(F129*E129,2)</f>
        <v/>
      </c>
      <c r="H129" s="25">
        <f>G129/G140</f>
        <v/>
      </c>
      <c r="I129" s="177">
        <f>ROUND(F129*Прил.10!$D$12,2)</f>
        <v/>
      </c>
      <c r="J129" s="177">
        <f>ROUND(I129*E129,2)</f>
        <v/>
      </c>
    </row>
    <row r="130" hidden="1" outlineLevel="1" ht="15.6" customFormat="1" customHeight="1" s="153">
      <c r="A130" s="169" t="n">
        <v>102</v>
      </c>
      <c r="B130" s="183" t="inlineStr">
        <is>
          <t>08.3.03.04-0012</t>
        </is>
      </c>
      <c r="C130" s="188" t="inlineStr">
        <is>
          <t>Проволока светлая, диаметр 1,1 мм</t>
        </is>
      </c>
      <c r="D130" s="191" t="inlineStr">
        <is>
          <t>т</t>
        </is>
      </c>
      <c r="E130" s="189" t="n">
        <v>0.0010343</v>
      </c>
      <c r="F130" s="29" t="n">
        <v>10200</v>
      </c>
      <c r="G130" s="177">
        <f>ROUND(F130*E130,2)</f>
        <v/>
      </c>
      <c r="H130" s="25">
        <f>G130/G140</f>
        <v/>
      </c>
      <c r="I130" s="177">
        <f>ROUND(F130*Прил.10!$D$12,2)</f>
        <v/>
      </c>
      <c r="J130" s="177">
        <f>ROUND(I130*E130,2)</f>
        <v/>
      </c>
    </row>
    <row r="131" hidden="1" outlineLevel="1" ht="46.9" customFormat="1" customHeight="1" s="153">
      <c r="A131" s="169" t="n">
        <v>103</v>
      </c>
      <c r="B131" s="183" t="inlineStr">
        <is>
          <t>03.2.01.01-0001</t>
        </is>
      </c>
      <c r="C131" s="188" t="inlineStr">
        <is>
          <t>Портландцемент общестроительного назначения бездобавочный М400 Д0 (ЦЕМ I 32,5Н)</t>
        </is>
      </c>
      <c r="D131" s="191" t="inlineStr">
        <is>
          <t>т</t>
        </is>
      </c>
      <c r="E131" s="189" t="n">
        <v>0.02328</v>
      </c>
      <c r="F131" s="29" t="n">
        <v>412</v>
      </c>
      <c r="G131" s="177">
        <f>ROUND(F131*E131,2)</f>
        <v/>
      </c>
      <c r="H131" s="25">
        <f>G131/G140</f>
        <v/>
      </c>
      <c r="I131" s="177">
        <f>ROUND(F131*Прил.10!$D$12,2)</f>
        <v/>
      </c>
      <c r="J131" s="177">
        <f>ROUND(I131*E131,2)</f>
        <v/>
      </c>
    </row>
    <row r="132" hidden="1" outlineLevel="1" ht="46.9" customFormat="1" customHeight="1" s="153">
      <c r="A132" s="169" t="n">
        <v>104</v>
      </c>
      <c r="B132" s="183" t="inlineStr">
        <is>
          <t>11.1.03.06-0087</t>
        </is>
      </c>
      <c r="C132" s="188" t="inlineStr">
        <is>
          <t>Доска обрезная, хвойных пород, ширина 75-150 мм, толщина 25 мм, длина 4-6,5 м, сорт III</t>
        </is>
      </c>
      <c r="D132" s="191" t="inlineStr">
        <is>
          <t>м3</t>
        </is>
      </c>
      <c r="E132" s="189" t="n">
        <v>0.008</v>
      </c>
      <c r="F132" s="29" t="n">
        <v>1100</v>
      </c>
      <c r="G132" s="177">
        <f>ROUND(F132*E132,2)</f>
        <v/>
      </c>
      <c r="H132" s="25">
        <f>G132/G140</f>
        <v/>
      </c>
      <c r="I132" s="177">
        <f>ROUND(F132*Прил.10!$D$12,2)</f>
        <v/>
      </c>
      <c r="J132" s="177">
        <f>ROUND(I132*E132,2)</f>
        <v/>
      </c>
    </row>
    <row r="133" hidden="1" outlineLevel="1" ht="15.6" customFormat="1" customHeight="1" s="153">
      <c r="A133" s="169" t="n">
        <v>105</v>
      </c>
      <c r="B133" s="183" t="inlineStr">
        <is>
          <t>14.4.03.03-0002</t>
        </is>
      </c>
      <c r="C133" s="188" t="inlineStr">
        <is>
          <t>Лак битумный БТ-123</t>
        </is>
      </c>
      <c r="D133" s="191" t="inlineStr">
        <is>
          <t>т</t>
        </is>
      </c>
      <c r="E133" s="189" t="n">
        <v>0.0008932</v>
      </c>
      <c r="F133" s="29" t="n">
        <v>7826.9</v>
      </c>
      <c r="G133" s="177">
        <f>ROUND(F133*E133,2)</f>
        <v/>
      </c>
      <c r="H133" s="25">
        <f>G133/G140</f>
        <v/>
      </c>
      <c r="I133" s="177">
        <f>ROUND(F133*Прил.10!$D$12,2)</f>
        <v/>
      </c>
      <c r="J133" s="177">
        <f>ROUND(I133*E133,2)</f>
        <v/>
      </c>
    </row>
    <row r="134" hidden="1" outlineLevel="1" ht="31.15" customFormat="1" customHeight="1" s="153">
      <c r="A134" s="169" t="n">
        <v>106</v>
      </c>
      <c r="B134" s="183" t="inlineStr">
        <is>
          <t>03.1.02.03-0011</t>
        </is>
      </c>
      <c r="C134" s="188" t="inlineStr">
        <is>
          <t>Известь строительная негашеная комовая, сорт I</t>
        </is>
      </c>
      <c r="D134" s="191" t="inlineStr">
        <is>
          <t>т</t>
        </is>
      </c>
      <c r="E134" s="189" t="n">
        <v>0.006501</v>
      </c>
      <c r="F134" s="29" t="n">
        <v>734.5</v>
      </c>
      <c r="G134" s="177">
        <f>ROUND(F134*E134,2)</f>
        <v/>
      </c>
      <c r="H134" s="25">
        <f>G134/G140</f>
        <v/>
      </c>
      <c r="I134" s="177">
        <f>ROUND(F134*Прил.10!$D$12,2)</f>
        <v/>
      </c>
      <c r="J134" s="177">
        <f>ROUND(I134*E134,2)</f>
        <v/>
      </c>
    </row>
    <row r="135" hidden="1" outlineLevel="1" ht="31.15" customFormat="1" customHeight="1" s="153">
      <c r="A135" s="169" t="n">
        <v>107</v>
      </c>
      <c r="B135" s="183" t="inlineStr">
        <is>
          <t>02.2.05.04-1777</t>
        </is>
      </c>
      <c r="C135" s="188" t="inlineStr">
        <is>
          <t>Щебень М 800, фракция 20-40 мм, группа 2</t>
        </is>
      </c>
      <c r="D135" s="191" t="inlineStr">
        <is>
          <t>м3</t>
        </is>
      </c>
      <c r="E135" s="189" t="n">
        <v>0.00978</v>
      </c>
      <c r="F135" s="29" t="n">
        <v>108.4</v>
      </c>
      <c r="G135" s="177">
        <f>ROUND(F135*E135,2)</f>
        <v/>
      </c>
      <c r="H135" s="25">
        <f>G135/G140</f>
        <v/>
      </c>
      <c r="I135" s="177">
        <f>ROUND(F135*Прил.10!$D$12,2)</f>
        <v/>
      </c>
      <c r="J135" s="177">
        <f>ROUND(I135*E135,2)</f>
        <v/>
      </c>
    </row>
    <row r="136" hidden="1" outlineLevel="1" ht="31.15" customFormat="1" customHeight="1" s="153">
      <c r="A136" s="169" t="n">
        <v>108</v>
      </c>
      <c r="B136" s="183" t="inlineStr">
        <is>
          <t>07.2.07.02-0001</t>
        </is>
      </c>
      <c r="C136" s="188" t="inlineStr">
        <is>
          <t>Кондуктор инвентарный металлический</t>
        </is>
      </c>
      <c r="D136" s="191" t="inlineStr">
        <is>
          <t>шт</t>
        </is>
      </c>
      <c r="E136" s="189" t="n">
        <v>0.00262</v>
      </c>
      <c r="F136" s="29" t="n">
        <v>346</v>
      </c>
      <c r="G136" s="177">
        <f>ROUND(F136*E136,2)</f>
        <v/>
      </c>
      <c r="H136" s="25">
        <f>G136/G140</f>
        <v/>
      </c>
      <c r="I136" s="177">
        <f>ROUND(F136*Прил.10!$D$12,2)</f>
        <v/>
      </c>
      <c r="J136" s="177">
        <f>ROUND(I136*E136,2)</f>
        <v/>
      </c>
    </row>
    <row r="137" hidden="1" outlineLevel="1" ht="15.6" customFormat="1" customHeight="1" s="153">
      <c r="A137" s="169" t="n">
        <v>109</v>
      </c>
      <c r="B137" s="183" t="inlineStr">
        <is>
          <t>01.7.20.08-0051</t>
        </is>
      </c>
      <c r="C137" s="188" t="inlineStr">
        <is>
          <t>Ветошь</t>
        </is>
      </c>
      <c r="D137" s="191" t="inlineStr">
        <is>
          <t>кг</t>
        </is>
      </c>
      <c r="E137" s="189" t="n">
        <v>0.1045</v>
      </c>
      <c r="F137" s="29" t="n">
        <v>1.82</v>
      </c>
      <c r="G137" s="177">
        <f>ROUND(F137*E137,2)</f>
        <v/>
      </c>
      <c r="H137" s="25">
        <f>G137/G140</f>
        <v/>
      </c>
      <c r="I137" s="177">
        <f>ROUND(F137*Прил.10!$D$12,2)</f>
        <v/>
      </c>
      <c r="J137" s="177">
        <f>ROUND(I137*E137,2)</f>
        <v/>
      </c>
    </row>
    <row r="138" hidden="1" outlineLevel="1" ht="46.9" customFormat="1" customHeight="1" s="153">
      <c r="A138" s="169" t="n">
        <v>110</v>
      </c>
      <c r="B138" s="183" t="inlineStr">
        <is>
          <t>08.3.03.04-0021</t>
        </is>
      </c>
      <c r="C138" s="188" t="inlineStr">
        <is>
          <t>Проволока стальная низкоуглеродистая общего назначения, диаметр 0,8 мм</t>
        </is>
      </c>
      <c r="D138" s="191" t="inlineStr">
        <is>
          <t>кг</t>
        </is>
      </c>
      <c r="E138" s="189" t="n">
        <v>0.00036</v>
      </c>
      <c r="F138" s="29" t="n">
        <v>8.94</v>
      </c>
      <c r="G138" s="177">
        <f>ROUND(F138*E138,2)</f>
        <v/>
      </c>
      <c r="H138" s="25">
        <f>G138/G140</f>
        <v/>
      </c>
      <c r="I138" s="177">
        <f>ROUND(F138*Прил.10!$D$12,2)</f>
        <v/>
      </c>
      <c r="J138" s="177">
        <f>ROUND(I138*E138,2)</f>
        <v/>
      </c>
    </row>
    <row r="139" collapsed="1" ht="15.6" customFormat="1" customHeight="1" s="153">
      <c r="A139" s="169" t="n"/>
      <c r="B139" s="169" t="inlineStr">
        <is>
          <t>Итого прочие Материалы</t>
        </is>
      </c>
      <c r="C139" s="195" t="n"/>
      <c r="D139" s="195" t="n"/>
      <c r="E139" s="195" t="n"/>
      <c r="F139" s="196" t="n"/>
      <c r="G139" s="177">
        <f>SUM(G70:G138)</f>
        <v/>
      </c>
      <c r="H139" s="25">
        <f>SUM(H70:H138)</f>
        <v/>
      </c>
      <c r="I139" s="177" t="n"/>
      <c r="J139" s="177">
        <f>SUM(J70:J138)</f>
        <v/>
      </c>
    </row>
    <row r="140" ht="15.6" customFormat="1" customHeight="1" s="153">
      <c r="A140" s="169" t="n"/>
      <c r="B140" s="169" t="inlineStr">
        <is>
          <t>Итого по разделу "Материалы"</t>
        </is>
      </c>
      <c r="C140" s="195" t="n"/>
      <c r="D140" s="195" t="n"/>
      <c r="E140" s="195" t="n"/>
      <c r="F140" s="196" t="n"/>
      <c r="G140" s="177">
        <f>G69+G139</f>
        <v/>
      </c>
      <c r="H140" s="25">
        <f>H69+H139</f>
        <v/>
      </c>
      <c r="I140" s="177" t="n"/>
      <c r="J140" s="177">
        <f>J69+J139</f>
        <v/>
      </c>
    </row>
    <row r="141" ht="15.6" customFormat="1" customHeight="1" s="153">
      <c r="A141" s="168" t="n"/>
      <c r="B141" s="191" t="n"/>
      <c r="C141" s="188" t="inlineStr">
        <is>
          <t>ИТОГО ПО РМ</t>
        </is>
      </c>
      <c r="D141" s="191" t="n"/>
      <c r="E141" s="191" t="n"/>
      <c r="F141" s="190" t="n"/>
      <c r="G141" s="190">
        <f>+G14+G52+G140</f>
        <v/>
      </c>
      <c r="H141" s="35" t="n"/>
      <c r="I141" s="177" t="n"/>
      <c r="J141" s="190">
        <f>+J14+J52+J140</f>
        <v/>
      </c>
    </row>
    <row r="142" ht="15.6" customFormat="1" customHeight="1" s="153">
      <c r="A142" s="168" t="n"/>
      <c r="B142" s="191" t="n"/>
      <c r="C142" s="188" t="inlineStr">
        <is>
          <t>Накладные расходы</t>
        </is>
      </c>
      <c r="D142" s="38" t="n">
        <v>1.0251428028819</v>
      </c>
      <c r="E142" s="191" t="n"/>
      <c r="F142" s="190" t="n"/>
      <c r="G142" s="190">
        <f>(G14+G16)*D142</f>
        <v/>
      </c>
      <c r="H142" s="35" t="n"/>
      <c r="I142" s="177" t="n"/>
      <c r="J142" s="177">
        <f>(J14+J16)*D142</f>
        <v/>
      </c>
    </row>
    <row r="143" ht="15.6" customFormat="1" customHeight="1" s="153">
      <c r="A143" s="168" t="n"/>
      <c r="B143" s="191" t="n"/>
      <c r="C143" s="188" t="inlineStr">
        <is>
          <t>Сметная прибыль</t>
        </is>
      </c>
      <c r="D143" s="38" t="n">
        <v>0.50884735906616</v>
      </c>
      <c r="E143" s="191" t="n"/>
      <c r="F143" s="190" t="n"/>
      <c r="G143" s="190">
        <f>(G14+G16)*D143</f>
        <v/>
      </c>
      <c r="H143" s="35" t="n"/>
      <c r="I143" s="177" t="n"/>
      <c r="J143" s="177">
        <f>(J14+J16)*D143</f>
        <v/>
      </c>
    </row>
    <row r="144" ht="15.6" customFormat="1" customHeight="1" s="153">
      <c r="A144" s="168" t="n"/>
      <c r="B144" s="191" t="n"/>
      <c r="C144" s="188" t="inlineStr">
        <is>
          <t>Итого СМР (с НР и СП)</t>
        </is>
      </c>
      <c r="D144" s="191" t="n"/>
      <c r="E144" s="191" t="n"/>
      <c r="F144" s="190" t="n"/>
      <c r="G144" s="190">
        <f>G141+G142+G143</f>
        <v/>
      </c>
      <c r="H144" s="35" t="n"/>
      <c r="I144" s="177" t="n"/>
      <c r="J144" s="190">
        <f>J141+J142+J143</f>
        <v/>
      </c>
    </row>
    <row r="145" ht="15.6" customFormat="1" customHeight="1" s="153">
      <c r="A145" s="168" t="n"/>
      <c r="B145" s="191" t="n"/>
      <c r="C145" s="188" t="inlineStr">
        <is>
          <t>ВСЕГО СМР + ОБОРУДОВАНИЕ</t>
        </is>
      </c>
      <c r="D145" s="191" t="n"/>
      <c r="E145" s="191" t="n"/>
      <c r="F145" s="190" t="n"/>
      <c r="G145" s="190">
        <f>G144</f>
        <v/>
      </c>
      <c r="H145" s="35" t="n"/>
      <c r="I145" s="177" t="n"/>
      <c r="J145" s="177">
        <f>J144</f>
        <v/>
      </c>
    </row>
    <row r="146" ht="15.6" customFormat="1" customHeight="1" s="153">
      <c r="A146" s="168" t="n"/>
      <c r="B146" s="191" t="n"/>
      <c r="C146" s="188" t="inlineStr">
        <is>
          <t>ИТОГО ПОКАЗАТЕЛЬ НА ЕД. ИЗМ.</t>
        </is>
      </c>
      <c r="D146" s="191" t="inlineStr">
        <is>
          <t>м</t>
        </is>
      </c>
      <c r="E146" s="191" t="n">
        <v>45.5</v>
      </c>
      <c r="F146" s="190" t="n"/>
      <c r="G146" s="190">
        <f>G145/E146</f>
        <v/>
      </c>
      <c r="H146" s="35" t="n"/>
      <c r="I146" s="177" t="n"/>
      <c r="J146" s="190">
        <f>J145/E146</f>
        <v/>
      </c>
    </row>
    <row r="147" ht="15.6" customFormat="1" customHeight="1" s="153">
      <c r="A147" s="153" t="n"/>
      <c r="B147" s="153" t="n"/>
      <c r="C147" s="153" t="n"/>
      <c r="E147" s="153" t="n"/>
      <c r="F147" s="68" t="n"/>
      <c r="G147" s="68" t="n"/>
      <c r="I147" s="68" t="n"/>
      <c r="J147" s="68" t="n"/>
    </row>
    <row r="148" ht="15.6" customFormat="1" customHeight="1" s="153">
      <c r="A148" s="153" t="inlineStr">
        <is>
          <t>Составил ______________________        М.С. Колотиевская</t>
        </is>
      </c>
      <c r="B148" s="153" t="n"/>
      <c r="C148" s="153" t="n"/>
      <c r="E148" s="153" t="n"/>
      <c r="F148" s="68" t="n"/>
      <c r="G148" s="68" t="n"/>
      <c r="I148" s="68" t="n"/>
      <c r="J148" s="68" t="n"/>
    </row>
    <row r="149" ht="15.6" customFormat="1" customHeight="1" s="153">
      <c r="A149" s="75" t="inlineStr">
        <is>
          <t xml:space="preserve">                         (подпись, инициалы, фамилия)</t>
        </is>
      </c>
      <c r="B149" s="153" t="n"/>
      <c r="C149" s="153" t="n"/>
      <c r="E149" s="153" t="n"/>
      <c r="F149" s="68" t="n"/>
      <c r="G149" s="68" t="n"/>
      <c r="I149" s="68" t="n"/>
      <c r="J149" s="68" t="n"/>
    </row>
    <row r="150" ht="15.6" customFormat="1" customHeight="1" s="153">
      <c r="A150" s="153" t="n"/>
      <c r="B150" s="153" t="n"/>
      <c r="C150" s="153" t="n"/>
      <c r="E150" s="153" t="n"/>
      <c r="F150" s="68" t="n"/>
      <c r="G150" s="68" t="n"/>
      <c r="I150" s="68" t="n"/>
      <c r="J150" s="68" t="n"/>
    </row>
    <row r="151" ht="15.6" customFormat="1" customHeight="1" s="153">
      <c r="A151" s="153" t="inlineStr">
        <is>
          <t>Проверил ______________________      А.В. Костянецкая</t>
        </is>
      </c>
      <c r="B151" s="153" t="n"/>
      <c r="C151" s="153" t="n"/>
      <c r="E151" s="153" t="n"/>
      <c r="F151" s="68" t="n"/>
      <c r="G151" s="68" t="n"/>
      <c r="I151" s="68" t="n"/>
      <c r="J151" s="68" t="n"/>
    </row>
    <row r="152" ht="15.6" customFormat="1" customHeight="1" s="153">
      <c r="A152" s="75" t="inlineStr">
        <is>
          <t xml:space="preserve">                        (подпись, инициалы, фамилия)</t>
        </is>
      </c>
      <c r="B152" s="153" t="n"/>
      <c r="C152" s="153" t="n"/>
      <c r="E152" s="153" t="n"/>
      <c r="F152" s="68" t="n"/>
      <c r="G152" s="68" t="n"/>
      <c r="I152" s="68" t="n"/>
      <c r="J152" s="68" t="n"/>
    </row>
    <row r="153" ht="15.6" customFormat="1" customHeight="1" s="153">
      <c r="E153" s="153" t="n"/>
      <c r="F153" s="68" t="n"/>
      <c r="G153" s="68" t="n"/>
      <c r="I153" s="68" t="n"/>
      <c r="J153" s="68" t="n"/>
    </row>
  </sheetData>
  <mergeCells count="27">
    <mergeCell ref="H9:H10"/>
    <mergeCell ref="B15:H15"/>
    <mergeCell ref="B140:F140"/>
    <mergeCell ref="H2:J2"/>
    <mergeCell ref="B52:F52"/>
    <mergeCell ref="C9:C10"/>
    <mergeCell ref="E9:E10"/>
    <mergeCell ref="B54:H54"/>
    <mergeCell ref="B59:H59"/>
    <mergeCell ref="B9:B10"/>
    <mergeCell ref="D9:D10"/>
    <mergeCell ref="B69:F69"/>
    <mergeCell ref="B18:H18"/>
    <mergeCell ref="D6:G6"/>
    <mergeCell ref="B12:H12"/>
    <mergeCell ref="B7:D7"/>
    <mergeCell ref="B60:H60"/>
    <mergeCell ref="F9:G9"/>
    <mergeCell ref="A4:H4"/>
    <mergeCell ref="B17:H17"/>
    <mergeCell ref="B139:F139"/>
    <mergeCell ref="A9:A10"/>
    <mergeCell ref="B53:H53"/>
    <mergeCell ref="A6:C6"/>
    <mergeCell ref="B51:F51"/>
    <mergeCell ref="B26:F26"/>
    <mergeCell ref="I9:J9"/>
  </mergeCells>
  <conditionalFormatting sqref="E14:E153">
    <cfRule type="expression" priority="1" dxfId="0" stopIfTrue="1">
      <formula>E14&gt;=1/10000</formula>
    </cfRule>
  </conditionalFormatting>
  <conditionalFormatting sqref="E13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J19"/>
  <sheetViews>
    <sheetView tabSelected="1" view="pageBreakPreview" zoomScale="60" zoomScaleNormal="100" workbookViewId="0">
      <selection activeCell="W48" sqref="W48"/>
    </sheetView>
  </sheetViews>
  <sheetFormatPr baseColWidth="8" defaultColWidth="9.140625" defaultRowHeight="15"/>
  <cols>
    <col width="5.7109375" customWidth="1" style="122" min="1" max="1"/>
    <col width="14.85546875" customWidth="1" style="122" min="2" max="2"/>
    <col width="39.140625" customWidth="1" style="122" min="3" max="3"/>
    <col width="8.28515625" customWidth="1" style="122" min="4" max="4"/>
    <col width="13.5703125" customWidth="1" style="122" min="5" max="5"/>
    <col width="12.42578125" customWidth="1" style="122" min="6" max="6"/>
    <col width="14.140625" customWidth="1" style="122" min="7" max="7"/>
    <col width="9.140625" customWidth="1" style="122" min="8" max="8"/>
  </cols>
  <sheetData>
    <row r="1" ht="15.6" customHeight="1" s="122">
      <c r="A1" s="175" t="inlineStr">
        <is>
          <t>Приложение №6</t>
        </is>
      </c>
    </row>
    <row r="2" ht="21.75" customHeight="1" s="122">
      <c r="A2" s="175" t="n"/>
      <c r="B2" s="175" t="n"/>
      <c r="C2" s="175" t="n"/>
      <c r="D2" s="175" t="n"/>
      <c r="E2" s="175" t="n"/>
      <c r="F2" s="175" t="n"/>
      <c r="G2" s="175" t="n"/>
    </row>
    <row r="3" ht="15.6" customHeight="1" s="122">
      <c r="A3" s="165" t="inlineStr">
        <is>
          <t>Расчет стоимости оборудования</t>
        </is>
      </c>
    </row>
    <row r="4" ht="15.6" customFormat="1" customHeight="1" s="56">
      <c r="A4" s="171" t="inlineStr">
        <is>
          <t xml:space="preserve">Наименование разрабатываемого показателя УНЦ —  </t>
        </is>
      </c>
      <c r="D4" s="171" t="inlineStr">
        <is>
          <t>Н2-04 БРТМ Кабельная эстакада Без ПИР</t>
        </is>
      </c>
      <c r="H4" s="96" t="n"/>
      <c r="I4" s="171" t="n"/>
      <c r="J4" s="171" t="n"/>
    </row>
    <row r="5" ht="15.6" customHeight="1" s="122">
      <c r="A5" s="153" t="n"/>
      <c r="B5" s="153" t="n"/>
      <c r="C5" s="153" t="n"/>
      <c r="D5" s="153" t="n"/>
      <c r="E5" s="153" t="n"/>
      <c r="F5" s="153" t="n"/>
      <c r="G5" s="153" t="n"/>
    </row>
    <row r="6" ht="30" customFormat="1" customHeight="1" s="153">
      <c r="A6" s="191" t="inlineStr">
        <is>
          <t>№ пп.</t>
        </is>
      </c>
      <c r="B6" s="191" t="inlineStr">
        <is>
          <t>Код ресурса</t>
        </is>
      </c>
      <c r="C6" s="191" t="inlineStr">
        <is>
          <t>Наименование</t>
        </is>
      </c>
      <c r="D6" s="191" t="inlineStr">
        <is>
          <t>Ед. изм.</t>
        </is>
      </c>
      <c r="E6" s="166" t="inlineStr">
        <is>
          <t>Кол-во единиц по проектным данным</t>
        </is>
      </c>
      <c r="F6" s="191" t="inlineStr">
        <is>
          <t>Сметная стоимость в ценах на 01.01.2000 (руб.)</t>
        </is>
      </c>
      <c r="G6" s="196" t="n"/>
    </row>
    <row r="7" ht="15.6" customFormat="1" customHeight="1" s="153">
      <c r="A7" s="198" t="n"/>
      <c r="B7" s="198" t="n"/>
      <c r="C7" s="198" t="n"/>
      <c r="D7" s="198" t="n"/>
      <c r="E7" s="198" t="n"/>
      <c r="F7" s="166" t="inlineStr">
        <is>
          <t>на ед. изм.</t>
        </is>
      </c>
      <c r="G7" s="166" t="inlineStr">
        <is>
          <t>общая</t>
        </is>
      </c>
    </row>
    <row r="8" ht="15.6" customFormat="1" customHeight="1" s="153">
      <c r="A8" s="166" t="n">
        <v>1</v>
      </c>
      <c r="B8" s="166" t="n">
        <v>2</v>
      </c>
      <c r="C8" s="166" t="n">
        <v>3</v>
      </c>
      <c r="D8" s="166" t="n">
        <v>4</v>
      </c>
      <c r="E8" s="166" t="n">
        <v>5</v>
      </c>
      <c r="F8" s="166" t="n">
        <v>6</v>
      </c>
      <c r="G8" s="166" t="n">
        <v>7</v>
      </c>
    </row>
    <row r="9" ht="15.6" customFormat="1" customHeight="1" s="153">
      <c r="A9" s="168" t="n"/>
      <c r="B9" s="188" t="inlineStr">
        <is>
          <t>ИНЖЕНЕРНОЕ ОБОРУДОВАНИЕ</t>
        </is>
      </c>
      <c r="C9" s="195" t="n"/>
      <c r="D9" s="195" t="n"/>
      <c r="E9" s="195" t="n"/>
      <c r="F9" s="195" t="n"/>
      <c r="G9" s="196" t="n"/>
    </row>
    <row r="10" ht="31.15" customFormat="1" customHeight="1" s="153">
      <c r="A10" s="191" t="n"/>
      <c r="B10" s="89" t="n"/>
      <c r="C10" s="188" t="inlineStr">
        <is>
          <t>ИТОГО ИНЖЕНЕРНОЕ ОБОРУДОВАНИЕ</t>
        </is>
      </c>
      <c r="D10" s="89" t="n"/>
      <c r="E10" s="90" t="n"/>
      <c r="F10" s="190" t="n"/>
      <c r="G10" s="190" t="n">
        <v>0</v>
      </c>
    </row>
    <row r="11" ht="15.6" customFormat="1" customHeight="1" s="153">
      <c r="A11" s="191" t="n"/>
      <c r="B11" s="188" t="inlineStr">
        <is>
          <t>ТЕХНОЛОГИЧЕСКОЕ ОБОРУДОВАНИЕ</t>
        </is>
      </c>
      <c r="C11" s="195" t="n"/>
      <c r="D11" s="195" t="n"/>
      <c r="E11" s="195" t="n"/>
      <c r="F11" s="195" t="n"/>
      <c r="G11" s="196" t="n"/>
    </row>
    <row r="12" ht="31.15" customFormat="1" customHeight="1" s="153">
      <c r="A12" s="191" t="n"/>
      <c r="B12" s="188" t="n"/>
      <c r="C12" s="188" t="inlineStr">
        <is>
          <t>ИТОГО ТЕХНОЛОГИЧЕСКОЕ ОБОРУДОВАНИЕ</t>
        </is>
      </c>
      <c r="D12" s="188" t="n"/>
      <c r="E12" s="189" t="n"/>
      <c r="F12" s="190" t="n"/>
      <c r="G12" s="190" t="n">
        <v>0</v>
      </c>
    </row>
    <row r="13" ht="15.6" customFormat="1" customHeight="1" s="153">
      <c r="A13" s="191" t="n"/>
      <c r="B13" s="188" t="n"/>
      <c r="C13" s="188" t="inlineStr">
        <is>
          <t>Итого по разделу "Оборудование"</t>
        </is>
      </c>
      <c r="D13" s="188" t="n"/>
      <c r="E13" s="189" t="n"/>
      <c r="F13" s="190" t="n"/>
      <c r="G13" s="190">
        <f>G12</f>
        <v/>
      </c>
    </row>
    <row r="14" ht="15.6" customFormat="1" customHeight="1" s="153">
      <c r="A14" s="153" t="n"/>
      <c r="B14" s="153" t="n"/>
      <c r="C14" s="153" t="n"/>
    </row>
    <row r="15" ht="15.6" customFormat="1" customHeight="1" s="153">
      <c r="A15" s="153" t="inlineStr">
        <is>
          <t>Составил ______________________        М.С. Колотиевская</t>
        </is>
      </c>
      <c r="B15" s="153" t="n"/>
      <c r="C15" s="153" t="n"/>
    </row>
    <row r="16" ht="15.6" customFormat="1" customHeight="1" s="153">
      <c r="A16" s="75" t="inlineStr">
        <is>
          <t xml:space="preserve">                         (подпись, инициалы, фамилия)</t>
        </is>
      </c>
      <c r="B16" s="153" t="n"/>
      <c r="C16" s="153" t="n"/>
    </row>
    <row r="17" ht="15.6" customFormat="1" customHeight="1" s="153">
      <c r="A17" s="153" t="n"/>
      <c r="B17" s="153" t="n"/>
      <c r="C17" s="153" t="n"/>
    </row>
    <row r="18" ht="15.6" customFormat="1" customHeight="1" s="153">
      <c r="A18" s="153" t="inlineStr">
        <is>
          <t>Проверил ______________________      А.В. Костянецкая</t>
        </is>
      </c>
      <c r="B18" s="153" t="n"/>
      <c r="C18" s="153" t="n"/>
    </row>
    <row r="19" ht="15.6" customFormat="1" customHeight="1" s="153">
      <c r="A19" s="75" t="inlineStr">
        <is>
          <t xml:space="preserve">                        (подпись, инициалы, фамилия)</t>
        </is>
      </c>
      <c r="B19" s="153" t="n"/>
      <c r="C19" s="153" t="n"/>
    </row>
    <row r="20" ht="15.6" customFormat="1" customHeight="1" s="153"/>
  </sheetData>
  <mergeCells count="12">
    <mergeCell ref="A4:C4"/>
    <mergeCell ref="A1:G1"/>
    <mergeCell ref="A3:G3"/>
    <mergeCell ref="B9:G9"/>
    <mergeCell ref="F6:G6"/>
    <mergeCell ref="E6:E7"/>
    <mergeCell ref="C6:C7"/>
    <mergeCell ref="A6:A7"/>
    <mergeCell ref="D6:D7"/>
    <mergeCell ref="B6:B7"/>
    <mergeCell ref="B11:G11"/>
    <mergeCell ref="D4:G4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G17" sqref="G17"/>
    </sheetView>
  </sheetViews>
  <sheetFormatPr baseColWidth="8" defaultRowHeight="15"/>
  <cols>
    <col width="12.7109375" customWidth="1" style="122" min="1" max="1"/>
    <col width="22.42578125" customWidth="1" style="122" min="2" max="2"/>
    <col width="37.140625" customWidth="1" style="122" min="3" max="3"/>
    <col width="49" customWidth="1" style="122" min="4" max="4"/>
    <col width="9.140625" customWidth="1" style="122" min="5" max="5"/>
  </cols>
  <sheetData>
    <row r="1" ht="15.75" customHeight="1" s="122">
      <c r="A1" s="153" t="n"/>
      <c r="B1" s="153" t="n"/>
      <c r="C1" s="153" t="n"/>
      <c r="D1" s="153" t="inlineStr">
        <is>
          <t>Приложение №7</t>
        </is>
      </c>
    </row>
    <row r="2" ht="15.75" customHeight="1" s="122">
      <c r="A2" s="153" t="n"/>
      <c r="B2" s="153" t="n"/>
      <c r="C2" s="153" t="n"/>
      <c r="D2" s="153" t="n"/>
    </row>
    <row r="3" ht="15.75" customHeight="1" s="122">
      <c r="A3" s="153" t="n"/>
      <c r="B3" s="115" t="inlineStr">
        <is>
          <t>Расчет показателя УНЦ</t>
        </is>
      </c>
      <c r="C3" s="153" t="n"/>
      <c r="D3" s="153" t="n"/>
    </row>
    <row r="4" ht="15.75" customHeight="1" s="122">
      <c r="A4" s="153" t="n"/>
      <c r="B4" s="153" t="n"/>
      <c r="C4" s="153" t="n"/>
      <c r="D4" s="153" t="n"/>
    </row>
    <row r="5" ht="15.75" customHeight="1" s="122">
      <c r="A5" s="194" t="inlineStr">
        <is>
          <t xml:space="preserve">Наименование разрабатываемого показателя УНЦ - </t>
        </is>
      </c>
      <c r="D5" s="194">
        <f>'Прил.5 Расчет СМР и ОБ'!D6:J6</f>
        <v/>
      </c>
    </row>
    <row r="6" ht="15.75" customHeight="1" s="122">
      <c r="A6" s="153" t="inlineStr">
        <is>
          <t>Единица измерения  — 1 м</t>
        </is>
      </c>
      <c r="B6" s="153" t="n"/>
      <c r="C6" s="153" t="n"/>
      <c r="D6" s="153" t="n"/>
    </row>
    <row r="7" ht="15.75" customHeight="1" s="122">
      <c r="A7" s="153" t="n"/>
      <c r="B7" s="153" t="n"/>
      <c r="C7" s="153" t="n"/>
      <c r="D7" s="153" t="n"/>
    </row>
    <row r="8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>
      <c r="A9" s="198" t="n"/>
      <c r="B9" s="198" t="n"/>
      <c r="C9" s="198" t="n"/>
      <c r="D9" s="198" t="n"/>
    </row>
    <row r="10" ht="15.75" customHeight="1" s="122">
      <c r="A10" s="166" t="n">
        <v>1</v>
      </c>
      <c r="B10" s="166" t="n">
        <v>2</v>
      </c>
      <c r="C10" s="166" t="n">
        <v>3</v>
      </c>
      <c r="D10" s="166" t="n">
        <v>4</v>
      </c>
    </row>
    <row r="11" ht="63" customHeight="1" s="122">
      <c r="A11" s="166" t="inlineStr">
        <is>
          <t>Н2-04</t>
        </is>
      </c>
      <c r="B11" s="166" t="inlineStr">
        <is>
          <t xml:space="preserve">УНЦ кабельных сооружений для прокладки кабельной линии </t>
        </is>
      </c>
      <c r="C11" s="119">
        <f>D5</f>
        <v/>
      </c>
      <c r="D11" s="130">
        <f>'Прил.4 РМ'!C41/1000</f>
        <v/>
      </c>
    </row>
    <row r="12" ht="15.75" customHeight="1" s="122">
      <c r="A12" s="153" t="n"/>
      <c r="B12" s="153" t="n"/>
      <c r="C12" s="153" t="n"/>
    </row>
    <row r="13" ht="15.75" customHeight="1" s="122">
      <c r="A13" s="153" t="inlineStr">
        <is>
          <t>Составил ______________________        М.С. Колотиевская</t>
        </is>
      </c>
      <c r="B13" s="153" t="n"/>
      <c r="C13" s="153" t="n"/>
      <c r="D13" s="121" t="n"/>
    </row>
    <row r="14" ht="15.75" customHeight="1" s="122">
      <c r="A14" s="75" t="inlineStr">
        <is>
          <t xml:space="preserve">                         (подпись, инициалы, фамилия)</t>
        </is>
      </c>
      <c r="B14" s="153" t="n"/>
      <c r="C14" s="153" t="n"/>
      <c r="D14" s="121" t="n"/>
    </row>
    <row r="15" ht="15.75" customHeight="1" s="122">
      <c r="A15" s="153" t="n"/>
      <c r="B15" s="153" t="n"/>
      <c r="C15" s="153" t="n"/>
      <c r="D15" s="121" t="n"/>
    </row>
    <row r="16" ht="15.75" customHeight="1" s="122">
      <c r="A16" s="153" t="inlineStr">
        <is>
          <t>Проверил ______________________      А.В. Костянецкая</t>
        </is>
      </c>
      <c r="B16" s="153" t="n"/>
      <c r="C16" s="153" t="n"/>
      <c r="D16" s="121" t="n"/>
    </row>
    <row r="17" ht="20.25" customHeight="1" s="122">
      <c r="A17" s="75" t="inlineStr">
        <is>
          <t xml:space="preserve">                        (подпись, инициалы, фамилия)</t>
        </is>
      </c>
      <c r="B17" s="153" t="n"/>
      <c r="C17" s="153" t="n"/>
      <c r="D17" s="1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6" zoomScale="60" zoomScaleNormal="100" workbookViewId="0">
      <selection activeCell="M59" sqref="M58:M59"/>
    </sheetView>
  </sheetViews>
  <sheetFormatPr baseColWidth="8" defaultColWidth="9.140625" defaultRowHeight="15"/>
  <cols>
    <col width="9.140625" customWidth="1" style="122" min="1" max="1"/>
    <col width="40.7109375" customWidth="1" style="122" min="2" max="2"/>
    <col width="37" customWidth="1" style="122" min="3" max="3"/>
    <col width="32" customWidth="1" style="122" min="4" max="4"/>
    <col width="9.140625" customWidth="1" style="122" min="5" max="5"/>
  </cols>
  <sheetData>
    <row r="4" ht="15.6" customHeight="1" s="122">
      <c r="B4" s="161" t="inlineStr">
        <is>
          <t>Приложение № 10</t>
        </is>
      </c>
    </row>
    <row r="5" ht="18" customHeight="1" s="122">
      <c r="B5" s="48" t="n"/>
    </row>
    <row r="6" ht="15.6" customHeight="1" s="122">
      <c r="B6" s="165" t="inlineStr">
        <is>
          <t>Используемые индексы изменений сметной стоимости и нормы сопутствующих затрат</t>
        </is>
      </c>
    </row>
    <row r="7" ht="18" customHeight="1" s="122">
      <c r="B7" s="144" t="n"/>
    </row>
    <row r="8" ht="46.9" customFormat="1" customHeight="1" s="153">
      <c r="B8" s="166" t="inlineStr">
        <is>
          <t>Наименование индекса / норм сопутствующих затрат</t>
        </is>
      </c>
      <c r="C8" s="166" t="inlineStr">
        <is>
          <t>Дата применения и обоснование индекса / норм сопутствующих затрат</t>
        </is>
      </c>
      <c r="D8" s="166" t="inlineStr">
        <is>
          <t>Размер индекса / норма сопутствующих затрат</t>
        </is>
      </c>
    </row>
    <row r="9" ht="15.6" customFormat="1" customHeight="1" s="153">
      <c r="B9" s="166" t="n">
        <v>1</v>
      </c>
      <c r="C9" s="166" t="n">
        <v>2</v>
      </c>
      <c r="D9" s="166" t="n">
        <v>3</v>
      </c>
    </row>
    <row r="10" ht="45" customFormat="1" customHeight="1" s="153">
      <c r="B10" s="166" t="inlineStr">
        <is>
          <t xml:space="preserve">Индекс изменения сметной стоимости на 1 квартал 2023 года. ОЗП </t>
        </is>
      </c>
      <c r="C10" s="166" t="inlineStr">
        <is>
          <t>Письмо Минстроя России от 30.03.2023г. №17106-ИФ/09  прил.1</t>
        </is>
      </c>
      <c r="D10" s="166" t="n">
        <v>44.29</v>
      </c>
    </row>
    <row r="11" ht="29.25" customFormat="1" customHeight="1" s="153">
      <c r="B11" s="166" t="inlineStr">
        <is>
          <t>Индекс изменения сметной стоимости на 1 квартал 2023 года. ЭМ</t>
        </is>
      </c>
      <c r="C11" s="166" t="inlineStr">
        <is>
          <t>Письмо Минстроя России от 30.03.2023г. №17106-ИФ/09  прил.1</t>
        </is>
      </c>
      <c r="D11" s="166" t="n">
        <v>13.47</v>
      </c>
    </row>
    <row r="12" ht="29.25" customFormat="1" customHeight="1" s="153">
      <c r="B12" s="166" t="inlineStr">
        <is>
          <t>Индекс изменения сметной стоимости на 1 квартал 2023 года. МАТ</t>
        </is>
      </c>
      <c r="C12" s="166" t="inlineStr">
        <is>
          <t>Письмо Минстроя России от 30.03.2023г. №17106-ИФ/09  прил.1</t>
        </is>
      </c>
      <c r="D12" s="166" t="n">
        <v>8.039999999999999</v>
      </c>
    </row>
    <row r="13" ht="30.75" customFormat="1" customHeight="1" s="153">
      <c r="B13" s="166" t="inlineStr">
        <is>
          <t>Индекс изменения сметной стоимости на 1 квартал 2023 года. ОБ</t>
        </is>
      </c>
      <c r="C13" s="149" t="inlineStr">
        <is>
          <t>Письмо Минстроя России от 23.02.2023г. №9791-ИФ/09 прил.6</t>
        </is>
      </c>
      <c r="D13" s="166" t="n">
        <v>6.26</v>
      </c>
    </row>
    <row r="14" ht="89.25" customFormat="1" customHeight="1" s="153">
      <c r="B14" s="166" t="inlineStr">
        <is>
          <t>Временные здания и сооружения</t>
        </is>
      </c>
      <c r="C14" s="1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9" t="n">
        <v>0.039</v>
      </c>
    </row>
    <row r="15" ht="78" customFormat="1" customHeight="1" s="153">
      <c r="B15" s="166" t="inlineStr">
        <is>
          <t>Дополнительные затраты при производстве строительно-монтажных работ в зимнее время</t>
        </is>
      </c>
      <c r="C15" s="1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9" t="n">
        <v>0.021</v>
      </c>
      <c r="E15" s="42" t="n"/>
    </row>
    <row r="16" ht="34.5" customFormat="1" customHeight="1" s="153">
      <c r="B16" s="166" t="inlineStr">
        <is>
          <t>Пусконаладочные работы</t>
        </is>
      </c>
      <c r="C16" s="166" t="n"/>
      <c r="D16" s="166" t="inlineStr">
        <is>
          <t>80% от 7% стоимости оборудования</t>
        </is>
      </c>
    </row>
    <row r="17" ht="31.5" customFormat="1" customHeight="1" s="153">
      <c r="B17" s="166" t="inlineStr">
        <is>
          <t>Строительный контроль</t>
        </is>
      </c>
      <c r="C17" s="166" t="inlineStr">
        <is>
          <t>Постановление Правительства РФ от 21.06.10 г. № 468</t>
        </is>
      </c>
      <c r="D17" s="49" t="n">
        <v>0.0214</v>
      </c>
    </row>
    <row r="18" ht="31.5" customFormat="1" customHeight="1" s="153">
      <c r="B18" s="166" t="inlineStr">
        <is>
          <t>Авторский надзор</t>
        </is>
      </c>
      <c r="C18" s="166" t="inlineStr">
        <is>
          <t>Приказ от 4.08.2020 № 421/пр п.173</t>
        </is>
      </c>
      <c r="D18" s="49" t="n">
        <v>0.002</v>
      </c>
    </row>
    <row r="19" ht="24" customFormat="1" customHeight="1" s="153">
      <c r="B19" s="166" t="inlineStr">
        <is>
          <t>Непредвиденные расходы</t>
        </is>
      </c>
      <c r="C19" s="166" t="inlineStr">
        <is>
          <t>Приказ от 4.08.2020 № 421/пр п.179</t>
        </is>
      </c>
      <c r="D19" s="49" t="n">
        <v>0.03</v>
      </c>
    </row>
    <row r="20" ht="15.6" customFormat="1" customHeight="1" s="153">
      <c r="B20" s="160" t="n"/>
    </row>
    <row r="21" ht="15.6" customFormat="1" customHeight="1" s="153">
      <c r="B21" s="160" t="n"/>
    </row>
    <row r="22" ht="15.6" customFormat="1" customHeight="1" s="153">
      <c r="B22" s="160" t="n"/>
    </row>
    <row r="23" ht="15.6" customFormat="1" customHeight="1" s="153">
      <c r="B23" s="160" t="n"/>
    </row>
    <row r="24" ht="15.6" customFormat="1" customHeight="1" s="153"/>
    <row r="25" ht="15.6" customFormat="1" customHeight="1" s="153">
      <c r="B25" s="153" t="n"/>
      <c r="C25" s="153" t="n"/>
      <c r="D25" s="153" t="n"/>
    </row>
    <row r="26" ht="15.6" customFormat="1" customHeight="1" s="153">
      <c r="B26" s="153" t="inlineStr">
        <is>
          <t>Составил ______________________        М.С. Колотиевская</t>
        </is>
      </c>
      <c r="C26" s="153" t="n"/>
      <c r="D26" s="153" t="n"/>
    </row>
    <row r="27" ht="15.6" customFormat="1" customHeight="1" s="153">
      <c r="B27" s="75" t="inlineStr">
        <is>
          <t xml:space="preserve">                         (подпись, инициалы, фамилия)</t>
        </is>
      </c>
      <c r="C27" s="153" t="n"/>
      <c r="D27" s="153" t="n"/>
    </row>
    <row r="28" ht="15.6" customFormat="1" customHeight="1" s="153">
      <c r="B28" s="153" t="n"/>
      <c r="C28" s="153" t="n"/>
      <c r="D28" s="153" t="n"/>
    </row>
    <row r="29" ht="15.6" customFormat="1" customHeight="1" s="153">
      <c r="B29" s="153" t="inlineStr">
        <is>
          <t>Проверил ______________________      А.В. Костянецкая</t>
        </is>
      </c>
      <c r="C29" s="153" t="n"/>
      <c r="D29" s="153" t="n"/>
    </row>
    <row r="30" ht="15.6" customFormat="1" customHeight="1" s="153">
      <c r="B30" s="75" t="inlineStr">
        <is>
          <t xml:space="preserve">                        (подпись, инициалы, фамилия)</t>
        </is>
      </c>
      <c r="C30" s="153" t="n"/>
      <c r="D30" s="153" t="n"/>
    </row>
    <row r="31" ht="15.6" customFormat="1" customHeight="1" s="153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T25" sqref="T25"/>
    </sheetView>
  </sheetViews>
  <sheetFormatPr baseColWidth="8" defaultColWidth="9.140625" defaultRowHeight="15"/>
  <cols>
    <col width="44.85546875" customWidth="1" style="122" min="2" max="2"/>
    <col width="13" customWidth="1" style="122" min="3" max="3"/>
    <col width="22.85546875" customWidth="1" style="122" min="4" max="4"/>
    <col width="21.5703125" customWidth="1" style="122" min="5" max="5"/>
    <col width="43.85546875" customWidth="1" style="122" min="6" max="6"/>
  </cols>
  <sheetData>
    <row r="1" s="122"/>
    <row r="2" ht="17.25" customHeight="1" s="122">
      <c r="A2" s="165" t="inlineStr">
        <is>
          <t>Расчет размера средств на оплату труда рабочих-строителей в текущем уровне цен (ФОТр.тек.)</t>
        </is>
      </c>
    </row>
    <row r="3" s="122"/>
    <row r="4" ht="18" customHeight="1" s="122">
      <c r="A4" s="123" t="inlineStr">
        <is>
          <t>Составлен в уровне цен на 01.01.2023 г.</t>
        </is>
      </c>
      <c r="B4" s="153" t="n"/>
      <c r="C4" s="153" t="n"/>
      <c r="D4" s="153" t="n"/>
      <c r="E4" s="153" t="n"/>
      <c r="F4" s="153" t="n"/>
      <c r="G4" s="153" t="n"/>
    </row>
    <row r="5" ht="15.75" customHeight="1" s="122">
      <c r="A5" s="125" t="inlineStr">
        <is>
          <t>№ пп.</t>
        </is>
      </c>
      <c r="B5" s="125" t="inlineStr">
        <is>
          <t>Наименование элемента</t>
        </is>
      </c>
      <c r="C5" s="125" t="inlineStr">
        <is>
          <t>Обозначение</t>
        </is>
      </c>
      <c r="D5" s="125" t="inlineStr">
        <is>
          <t>Формула</t>
        </is>
      </c>
      <c r="E5" s="125" t="inlineStr">
        <is>
          <t>Величина элемента</t>
        </is>
      </c>
      <c r="F5" s="125" t="inlineStr">
        <is>
          <t>Наименования обосновывающих документов</t>
        </is>
      </c>
      <c r="G5" s="153" t="n"/>
    </row>
    <row r="6" ht="15.75" customHeight="1" s="122">
      <c r="A6" s="125" t="n">
        <v>1</v>
      </c>
      <c r="B6" s="125" t="n">
        <v>2</v>
      </c>
      <c r="C6" s="125" t="n">
        <v>3</v>
      </c>
      <c r="D6" s="125" t="n">
        <v>4</v>
      </c>
      <c r="E6" s="125" t="n">
        <v>5</v>
      </c>
      <c r="F6" s="125" t="n">
        <v>6</v>
      </c>
      <c r="G6" s="153" t="n"/>
    </row>
    <row r="7" ht="110.25" customHeight="1" s="122">
      <c r="A7" s="126" t="inlineStr">
        <is>
          <t>1.1</t>
        </is>
      </c>
      <c r="B7" s="18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6" t="inlineStr">
        <is>
          <t>С1ср</t>
        </is>
      </c>
      <c r="D7" s="166" t="inlineStr">
        <is>
          <t>-</t>
        </is>
      </c>
      <c r="E7" s="129" t="n">
        <v>47872.94</v>
      </c>
      <c r="F7" s="18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3" t="n"/>
    </row>
    <row r="8" ht="31.5" customHeight="1" s="122">
      <c r="A8" s="126" t="inlineStr">
        <is>
          <t>1.2</t>
        </is>
      </c>
      <c r="B8" s="184" t="inlineStr">
        <is>
          <t>Среднегодовое нормативное число часов работы одного рабочего в месяц, часы (ч.)</t>
        </is>
      </c>
      <c r="C8" s="166" t="inlineStr">
        <is>
          <t>tср</t>
        </is>
      </c>
      <c r="D8" s="166" t="inlineStr">
        <is>
          <t>1973ч/12мес.</t>
        </is>
      </c>
      <c r="E8" s="130">
        <f>1973/12</f>
        <v/>
      </c>
      <c r="F8" s="184" t="inlineStr">
        <is>
          <t>Производственный календарь 2023 год
(40-часов.неделя)</t>
        </is>
      </c>
      <c r="G8" s="133" t="n"/>
    </row>
    <row r="9" ht="15.75" customHeight="1" s="122">
      <c r="A9" s="126" t="inlineStr">
        <is>
          <t>1.3</t>
        </is>
      </c>
      <c r="B9" s="184" t="inlineStr">
        <is>
          <t>Коэффициент увеличения</t>
        </is>
      </c>
      <c r="C9" s="166" t="inlineStr">
        <is>
          <t>Кув</t>
        </is>
      </c>
      <c r="D9" s="166" t="inlineStr">
        <is>
          <t>-</t>
        </is>
      </c>
      <c r="E9" s="130" t="n">
        <v>1</v>
      </c>
      <c r="F9" s="184" t="n"/>
      <c r="G9" s="133" t="n"/>
    </row>
    <row r="10" ht="15.75" customHeight="1" s="122">
      <c r="A10" s="126" t="inlineStr">
        <is>
          <t>1.4</t>
        </is>
      </c>
      <c r="B10" s="184" t="inlineStr">
        <is>
          <t>Средний разряд работ</t>
        </is>
      </c>
      <c r="C10" s="166" t="n"/>
      <c r="D10" s="166" t="n"/>
      <c r="E10" s="134" t="n">
        <v>3.7</v>
      </c>
      <c r="F10" s="184" t="inlineStr">
        <is>
          <t>РТМ</t>
        </is>
      </c>
      <c r="G10" s="133" t="n"/>
    </row>
    <row r="11" ht="78.75" customHeight="1" s="122">
      <c r="A11" s="126" t="inlineStr">
        <is>
          <t>1.5</t>
        </is>
      </c>
      <c r="B11" s="184" t="inlineStr">
        <is>
          <t>Тарифный коэффициент среднего разряда работ</t>
        </is>
      </c>
      <c r="C11" s="166" t="inlineStr">
        <is>
          <t>КТ</t>
        </is>
      </c>
      <c r="D11" s="166" t="inlineStr">
        <is>
          <t>-</t>
        </is>
      </c>
      <c r="E11" s="135" t="n">
        <v>1.293</v>
      </c>
      <c r="F11" s="18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3" t="n"/>
    </row>
    <row r="12" ht="78.75" customHeight="1" s="122">
      <c r="A12" s="126" t="inlineStr">
        <is>
          <t>1.6</t>
        </is>
      </c>
      <c r="B12" s="176" t="inlineStr">
        <is>
          <t>Коэффициент инфляции, определяемый поквартально</t>
        </is>
      </c>
      <c r="C12" s="166" t="inlineStr">
        <is>
          <t>Кинф</t>
        </is>
      </c>
      <c r="D12" s="166" t="inlineStr">
        <is>
          <t>-</t>
        </is>
      </c>
      <c r="E12" s="137" t="n">
        <v>1.139</v>
      </c>
      <c r="F12" s="1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3" t="n"/>
    </row>
    <row r="13" ht="63" customHeight="1" s="122">
      <c r="A13" s="139" t="inlineStr">
        <is>
          <t>1.7</t>
        </is>
      </c>
      <c r="B13" s="140" t="inlineStr">
        <is>
          <t>Размер средств на оплату труда рабочих-строителей в текущем уровне цен (ФОТр.тек.), руб/чел.-ч</t>
        </is>
      </c>
      <c r="C13" s="192" t="inlineStr">
        <is>
          <t>ФОТр.тек.</t>
        </is>
      </c>
      <c r="D13" s="192" t="inlineStr">
        <is>
          <t>(С1ср/tср*КТ*Т*Кув)*Кинф</t>
        </is>
      </c>
      <c r="E13" s="142">
        <f>((E7*E9/E8)*E11)*E12</f>
        <v/>
      </c>
      <c r="F13" s="1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2023-07-25T09:21:23Z</dcterms:created>
  <dcterms:modified xsi:type="dcterms:W3CDTF">2025-01-24T12:12:26Z</dcterms:modified>
  <cp:lastModifiedBy>REDMIBOOK</cp:lastModifiedBy>
  <cp:lastPrinted>2023-12-01T09:15:51Z</cp:lastPrinted>
</cp:coreProperties>
</file>