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731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'Прил.3'!$A$1:$H$238</definedName>
    <definedName name="_xlnm.Print_Titles" localSheetId="4">'Прил.5 Расчет СМР и ОБ'!$9:$11</definedName>
    <definedName name="_xlnm.Print_Area" localSheetId="4">'Прил.5 Расчет СМР и ОБ'!$A$1:$J$244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"/>
    <numFmt numFmtId="166" formatCode="#,##0.000"/>
    <numFmt numFmtId="167" formatCode="0.0000"/>
    <numFmt numFmtId="168" formatCode="#,##0.00_ ;\-#,##0.00\ "/>
    <numFmt numFmtId="169" formatCode="_-* #,##0.00_-;\-* #,##0.00_-;_-* &quot;-&quot;??_-;_-@_-"/>
    <numFmt numFmtId="170" formatCode="_-* #,##0.00\ _₽_-;\-* #,##0.00\ _₽_-;_-* &quot;-&quot;??\ _₽_-;_-@_-"/>
  </numFmts>
  <fonts count="14">
    <font>
      <name val="Calibri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color rgb="FFFF0000"/>
      <sz val="11"/>
    </font>
    <font>
      <name val="Times New Roman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justify" vertic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4" fillId="0" borderId="0" pivotButton="0" quotePrefix="0" xfId="0"/>
    <xf numFmtId="4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top" wrapText="1"/>
    </xf>
    <xf numFmtId="0" fontId="3" fillId="0" borderId="0" pivotButton="0" quotePrefix="0" xfId="0"/>
    <xf numFmtId="0" fontId="2" fillId="0" borderId="0" pivotButton="0" quotePrefix="0" xfId="0"/>
    <xf numFmtId="4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 vertical="center"/>
    </xf>
    <xf numFmtId="10" fontId="2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2" fillId="0" borderId="2" applyAlignment="1" pivotButton="0" quotePrefix="0" xfId="0">
      <alignment vertical="center" wrapText="1"/>
    </xf>
    <xf numFmtId="4" fontId="2" fillId="0" borderId="2" applyAlignment="1" pivotButton="0" quotePrefix="0" xfId="0">
      <alignment horizontal="right" vertical="center"/>
    </xf>
    <xf numFmtId="10" fontId="2" fillId="0" borderId="2" applyAlignment="1" pivotButton="0" quotePrefix="0" xfId="0">
      <alignment vertical="center" wrapText="1"/>
    </xf>
    <xf numFmtId="10" fontId="2" fillId="0" borderId="2" applyAlignment="1" pivotButton="0" quotePrefix="0" xfId="0">
      <alignment vertical="center"/>
    </xf>
    <xf numFmtId="4" fontId="2" fillId="0" borderId="0" pivotButton="0" quotePrefix="0" xfId="0"/>
    <xf numFmtId="0" fontId="2" fillId="0" borderId="1" pivotButton="0" quotePrefix="0" xfId="0"/>
    <xf numFmtId="10" fontId="2" fillId="0" borderId="1" pivotButton="0" quotePrefix="0" xfId="0"/>
    <xf numFmtId="0" fontId="2" fillId="0" borderId="3" applyAlignment="1" pivotButton="0" quotePrefix="0" xfId="0">
      <alignment vertical="center" wrapText="1"/>
    </xf>
    <xf numFmtId="4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2" fillId="0" borderId="0" pivotButton="0" quotePrefix="0" xfId="0"/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pivotButton="0" quotePrefix="0" xfId="0"/>
    <xf numFmtId="0" fontId="2" fillId="0" borderId="1" pivotButton="0" quotePrefix="0" xfId="0"/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164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1" pivotButton="0" quotePrefix="0" xfId="0"/>
    <xf numFmtId="0" fontId="2" fillId="0" borderId="1" pivotButton="0" quotePrefix="0" xfId="0"/>
    <xf numFmtId="4" fontId="2" fillId="0" borderId="1" pivotButton="0" quotePrefix="0" xfId="0"/>
    <xf numFmtId="164" fontId="2" fillId="0" borderId="1" pivotButton="0" quotePrefix="0" xfId="0"/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vertical="top"/>
    </xf>
    <xf numFmtId="9" fontId="2" fillId="0" borderId="1" applyAlignment="1" pivotButton="0" quotePrefix="0" xfId="0">
      <alignment horizontal="center" vertical="top" wrapText="1"/>
    </xf>
    <xf numFmtId="2" fontId="2" fillId="0" borderId="1" applyAlignment="1" pivotButton="0" quotePrefix="0" xfId="0">
      <alignment horizontal="left" vertical="top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4" fontId="2" fillId="0" borderId="4" applyAlignment="1" pivotButton="0" quotePrefix="0" xfId="0">
      <alignment horizontal="right" vertical="top" wrapText="1"/>
    </xf>
    <xf numFmtId="4" fontId="2" fillId="0" borderId="3" applyAlignment="1" pivotButton="0" quotePrefix="0" xfId="0">
      <alignment horizontal="right" vertical="top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wrapText="1"/>
    </xf>
    <xf numFmtId="49" fontId="2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0" fontId="0" fillId="0" borderId="4" pivotButton="0" quotePrefix="0" xfId="0"/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166" fontId="2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justify" vertical="center" wrapText="1"/>
    </xf>
    <xf numFmtId="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8" fontId="11" fillId="2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vertical="center" wrapText="1"/>
    </xf>
    <xf numFmtId="170" fontId="2" fillId="0" borderId="0" pivotButton="0" quotePrefix="0" xfId="0"/>
    <xf numFmtId="169" fontId="4" fillId="0" borderId="3" applyAlignment="1" pivotButton="0" quotePrefix="0" xfId="0">
      <alignment vertical="center" wrapText="1"/>
    </xf>
    <xf numFmtId="169" fontId="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0" fontId="2" fillId="0" borderId="0" applyAlignment="1" pivotButton="0" quotePrefix="0" xfId="0">
      <alignment horizontal="left" vertical="center"/>
    </xf>
    <xf numFmtId="4" fontId="2" fillId="0" borderId="1" applyAlignment="1" pivotButton="0" quotePrefix="0" xfId="0">
      <alignment vertical="top"/>
    </xf>
    <xf numFmtId="0" fontId="4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pivotButton="0" quotePrefix="0" xfId="0"/>
    <xf numFmtId="49" fontId="2" fillId="0" borderId="1" applyAlignment="1" pivotButton="0" quotePrefix="0" xfId="0">
      <alignment horizontal="left" vertical="top" wrapText="1"/>
    </xf>
    <xf numFmtId="4" fontId="4" fillId="0" borderId="1" pivotButton="0" quotePrefix="0" xfId="0"/>
    <xf numFmtId="4" fontId="2" fillId="0" borderId="1" pivotButton="0" quotePrefix="0" xfId="0"/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2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3" pivotButton="0" quotePrefix="0" xfId="0"/>
    <xf numFmtId="170" fontId="2" fillId="0" borderId="0" pivotButton="0" quotePrefix="0" xfId="0"/>
  </cellXfs>
  <cellStyles count="1">
    <cellStyle name="Обычный" xfId="0" builtinId="0"/>
  </cellStyles>
  <dxfs count="7">
    <dxf>
      <numFmt numFmtId="170" formatCode="#,##0.0000"/>
    </dxf>
    <dxf>
      <numFmt numFmtId="170" formatCode="#,##0.0000"/>
    </dxf>
    <dxf>
      <numFmt numFmtId="170" formatCode="#,##0.0000"/>
    </dxf>
    <dxf>
      <numFmt numFmtId="170" formatCode="#,##0.0000"/>
    </dxf>
    <dxf>
      <numFmt numFmtId="170" formatCode="#,##0.0000"/>
    </dxf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zoomScale="60" zoomScaleNormal="100" workbookViewId="0">
      <selection activeCell="B27" sqref="B27:D32"/>
    </sheetView>
  </sheetViews>
  <sheetFormatPr baseColWidth="8" defaultRowHeight="15"/>
  <cols>
    <col width="36.85546875" customWidth="1" style="127" min="3" max="3"/>
    <col width="39.42578125" customWidth="1" style="127" min="4" max="4"/>
  </cols>
  <sheetData>
    <row r="3" ht="15.6" customHeight="1" s="127">
      <c r="B3" s="178" t="inlineStr">
        <is>
          <t>Приложение № 1</t>
        </is>
      </c>
    </row>
    <row r="4" ht="17.45" customHeight="1" s="127">
      <c r="B4" s="179" t="inlineStr">
        <is>
          <t>Сравнительная таблица отбора объекта-представителя</t>
        </is>
      </c>
    </row>
    <row r="5" ht="81.75" customHeight="1" s="127">
      <c r="B5" s="1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27">
      <c r="B6" s="77" t="n"/>
      <c r="C6" s="77" t="n"/>
      <c r="D6" s="77" t="n"/>
    </row>
    <row r="7" ht="15.6" customHeight="1" s="127">
      <c r="B7" s="177">
        <f>'Прил.5 Расчет СМР и ОБ'!$A$6&amp;'Прил.5 Расчет СМР и ОБ'!$D$6</f>
        <v/>
      </c>
    </row>
    <row r="8" ht="15.6" customHeight="1" s="127">
      <c r="B8" s="177" t="inlineStr">
        <is>
          <t>Сопоставимый уровень цен: 4 кв. 2017</t>
        </is>
      </c>
    </row>
    <row r="9" ht="15.6" customHeight="1" s="127">
      <c r="B9" s="177">
        <f>'Прил.5 Расчет СМР и ОБ'!$A$7</f>
        <v/>
      </c>
    </row>
    <row r="10" ht="18" customHeight="1" s="127">
      <c r="B10" s="167" t="n"/>
    </row>
    <row r="11" ht="15.6" customHeight="1" s="127">
      <c r="B11" s="181" t="inlineStr">
        <is>
          <t>№ п/п</t>
        </is>
      </c>
      <c r="C11" s="181" t="inlineStr">
        <is>
          <t>Параметр</t>
        </is>
      </c>
      <c r="D11" s="181" t="inlineStr">
        <is>
          <t>Объект-представитель</t>
        </is>
      </c>
    </row>
    <row r="12" ht="31.15" customHeight="1" s="127">
      <c r="B12" s="181" t="n">
        <v>1</v>
      </c>
      <c r="C12" s="196" t="inlineStr">
        <is>
          <t>Наименование объекта-представителя</t>
        </is>
      </c>
      <c r="D12" s="181" t="inlineStr">
        <is>
          <t>ПС 500/220/110/10 кВ «Чагино». Реконструкция</t>
        </is>
      </c>
    </row>
    <row r="13" ht="31.15" customHeight="1" s="127">
      <c r="B13" s="181" t="n">
        <v>2</v>
      </c>
      <c r="C13" s="196" t="inlineStr">
        <is>
          <t>Наименование субъекта Российской Федерации</t>
        </is>
      </c>
      <c r="D13" s="181" t="inlineStr">
        <is>
          <t>Москва</t>
        </is>
      </c>
    </row>
    <row r="14" ht="15.6" customHeight="1" s="127">
      <c r="B14" s="181" t="n">
        <v>3</v>
      </c>
      <c r="C14" s="196" t="inlineStr">
        <is>
          <t>Климатический район и подрайон</t>
        </is>
      </c>
      <c r="D14" s="181" t="inlineStr">
        <is>
          <t>IIB</t>
        </is>
      </c>
    </row>
    <row r="15" ht="15.6" customHeight="1" s="127">
      <c r="B15" s="181" t="n">
        <v>4</v>
      </c>
      <c r="C15" s="196" t="inlineStr">
        <is>
          <t>Мощность объекта</t>
        </is>
      </c>
      <c r="D15" s="201" t="n">
        <v>192.3</v>
      </c>
    </row>
    <row r="16" ht="93.59999999999999" customHeight="1" s="127">
      <c r="B16" s="181" t="n">
        <v>5</v>
      </c>
      <c r="C16" s="1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1" t="inlineStr">
        <is>
          <t>Модули газового пожаротушения, пожарные приборы, извещатели, пульты управления</t>
        </is>
      </c>
    </row>
    <row r="17" ht="78" customHeight="1" s="127">
      <c r="B17" s="181" t="n">
        <v>6</v>
      </c>
      <c r="C17" s="1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SUM(D18:D21)</f>
        <v/>
      </c>
    </row>
    <row r="18" ht="15.6" customHeight="1" s="127">
      <c r="B18" s="169" t="inlineStr">
        <is>
          <t>6.1</t>
        </is>
      </c>
      <c r="C18" s="196" t="inlineStr">
        <is>
          <t>строительно-монтажные работы</t>
        </is>
      </c>
      <c r="D18" s="160">
        <f>3482.4230584+11594.4130024</f>
        <v/>
      </c>
    </row>
    <row r="19" ht="15.6" customHeight="1" s="127">
      <c r="B19" s="169" t="inlineStr">
        <is>
          <t>6.2</t>
        </is>
      </c>
      <c r="C19" s="196" t="inlineStr">
        <is>
          <t>оборудование и инвентарь</t>
        </is>
      </c>
      <c r="D19" s="160" t="n">
        <v>73077.8387436</v>
      </c>
    </row>
    <row r="20" ht="15.6" customHeight="1" s="127">
      <c r="B20" s="169" t="inlineStr">
        <is>
          <t>6.3</t>
        </is>
      </c>
      <c r="C20" s="196" t="inlineStr">
        <is>
          <t>пусконаладочные работы</t>
        </is>
      </c>
      <c r="D20" s="160" t="n"/>
    </row>
    <row r="21" ht="15.6" customHeight="1" s="127">
      <c r="B21" s="169" t="inlineStr">
        <is>
          <t>6.4</t>
        </is>
      </c>
      <c r="C21" s="196" t="inlineStr">
        <is>
          <t>прочие и лимитированные затраты</t>
        </is>
      </c>
      <c r="D21" s="160">
        <f>D18*3.9%*0.8+(D18+D18*3.9%*0.8)*2.1%*1</f>
        <v/>
      </c>
    </row>
    <row r="22" ht="15.6" customHeight="1" s="127">
      <c r="B22" s="181" t="n">
        <v>7</v>
      </c>
      <c r="C22" s="196" t="inlineStr">
        <is>
          <t>Сопоставимый уровень цен</t>
        </is>
      </c>
      <c r="D22" s="162" t="inlineStr">
        <is>
          <t>4 кв. 2017</t>
        </is>
      </c>
    </row>
    <row r="23" ht="109.15" customHeight="1" s="127">
      <c r="B23" s="181" t="n">
        <v>8</v>
      </c>
      <c r="C23" s="15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</row>
    <row r="24" ht="46.9" customHeight="1" s="127">
      <c r="B24" s="181" t="n">
        <v>9</v>
      </c>
      <c r="C24" s="159" t="inlineStr">
        <is>
          <t>Приведенная сметная стоимость на единицу мощности, тыс. руб. (строка 8/строку 4)</t>
        </is>
      </c>
      <c r="D24" s="160">
        <f>D23/D15</f>
        <v/>
      </c>
    </row>
    <row r="25" ht="15.6" customHeight="1" s="127">
      <c r="B25" s="181" t="n">
        <v>10</v>
      </c>
      <c r="C25" s="196" t="inlineStr">
        <is>
          <t>Примечание</t>
        </is>
      </c>
      <c r="D25" s="181" t="n"/>
    </row>
    <row r="26" ht="15.6" customHeight="1" s="127">
      <c r="B26" s="163" t="n"/>
      <c r="C26" s="164" t="n"/>
      <c r="D26" s="163" t="n"/>
    </row>
    <row r="27" ht="15.6" customHeight="1" s="127">
      <c r="B27" s="168" t="n"/>
      <c r="C27" s="168" t="n"/>
      <c r="D27" s="168" t="n"/>
    </row>
    <row r="28" ht="15.6" customFormat="1" customHeight="1" s="168">
      <c r="B28" s="168" t="inlineStr">
        <is>
          <t>Составил ______________________        М.С. Колотиевская</t>
        </is>
      </c>
      <c r="C28" s="168" t="n"/>
      <c r="D28" s="168" t="n"/>
    </row>
    <row r="29" ht="15.6" customFormat="1" customHeight="1" s="168">
      <c r="B29" s="125" t="inlineStr">
        <is>
          <t xml:space="preserve">                         (подпись, инициалы, фамилия)</t>
        </is>
      </c>
      <c r="C29" s="168" t="n"/>
      <c r="D29" s="168" t="n"/>
    </row>
    <row r="30" ht="15.6" customFormat="1" customHeight="1" s="168">
      <c r="B30" s="168" t="n"/>
      <c r="C30" s="168" t="n"/>
      <c r="D30" s="168" t="n"/>
    </row>
    <row r="31" ht="15.6" customFormat="1" customHeight="1" s="168">
      <c r="B31" s="168" t="inlineStr">
        <is>
          <t>Проверил ______________________      А.В. Костянецкая</t>
        </is>
      </c>
      <c r="C31" s="168" t="n"/>
      <c r="D31" s="168" t="n"/>
    </row>
    <row r="32" ht="15.6" customFormat="1" customHeight="1" s="168">
      <c r="B32" s="125" t="inlineStr">
        <is>
          <t xml:space="preserve">                        (подпись, инициалы, фамилия)</t>
        </is>
      </c>
      <c r="C32" s="168" t="n"/>
      <c r="D32" s="168" t="n"/>
    </row>
    <row r="33" ht="15.6" customHeight="1" s="127">
      <c r="B33" s="81" t="n"/>
      <c r="C33" s="81" t="n"/>
      <c r="D33" s="81" t="n"/>
    </row>
  </sheetData>
  <mergeCells count="6">
    <mergeCell ref="B3:D3"/>
    <mergeCell ref="B5:D5"/>
    <mergeCell ref="B8:D8"/>
    <mergeCell ref="B4:D4"/>
    <mergeCell ref="B9:D9"/>
    <mergeCell ref="B7:D7"/>
  </mergeCells>
  <conditionalFormatting sqref="D15">
    <cfRule type="expression" priority="1" dxfId="0" stopIfTrue="1">
      <formula>D15&gt;=1/10000</formula>
    </cfRule>
  </conditionalFormatting>
  <pageMargins left="0.7" right="0.7" top="0.75" bottom="0.75" header="0.3" footer="0.3"/>
  <pageSetup orientation="portrait" paperSize="9" scale="8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4" zoomScale="90" zoomScaleNormal="70" workbookViewId="0">
      <selection activeCell="C19" sqref="C19:E24"/>
    </sheetView>
  </sheetViews>
  <sheetFormatPr baseColWidth="8" defaultColWidth="9.140625" defaultRowHeight="15"/>
  <cols>
    <col width="5.5703125" customWidth="1" style="127" min="1" max="1"/>
    <col width="9.140625" customWidth="1" style="127" min="2" max="2"/>
    <col width="35.28515625" customWidth="1" style="127" min="3" max="3"/>
    <col width="13.85546875" customWidth="1" style="127" min="4" max="4"/>
    <col width="17.42578125" customWidth="1" style="127" min="5" max="5"/>
    <col width="12.7109375" customWidth="1" style="127" min="6" max="6"/>
    <col width="14.85546875" customWidth="1" style="127" min="7" max="7"/>
    <col width="16.7109375" customWidth="1" style="127" min="8" max="8"/>
    <col width="13" customWidth="1" style="127" min="9" max="9"/>
    <col width="18.5703125" customWidth="1" style="127" min="10" max="10"/>
    <col width="9.140625" customWidth="1" style="127" min="11" max="11"/>
  </cols>
  <sheetData>
    <row r="3" ht="15.6" customHeight="1" s="127">
      <c r="B3" s="178" t="inlineStr">
        <is>
          <t>Приложение № 2</t>
        </is>
      </c>
    </row>
    <row r="4" ht="15.6" customHeight="1" s="127">
      <c r="B4" s="183" t="inlineStr">
        <is>
          <t>Расчет стоимости основных видов работ для выбора объекта-представителя</t>
        </is>
      </c>
    </row>
    <row r="5" ht="15.6" customHeight="1" s="127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</row>
    <row r="6" ht="15.6" customHeight="1" s="127">
      <c r="B6" s="177" t="inlineStr">
        <is>
          <t>Наименование разрабатываемого показателя УНЦ -  Н2-09 Газовое пожаротушение</t>
        </is>
      </c>
      <c r="K6" s="166" t="n"/>
    </row>
    <row r="7" ht="15.6" customHeight="1" s="127">
      <c r="B7" s="177" t="inlineStr">
        <is>
          <t>Единица измерения  —  м3</t>
        </is>
      </c>
      <c r="K7" s="166" t="n"/>
    </row>
    <row r="8" ht="18" customHeight="1" s="127">
      <c r="B8" s="167" t="n"/>
    </row>
    <row r="9" ht="15.75" customFormat="1" customHeight="1" s="168">
      <c r="B9" s="181" t="inlineStr">
        <is>
          <t>№ п/п</t>
        </is>
      </c>
      <c r="C9" s="1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1" t="inlineStr">
        <is>
          <t>Объект-представитель 1</t>
        </is>
      </c>
      <c r="E9" s="205" t="n"/>
      <c r="F9" s="205" t="n"/>
      <c r="G9" s="205" t="n"/>
      <c r="H9" s="205" t="n"/>
      <c r="I9" s="205" t="n"/>
      <c r="J9" s="206" t="n"/>
    </row>
    <row r="10" ht="15.75" customFormat="1" customHeight="1" s="168">
      <c r="B10" s="207" t="n"/>
      <c r="C10" s="207" t="n"/>
      <c r="D10" s="181" t="inlineStr">
        <is>
          <t>Номер сметы</t>
        </is>
      </c>
      <c r="E10" s="181" t="inlineStr">
        <is>
          <t>Наименование сметы</t>
        </is>
      </c>
      <c r="F10" s="181" t="inlineStr">
        <is>
          <t>Сметная стоимость в уровне цен 4 кв. 2017 г., тыс. руб.</t>
        </is>
      </c>
      <c r="G10" s="205" t="n"/>
      <c r="H10" s="205" t="n"/>
      <c r="I10" s="205" t="n"/>
      <c r="J10" s="206" t="n"/>
    </row>
    <row r="11" ht="31.5" customFormat="1" customHeight="1" s="168">
      <c r="B11" s="208" t="n"/>
      <c r="C11" s="208" t="n"/>
      <c r="D11" s="208" t="n"/>
      <c r="E11" s="208" t="n"/>
      <c r="F11" s="181" t="inlineStr">
        <is>
          <t>Строительные работы</t>
        </is>
      </c>
      <c r="G11" s="181" t="inlineStr">
        <is>
          <t>Монтажные работы</t>
        </is>
      </c>
      <c r="H11" s="181" t="inlineStr">
        <is>
          <t>Оборудование</t>
        </is>
      </c>
      <c r="I11" s="181" t="inlineStr">
        <is>
          <t>Прочее</t>
        </is>
      </c>
      <c r="J11" s="181" t="inlineStr">
        <is>
          <t>Всего</t>
        </is>
      </c>
    </row>
    <row r="12" ht="141.75" customFormat="1" customHeight="1" s="168">
      <c r="B12" s="181" t="n">
        <v>1</v>
      </c>
      <c r="C12" s="181" t="inlineStr">
        <is>
          <t>Модули газового пожаротушения, пожарные приборы, извещатели, пульты управления</t>
        </is>
      </c>
      <c r="D12" s="169" t="inlineStr">
        <is>
          <t>05-02-01</t>
        </is>
      </c>
      <c r="E12" s="196" t="inlineStr">
        <is>
          <t>Кабельные тоннели №5,№6. Система контроля и управления противопожарной защитой. Этап 5</t>
        </is>
      </c>
      <c r="F12" s="171" t="n"/>
      <c r="G12" s="172">
        <f>823635/1000*7.24</f>
        <v/>
      </c>
      <c r="H12" s="172">
        <f>2298521/1000*4.44</f>
        <v/>
      </c>
      <c r="I12" s="172" t="n"/>
      <c r="J12" s="172">
        <f>SUM(F12:I12)</f>
        <v/>
      </c>
      <c r="K12" s="209" t="n"/>
      <c r="L12" s="209" t="n"/>
      <c r="M12" s="209" t="n"/>
    </row>
    <row r="13" ht="110.25" customFormat="1" customHeight="1" s="168">
      <c r="B13" s="207" t="n"/>
      <c r="C13" s="207" t="n"/>
      <c r="D13" s="169" t="inlineStr">
        <is>
          <t>05-02-02</t>
        </is>
      </c>
      <c r="E13" s="196" t="inlineStr">
        <is>
          <t>Здание АТ1, АТ2. Система контроля и управления противопожарной защитой. Этап 5</t>
        </is>
      </c>
      <c r="F13" s="171" t="n"/>
      <c r="G13" s="172">
        <f>404820/1000*7.24</f>
        <v/>
      </c>
      <c r="H13" s="172">
        <f>9689525/1000*4.44</f>
        <v/>
      </c>
      <c r="I13" s="172" t="n"/>
      <c r="J13" s="172">
        <f>SUM(F13:I13)</f>
        <v/>
      </c>
      <c r="K13" s="209" t="n"/>
    </row>
    <row r="14" ht="47.25" customFormat="1" customHeight="1" s="168">
      <c r="B14" s="208" t="n"/>
      <c r="C14" s="208" t="n"/>
      <c r="D14" s="169" t="inlineStr">
        <is>
          <t>05-02-03</t>
        </is>
      </c>
      <c r="E14" s="196" t="inlineStr">
        <is>
          <t>Пожарная сигнализация ПС 5-й этап</t>
        </is>
      </c>
      <c r="F14" s="172">
        <f>480997.66/1000*7.24</f>
        <v/>
      </c>
      <c r="G14" s="172">
        <f>372983.26/1000*7.24</f>
        <v/>
      </c>
      <c r="H14" s="172">
        <f>4470926.69/1000*4.44</f>
        <v/>
      </c>
      <c r="I14" s="172" t="n"/>
      <c r="J14" s="172">
        <f>SUM(F14:I14)</f>
        <v/>
      </c>
      <c r="K14" s="209" t="n"/>
    </row>
    <row r="15" ht="15.6" customFormat="1" customHeight="1" s="168">
      <c r="B15" s="182" t="inlineStr">
        <is>
          <t>Всего по объекту:</t>
        </is>
      </c>
      <c r="C15" s="205" t="n"/>
      <c r="D15" s="205" t="n"/>
      <c r="E15" s="206" t="n"/>
      <c r="F15" s="174">
        <f>SUM(F12:F14)</f>
        <v/>
      </c>
      <c r="G15" s="174">
        <f>SUM(G12:G14)</f>
        <v/>
      </c>
      <c r="H15" s="174">
        <f>SUM(H12:H14)</f>
        <v/>
      </c>
      <c r="I15" s="174">
        <f>SUM(I12:I14)</f>
        <v/>
      </c>
      <c r="J15" s="174">
        <f>SUM(F15:I15)</f>
        <v/>
      </c>
    </row>
    <row r="16" ht="28.5" customFormat="1" customHeight="1" s="168">
      <c r="B16" s="182" t="inlineStr">
        <is>
          <t>Всего по объекту в сопоставимом уровне цен 4 кв. 2017 г:</t>
        </is>
      </c>
      <c r="C16" s="205" t="n"/>
      <c r="D16" s="205" t="n"/>
      <c r="E16" s="206" t="n"/>
      <c r="F16" s="175">
        <f>F15</f>
        <v/>
      </c>
      <c r="G16" s="175">
        <f>G15</f>
        <v/>
      </c>
      <c r="H16" s="175">
        <f>H15</f>
        <v/>
      </c>
      <c r="I16" s="175">
        <f>I15</f>
        <v/>
      </c>
      <c r="J16" s="175">
        <f>SUM(F16:I16)</f>
        <v/>
      </c>
    </row>
    <row r="17" ht="15.6" customFormat="1" customHeight="1" s="168">
      <c r="B17" s="177" t="n"/>
    </row>
    <row r="18" ht="15.6" customFormat="1" customHeight="1" s="168"/>
    <row r="19" ht="15.6" customFormat="1" customHeight="1" s="168"/>
    <row r="20" ht="15.6" customFormat="1" customHeight="1" s="168">
      <c r="C20" s="168" t="inlineStr">
        <is>
          <t>Составил ______________________        М.С. Колотиевская</t>
        </is>
      </c>
    </row>
    <row r="21" ht="15.6" customFormat="1" customHeight="1" s="168">
      <c r="C21" s="125" t="inlineStr">
        <is>
          <t xml:space="preserve">                         (подпись, инициалы, фамилия)</t>
        </is>
      </c>
    </row>
    <row r="22" ht="15.6" customFormat="1" customHeight="1" s="168"/>
    <row r="23" ht="15.6" customFormat="1" customHeight="1" s="168">
      <c r="C23" s="168" t="inlineStr">
        <is>
          <t>Проверил ______________________      А.В. Костянецкая</t>
        </is>
      </c>
    </row>
    <row r="24" ht="15.6" customFormat="1" customHeight="1" s="168">
      <c r="C24" s="125" t="inlineStr">
        <is>
          <t xml:space="preserve">                        (подпись, инициалы, фамилия)</t>
        </is>
      </c>
    </row>
    <row r="25" ht="15.6" customFormat="1" customHeight="1" s="168"/>
  </sheetData>
  <mergeCells count="14">
    <mergeCell ref="B7:J7"/>
    <mergeCell ref="B3:J3"/>
    <mergeCell ref="D10:D11"/>
    <mergeCell ref="C12:C14"/>
    <mergeCell ref="D9:J9"/>
    <mergeCell ref="B12:B14"/>
    <mergeCell ref="F10:J10"/>
    <mergeCell ref="B16:E16"/>
    <mergeCell ref="B15:E15"/>
    <mergeCell ref="B6:J6"/>
    <mergeCell ref="B9:B11"/>
    <mergeCell ref="B4:J4"/>
    <mergeCell ref="E10:E11"/>
    <mergeCell ref="C9:C11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J238"/>
  <sheetViews>
    <sheetView view="pageBreakPreview" topLeftCell="A209" zoomScale="70" zoomScaleNormal="55" zoomScaleSheetLayoutView="70" workbookViewId="0">
      <selection activeCell="D232" sqref="D232:D237"/>
    </sheetView>
  </sheetViews>
  <sheetFormatPr baseColWidth="8" defaultColWidth="9.140625" defaultRowHeight="15"/>
  <cols>
    <col width="9.140625" customWidth="1" style="127" min="1" max="2"/>
    <col width="17" customWidth="1" style="127" min="3" max="3"/>
    <col width="49.7109375" customWidth="1" style="127" min="4" max="4"/>
    <col width="16.28515625" customWidth="1" style="127" min="5" max="5"/>
    <col width="20.7109375" customWidth="1" style="127" min="6" max="6"/>
    <col width="16.140625" customWidth="1" style="127" min="7" max="7"/>
    <col width="16.7109375" customWidth="1" style="127" min="8" max="8"/>
    <col width="9.140625" customWidth="1" style="127" min="9" max="9"/>
  </cols>
  <sheetData>
    <row r="2" s="127"/>
    <row r="3" s="127"/>
    <row r="4" ht="15.6" customHeight="1" s="127">
      <c r="A4" s="178" t="inlineStr">
        <is>
          <t xml:space="preserve">Приложение № 3 </t>
        </is>
      </c>
    </row>
    <row r="5" ht="17.45" customHeight="1" s="127">
      <c r="A5" s="179" t="inlineStr">
        <is>
          <t>Объектная ресурсная ведомость</t>
        </is>
      </c>
    </row>
    <row r="6" ht="18" customHeight="1" s="127">
      <c r="A6" s="167" t="n"/>
      <c r="B6" s="167" t="n"/>
    </row>
    <row r="7" ht="15.6" customHeight="1" s="127">
      <c r="A7" s="187">
        <f>'Прил.5 Расчет СМР и ОБ'!$A$6&amp;'Прил.5 Расчет СМР и ОБ'!$D$6</f>
        <v/>
      </c>
    </row>
    <row r="8" ht="15.6" customHeight="1" s="127">
      <c r="A8" s="187" t="n"/>
      <c r="B8" s="187" t="n"/>
      <c r="C8" s="187" t="n"/>
      <c r="D8" s="187" t="n"/>
      <c r="E8" s="187" t="n"/>
      <c r="F8" s="187" t="n"/>
      <c r="G8" s="187" t="n"/>
      <c r="H8" s="187" t="n"/>
    </row>
    <row r="9" ht="38.25" customFormat="1" customHeight="1" s="168">
      <c r="A9" s="181" t="inlineStr">
        <is>
          <t>п/п</t>
        </is>
      </c>
      <c r="B9" s="181" t="inlineStr">
        <is>
          <t>№ЛСР</t>
        </is>
      </c>
      <c r="C9" s="181" t="inlineStr">
        <is>
          <t>Код ресурса</t>
        </is>
      </c>
      <c r="D9" s="181" t="inlineStr">
        <is>
          <t>Наименование ресурса</t>
        </is>
      </c>
      <c r="E9" s="181" t="inlineStr">
        <is>
          <t>Ед. изм.</t>
        </is>
      </c>
      <c r="F9" s="181" t="inlineStr">
        <is>
          <t>Кол-во единиц по данным объекта-представителя</t>
        </is>
      </c>
      <c r="G9" s="181" t="inlineStr">
        <is>
          <t>Сметная стоимость в ценах на 01.01.2000 (руб.)</t>
        </is>
      </c>
      <c r="H9" s="206" t="n"/>
    </row>
    <row r="10" ht="40.5" customFormat="1" customHeight="1" s="168">
      <c r="A10" s="208" t="n"/>
      <c r="B10" s="208" t="n"/>
      <c r="C10" s="208" t="n"/>
      <c r="D10" s="208" t="n"/>
      <c r="E10" s="208" t="n"/>
      <c r="F10" s="208" t="n"/>
      <c r="G10" s="181" t="inlineStr">
        <is>
          <t>на ед.изм.</t>
        </is>
      </c>
      <c r="H10" s="181" t="inlineStr">
        <is>
          <t>общая</t>
        </is>
      </c>
    </row>
    <row r="11" ht="15.6" customFormat="1" customHeight="1" s="168">
      <c r="A11" s="181" t="n">
        <v>1</v>
      </c>
      <c r="B11" s="181" t="n"/>
      <c r="C11" s="181" t="n">
        <v>2</v>
      </c>
      <c r="D11" s="181" t="inlineStr">
        <is>
          <t>З</t>
        </is>
      </c>
      <c r="E11" s="181" t="n">
        <v>4</v>
      </c>
      <c r="F11" s="181" t="n">
        <v>5</v>
      </c>
      <c r="G11" s="181" t="n">
        <v>6</v>
      </c>
      <c r="H11" s="181" t="n">
        <v>7</v>
      </c>
    </row>
    <row r="12" ht="15.6" customFormat="1" customHeight="1" s="9">
      <c r="A12" s="184" t="inlineStr">
        <is>
          <t>Затраты труда рабочих</t>
        </is>
      </c>
      <c r="B12" s="205" t="n"/>
      <c r="C12" s="205" t="n"/>
      <c r="D12" s="205" t="n"/>
      <c r="E12" s="206" t="n"/>
      <c r="F12" s="184" t="n">
        <v>1964.75</v>
      </c>
      <c r="G12" s="10" t="n"/>
      <c r="H12" s="10">
        <f>SUM(H13:H28)</f>
        <v/>
      </c>
    </row>
    <row r="13" ht="15.6" customFormat="1" customHeight="1" s="168">
      <c r="A13" s="186" t="n">
        <v>1</v>
      </c>
      <c r="B13" s="186" t="n"/>
      <c r="C13" s="185" t="inlineStr">
        <is>
          <t>3-200-01</t>
        </is>
      </c>
      <c r="D13" s="185" t="inlineStr">
        <is>
          <t>Инженер I категории</t>
        </is>
      </c>
      <c r="E13" s="186" t="inlineStr">
        <is>
          <t>чел.-ч</t>
        </is>
      </c>
      <c r="F13" s="186" t="n">
        <v>144.5</v>
      </c>
      <c r="G13" s="188" t="n">
        <v>15.49</v>
      </c>
      <c r="H13" s="188">
        <f>ROUND(F13*G13,2)</f>
        <v/>
      </c>
    </row>
    <row r="14" ht="15.6" customFormat="1" customHeight="1" s="168">
      <c r="A14" s="186" t="n">
        <v>2</v>
      </c>
      <c r="B14" s="186" t="n"/>
      <c r="C14" s="185" t="inlineStr">
        <is>
          <t>3-200-02</t>
        </is>
      </c>
      <c r="D14" s="185" t="inlineStr">
        <is>
          <t>Инженер II категории</t>
        </is>
      </c>
      <c r="E14" s="186" t="inlineStr">
        <is>
          <t>чел.-ч</t>
        </is>
      </c>
      <c r="F14" s="186" t="n">
        <v>144.5</v>
      </c>
      <c r="G14" s="188" t="n">
        <v>14.09</v>
      </c>
      <c r="H14" s="188">
        <f>ROUND(F14*G14,2)</f>
        <v/>
      </c>
    </row>
    <row r="15" ht="15.6" customFormat="1" customHeight="1" s="168">
      <c r="A15" s="186" t="n">
        <v>3</v>
      </c>
      <c r="B15" s="186" t="n"/>
      <c r="C15" s="185" t="inlineStr">
        <is>
          <t>1-100-30</t>
        </is>
      </c>
      <c r="D15" s="185" t="inlineStr">
        <is>
          <t>Затраты труда рабочих (ср 3)</t>
        </is>
      </c>
      <c r="E15" s="186" t="inlineStr">
        <is>
          <t>чел.-ч</t>
        </is>
      </c>
      <c r="F15" s="186" t="n">
        <v>136</v>
      </c>
      <c r="G15" s="188" t="n">
        <v>8.529999999999999</v>
      </c>
      <c r="H15" s="188">
        <f>ROUND(F15*G15,2)</f>
        <v/>
      </c>
    </row>
    <row r="16" ht="15.6" customFormat="1" customHeight="1" s="168">
      <c r="A16" s="186" t="n">
        <v>4</v>
      </c>
      <c r="B16" s="186" t="n"/>
      <c r="C16" s="185" t="inlineStr">
        <is>
          <t>1-100-31</t>
        </is>
      </c>
      <c r="D16" s="185" t="inlineStr">
        <is>
          <t>Затраты труда рабочих (ср 3,1)</t>
        </is>
      </c>
      <c r="E16" s="186" t="inlineStr">
        <is>
          <t>чел.-ч</t>
        </is>
      </c>
      <c r="F16" s="186" t="n">
        <v>6.18</v>
      </c>
      <c r="G16" s="188" t="n">
        <v>8.640000000000001</v>
      </c>
      <c r="H16" s="188">
        <f>ROUND(F16*G16,2)</f>
        <v/>
      </c>
    </row>
    <row r="17" ht="15.6" customFormat="1" customHeight="1" s="168">
      <c r="A17" s="186" t="n">
        <v>5</v>
      </c>
      <c r="B17" s="186" t="n"/>
      <c r="C17" s="185" t="inlineStr">
        <is>
          <t>1-100-32</t>
        </is>
      </c>
      <c r="D17" s="185" t="inlineStr">
        <is>
          <t>Затраты труда рабочих (ср 3,2)</t>
        </is>
      </c>
      <c r="E17" s="186" t="inlineStr">
        <is>
          <t>чел.-ч</t>
        </is>
      </c>
      <c r="F17" s="186" t="n">
        <v>0.52</v>
      </c>
      <c r="G17" s="188" t="n">
        <v>8.74</v>
      </c>
      <c r="H17" s="188">
        <f>ROUND(F17*G17,2)</f>
        <v/>
      </c>
    </row>
    <row r="18" ht="15.6" customFormat="1" customHeight="1" s="168">
      <c r="A18" s="186" t="n">
        <v>6</v>
      </c>
      <c r="B18" s="186" t="n"/>
      <c r="C18" s="185" t="inlineStr">
        <is>
          <t>1-100-33</t>
        </is>
      </c>
      <c r="D18" s="185" t="inlineStr">
        <is>
          <t>Затраты труда рабочих (ср 3,3)</t>
        </is>
      </c>
      <c r="E18" s="186" t="inlineStr">
        <is>
          <t>чел.-ч</t>
        </is>
      </c>
      <c r="F18" s="186" t="n">
        <v>42</v>
      </c>
      <c r="G18" s="188" t="n">
        <v>8.859999999999999</v>
      </c>
      <c r="H18" s="188">
        <f>ROUND(F18*G18,2)</f>
        <v/>
      </c>
    </row>
    <row r="19" ht="15.6" customFormat="1" customHeight="1" s="168">
      <c r="A19" s="186" t="n">
        <v>7</v>
      </c>
      <c r="B19" s="186" t="n"/>
      <c r="C19" s="185" t="inlineStr">
        <is>
          <t>1-100-35</t>
        </is>
      </c>
      <c r="D19" s="185" t="inlineStr">
        <is>
          <t>Затраты труда рабочих (ср 3,5)</t>
        </is>
      </c>
      <c r="E19" s="186" t="inlineStr">
        <is>
          <t>чел.-ч</t>
        </is>
      </c>
      <c r="F19" s="186" t="n">
        <v>1.65</v>
      </c>
      <c r="G19" s="188" t="n">
        <v>9.07</v>
      </c>
      <c r="H19" s="188">
        <f>ROUND(F19*G19,2)</f>
        <v/>
      </c>
    </row>
    <row r="20" ht="15.6" customFormat="1" customHeight="1" s="168">
      <c r="A20" s="186" t="n">
        <v>8</v>
      </c>
      <c r="B20" s="186" t="n"/>
      <c r="C20" s="185" t="inlineStr">
        <is>
          <t>1-100-36</t>
        </is>
      </c>
      <c r="D20" s="185" t="inlineStr">
        <is>
          <t>Затраты труда рабочих (ср 3,6)</t>
        </is>
      </c>
      <c r="E20" s="186" t="inlineStr">
        <is>
          <t>чел.-ч</t>
        </is>
      </c>
      <c r="F20" s="186" t="n">
        <v>133.2</v>
      </c>
      <c r="G20" s="188" t="n">
        <v>9.18</v>
      </c>
      <c r="H20" s="188">
        <f>ROUND(F20*G20,2)</f>
        <v/>
      </c>
    </row>
    <row r="21" ht="15.6" customFormat="1" customHeight="1" s="168">
      <c r="A21" s="186" t="n">
        <v>9</v>
      </c>
      <c r="B21" s="186" t="n"/>
      <c r="C21" s="185" t="inlineStr">
        <is>
          <t>1-100-38</t>
        </is>
      </c>
      <c r="D21" s="185" t="inlineStr">
        <is>
          <t>Затраты труда рабочих (ср 3,8)</t>
        </is>
      </c>
      <c r="E21" s="186" t="inlineStr">
        <is>
          <t>чел.-ч</t>
        </is>
      </c>
      <c r="F21" s="186" t="n">
        <v>243.4</v>
      </c>
      <c r="G21" s="188" t="n">
        <v>9.4</v>
      </c>
      <c r="H21" s="188">
        <f>ROUND(F21*G21,2)</f>
        <v/>
      </c>
    </row>
    <row r="22" ht="15.6" customFormat="1" customHeight="1" s="168">
      <c r="A22" s="186" t="n">
        <v>10</v>
      </c>
      <c r="B22" s="186" t="n"/>
      <c r="C22" s="185" t="inlineStr">
        <is>
          <t>1-100-39</t>
        </is>
      </c>
      <c r="D22" s="185" t="inlineStr">
        <is>
          <t>Затраты труда рабочих (ср 3,9)</t>
        </is>
      </c>
      <c r="E22" s="186" t="inlineStr">
        <is>
          <t>чел.-ч</t>
        </is>
      </c>
      <c r="F22" s="186" t="n">
        <v>16.29</v>
      </c>
      <c r="G22" s="188" t="n">
        <v>9.51</v>
      </c>
      <c r="H22" s="188">
        <f>ROUND(F22*G22,2)</f>
        <v/>
      </c>
    </row>
    <row r="23" ht="15.6" customFormat="1" customHeight="1" s="168">
      <c r="A23" s="186" t="n">
        <v>11</v>
      </c>
      <c r="B23" s="186" t="n"/>
      <c r="C23" s="185" t="inlineStr">
        <is>
          <t>1-100-40</t>
        </is>
      </c>
      <c r="D23" s="185" t="inlineStr">
        <is>
          <t>Затраты труда рабочих (ср 4)</t>
        </is>
      </c>
      <c r="E23" s="186" t="inlineStr">
        <is>
          <t>чел.-ч</t>
        </is>
      </c>
      <c r="F23" s="186" t="n">
        <v>875.45</v>
      </c>
      <c r="G23" s="188" t="n">
        <v>9.619999999999999</v>
      </c>
      <c r="H23" s="188">
        <f>ROUND(F23*G23,2)</f>
        <v/>
      </c>
    </row>
    <row r="24" ht="15.6" customFormat="1" customHeight="1" s="168">
      <c r="A24" s="186" t="n">
        <v>12</v>
      </c>
      <c r="B24" s="186" t="n"/>
      <c r="C24" s="185" t="inlineStr">
        <is>
          <t>1-100-42</t>
        </is>
      </c>
      <c r="D24" s="185" t="inlineStr">
        <is>
          <t>Затраты труда рабочих (ср 4,2)</t>
        </is>
      </c>
      <c r="E24" s="186" t="inlineStr">
        <is>
          <t>чел.-ч</t>
        </is>
      </c>
      <c r="F24" s="186" t="n">
        <v>4.12</v>
      </c>
      <c r="G24" s="188" t="n">
        <v>9.92</v>
      </c>
      <c r="H24" s="188">
        <f>ROUND(F24*G24,2)</f>
        <v/>
      </c>
    </row>
    <row r="25" ht="15.6" customFormat="1" customHeight="1" s="168">
      <c r="A25" s="186" t="n">
        <v>13</v>
      </c>
      <c r="B25" s="186" t="n"/>
      <c r="C25" s="185" t="inlineStr">
        <is>
          <t>1-100-43</t>
        </is>
      </c>
      <c r="D25" s="185" t="inlineStr">
        <is>
          <t>Затраты труда рабочих (ср 4,3)</t>
        </is>
      </c>
      <c r="E25" s="186" t="inlineStr">
        <is>
          <t>чел.-ч</t>
        </is>
      </c>
      <c r="F25" s="186" t="n">
        <v>11.7</v>
      </c>
      <c r="G25" s="188" t="n">
        <v>10.06</v>
      </c>
      <c r="H25" s="188">
        <f>ROUND(F25*G25,2)</f>
        <v/>
      </c>
    </row>
    <row r="26" ht="15.6" customFormat="1" customHeight="1" s="168">
      <c r="A26" s="186" t="n">
        <v>14</v>
      </c>
      <c r="B26" s="186" t="n"/>
      <c r="C26" s="185" t="inlineStr">
        <is>
          <t>1-100-50</t>
        </is>
      </c>
      <c r="D26" s="185" t="inlineStr">
        <is>
          <t>Затраты труда рабочих (ср 5)</t>
        </is>
      </c>
      <c r="E26" s="186" t="inlineStr">
        <is>
          <t>чел.-ч</t>
        </is>
      </c>
      <c r="F26" s="186" t="n">
        <v>96.84</v>
      </c>
      <c r="G26" s="188" t="n">
        <v>11.09</v>
      </c>
      <c r="H26" s="188">
        <f>ROUND(F26*G26,2)</f>
        <v/>
      </c>
    </row>
    <row r="27" ht="15.6" customFormat="1" customHeight="1" s="168">
      <c r="A27" s="186" t="n">
        <v>15</v>
      </c>
      <c r="B27" s="186" t="n"/>
      <c r="C27" s="185" t="inlineStr">
        <is>
          <t>1-100-51</t>
        </is>
      </c>
      <c r="D27" s="185" t="inlineStr">
        <is>
          <t>Затраты труда рабочих (ср 5,1)</t>
        </is>
      </c>
      <c r="E27" s="186" t="inlineStr">
        <is>
          <t>чел.-ч</t>
        </is>
      </c>
      <c r="F27" s="186" t="n">
        <v>51.28</v>
      </c>
      <c r="G27" s="188" t="n">
        <v>11.27</v>
      </c>
      <c r="H27" s="188">
        <f>ROUND(F27*G27,2)</f>
        <v/>
      </c>
    </row>
    <row r="28" ht="15.6" customFormat="1" customHeight="1" s="168">
      <c r="A28" s="186" t="n">
        <v>16</v>
      </c>
      <c r="B28" s="186" t="n"/>
      <c r="C28" s="185" t="inlineStr">
        <is>
          <t>1-100-54</t>
        </is>
      </c>
      <c r="D28" s="185" t="inlineStr">
        <is>
          <t>Затраты труда рабочих (ср 5,4)</t>
        </is>
      </c>
      <c r="E28" s="186" t="inlineStr">
        <is>
          <t>чел.-ч</t>
        </is>
      </c>
      <c r="F28" s="186" t="n">
        <v>57.12</v>
      </c>
      <c r="G28" s="188" t="n">
        <v>11.82</v>
      </c>
      <c r="H28" s="188">
        <f>ROUND(F28*G28,2)</f>
        <v/>
      </c>
      <c r="J28" s="168" t="n"/>
    </row>
    <row r="29" ht="15.6" customFormat="1" customHeight="1" s="9">
      <c r="A29" s="184" t="inlineStr">
        <is>
          <t>Затраты труда машинистов</t>
        </is>
      </c>
      <c r="B29" s="205" t="n"/>
      <c r="C29" s="205" t="n"/>
      <c r="D29" s="205" t="n"/>
      <c r="E29" s="206" t="n"/>
      <c r="F29" s="184" t="n">
        <v>153.49</v>
      </c>
      <c r="G29" s="10" t="n"/>
      <c r="H29" s="10">
        <f>SUM(H30)</f>
        <v/>
      </c>
    </row>
    <row r="30" ht="15.6" customFormat="1" customHeight="1" s="168">
      <c r="A30" s="186" t="n">
        <v>17</v>
      </c>
      <c r="B30" s="186" t="n"/>
      <c r="C30" s="185" t="n">
        <v>2</v>
      </c>
      <c r="D30" s="185" t="inlineStr">
        <is>
          <t>Затраты труда машинистов</t>
        </is>
      </c>
      <c r="E30" s="186" t="inlineStr">
        <is>
          <t>чел.-ч</t>
        </is>
      </c>
      <c r="F30" s="186" t="n">
        <v>153.49</v>
      </c>
      <c r="G30" s="188" t="n">
        <v>13.47</v>
      </c>
      <c r="H30" s="188">
        <f>ROUND(F30*G30,2)</f>
        <v/>
      </c>
    </row>
    <row r="31" ht="15.6" customFormat="1" customHeight="1" s="9">
      <c r="A31" s="184" t="inlineStr">
        <is>
          <t>Машины и механизмы</t>
        </is>
      </c>
      <c r="B31" s="205" t="n"/>
      <c r="C31" s="205" t="n"/>
      <c r="D31" s="205" t="n"/>
      <c r="E31" s="206" t="n"/>
      <c r="F31" s="184" t="n"/>
      <c r="G31" s="10" t="n"/>
      <c r="H31" s="10">
        <f>SUM(H32:H53)</f>
        <v/>
      </c>
    </row>
    <row r="32" ht="31.15" customFormat="1" customHeight="1" s="168">
      <c r="A32" s="186" t="n">
        <v>18</v>
      </c>
      <c r="B32" s="186" t="n"/>
      <c r="C32" s="185" t="inlineStr">
        <is>
          <t>91.05.05-015</t>
        </is>
      </c>
      <c r="D32" s="185" t="inlineStr">
        <is>
          <t>Краны на автомобильном ходу, грузоподъемность 16 т</t>
        </is>
      </c>
      <c r="E32" s="186" t="inlineStr">
        <is>
          <t>маш.час</t>
        </is>
      </c>
      <c r="F32" s="186" t="n">
        <v>81.59</v>
      </c>
      <c r="G32" s="188" t="n">
        <v>115.4</v>
      </c>
      <c r="H32" s="188">
        <f>ROUND(F32*G32,2)</f>
        <v/>
      </c>
    </row>
    <row r="33" ht="31.15" customFormat="1" customHeight="1" s="168">
      <c r="A33" s="186" t="n">
        <v>19</v>
      </c>
      <c r="B33" s="186" t="n"/>
      <c r="C33" s="185" t="inlineStr">
        <is>
          <t>91.11.01-012</t>
        </is>
      </c>
      <c r="D33" s="185" t="inlineStr">
        <is>
          <t>Машины монтажные для выполнения работ при прокладке и монтаже кабеля на базе автомобиля</t>
        </is>
      </c>
      <c r="E33" s="186" t="inlineStr">
        <is>
          <t>маш.час</t>
        </is>
      </c>
      <c r="F33" s="186" t="n">
        <v>25.38</v>
      </c>
      <c r="G33" s="188" t="n">
        <v>110.86</v>
      </c>
      <c r="H33" s="188">
        <f>ROUND(F33*G33,2)</f>
        <v/>
      </c>
    </row>
    <row r="34" ht="15.6" customFormat="1" customHeight="1" s="168">
      <c r="A34" s="186" t="n">
        <v>20</v>
      </c>
      <c r="B34" s="186" t="n"/>
      <c r="C34" s="185" t="inlineStr">
        <is>
          <t>91.14.04-001</t>
        </is>
      </c>
      <c r="D34" s="185" t="inlineStr">
        <is>
          <t>Тягачи седельные, грузоподъемность 12 т</t>
        </is>
      </c>
      <c r="E34" s="186" t="inlineStr">
        <is>
          <t>маш.час</t>
        </is>
      </c>
      <c r="F34" s="186" t="n">
        <v>19.78</v>
      </c>
      <c r="G34" s="188" t="n">
        <v>102.84</v>
      </c>
      <c r="H34" s="188">
        <f>ROUND(F34*G34,2)</f>
        <v/>
      </c>
    </row>
    <row r="35" ht="15.6" customFormat="1" customHeight="1" s="168">
      <c r="A35" s="186" t="n">
        <v>21</v>
      </c>
      <c r="B35" s="186" t="n"/>
      <c r="C35" s="185" t="inlineStr">
        <is>
          <t>91.14.02-001</t>
        </is>
      </c>
      <c r="D35" s="185" t="inlineStr">
        <is>
          <t>Автомобили бортовые, грузоподъемность до 5 т</t>
        </is>
      </c>
      <c r="E35" s="186" t="inlineStr">
        <is>
          <t>маш.час</t>
        </is>
      </c>
      <c r="F35" s="186" t="n">
        <v>23.12</v>
      </c>
      <c r="G35" s="188" t="n">
        <v>65.70999999999999</v>
      </c>
      <c r="H35" s="188">
        <f>ROUND(F35*G35,2)</f>
        <v/>
      </c>
    </row>
    <row r="36" ht="31.15" customFormat="1" customHeight="1" s="168">
      <c r="A36" s="186" t="n">
        <v>22</v>
      </c>
      <c r="B36" s="186" t="n"/>
      <c r="C36" s="185" t="inlineStr">
        <is>
          <t>91.17.04-233</t>
        </is>
      </c>
      <c r="D36" s="185" t="inlineStr">
        <is>
          <t>Установки для сварки ручной дуговой (постоянного тока)</t>
        </is>
      </c>
      <c r="E36" s="186" t="inlineStr">
        <is>
          <t>маш.час</t>
        </is>
      </c>
      <c r="F36" s="186" t="n">
        <v>71.73999999999999</v>
      </c>
      <c r="G36" s="188" t="n">
        <v>8.1</v>
      </c>
      <c r="H36" s="188">
        <f>ROUND(F36*G36,2)</f>
        <v/>
      </c>
    </row>
    <row r="37" ht="31.15" customFormat="1" customHeight="1" s="168">
      <c r="A37" s="186" t="n">
        <v>23</v>
      </c>
      <c r="B37" s="186" t="n"/>
      <c r="C37" s="185" t="inlineStr">
        <is>
          <t>91.14.05-011</t>
        </is>
      </c>
      <c r="D37" s="185" t="inlineStr">
        <is>
          <t>Полуприцепы общего назначения, грузоподъемность 12 т</t>
        </is>
      </c>
      <c r="E37" s="186" t="inlineStr">
        <is>
          <t>маш.час</t>
        </is>
      </c>
      <c r="F37" s="186" t="n">
        <v>19.78</v>
      </c>
      <c r="G37" s="188" t="n">
        <v>12</v>
      </c>
      <c r="H37" s="188">
        <f>ROUND(F37*G37,2)</f>
        <v/>
      </c>
    </row>
    <row r="38" ht="31.15" customFormat="1" customHeight="1" s="168">
      <c r="A38" s="186" t="n">
        <v>24</v>
      </c>
      <c r="B38" s="186" t="n"/>
      <c r="C38" s="185" t="inlineStr">
        <is>
          <t>91.05.04-006</t>
        </is>
      </c>
      <c r="D38" s="185" t="inlineStr">
        <is>
          <t>Краны мостовые электрические, грузоподъемность 10 т</t>
        </is>
      </c>
      <c r="E38" s="186" t="inlineStr">
        <is>
          <t>маш.час</t>
        </is>
      </c>
      <c r="F38" s="186" t="n">
        <v>3.1</v>
      </c>
      <c r="G38" s="188" t="n">
        <v>73.12</v>
      </c>
      <c r="H38" s="188">
        <f>ROUND(F38*G38,2)</f>
        <v/>
      </c>
    </row>
    <row r="39" ht="31.15" customFormat="1" customHeight="1" s="168">
      <c r="A39" s="186" t="n">
        <v>25</v>
      </c>
      <c r="B39" s="186" t="n"/>
      <c r="C39" s="185" t="inlineStr">
        <is>
          <t>91.17.04-161</t>
        </is>
      </c>
      <c r="D39" s="185" t="inlineStr">
        <is>
          <t>Полуавтоматы сварочные номинальным сварочным током 40-500 А</t>
        </is>
      </c>
      <c r="E39" s="186" t="inlineStr">
        <is>
          <t>маш.час</t>
        </is>
      </c>
      <c r="F39" s="186" t="n">
        <v>3.64</v>
      </c>
      <c r="G39" s="188" t="n">
        <v>16.44</v>
      </c>
      <c r="H39" s="188">
        <f>ROUND(F39*G39,2)</f>
        <v/>
      </c>
    </row>
    <row r="40" ht="46.9" customFormat="1" customHeight="1" s="168">
      <c r="A40" s="186" t="n">
        <v>26</v>
      </c>
      <c r="B40" s="186" t="n"/>
      <c r="C40" s="185" t="inlineStr">
        <is>
          <t>91.18.01-015</t>
        </is>
      </c>
      <c r="D40" s="185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E40" s="186" t="inlineStr">
        <is>
          <t>маш.час</t>
        </is>
      </c>
      <c r="F40" s="186" t="n">
        <v>0.53</v>
      </c>
      <c r="G40" s="188" t="n">
        <v>100</v>
      </c>
      <c r="H40" s="188">
        <f>ROUND(F40*G40,2)</f>
        <v/>
      </c>
    </row>
    <row r="41" ht="31.15" customFormat="1" customHeight="1" s="168">
      <c r="A41" s="186" t="n">
        <v>27</v>
      </c>
      <c r="B41" s="186" t="n"/>
      <c r="C41" s="185" t="inlineStr">
        <is>
          <t>91.06.03-061</t>
        </is>
      </c>
      <c r="D41" s="185" t="inlineStr">
        <is>
          <t>Лебедки электрические тяговым усилием до 12,26 кН (1,25 т)</t>
        </is>
      </c>
      <c r="E41" s="186" t="inlineStr">
        <is>
          <t>маш.час</t>
        </is>
      </c>
      <c r="F41" s="186" t="n">
        <v>15.46</v>
      </c>
      <c r="G41" s="188" t="n">
        <v>3.28</v>
      </c>
      <c r="H41" s="188">
        <f>ROUND(F41*G41,2)</f>
        <v/>
      </c>
    </row>
    <row r="42" ht="15.6" customFormat="1" customHeight="1" s="168">
      <c r="A42" s="186" t="n">
        <v>28</v>
      </c>
      <c r="B42" s="186" t="n"/>
      <c r="C42" s="185" t="inlineStr">
        <is>
          <t>91.19.08-007</t>
        </is>
      </c>
      <c r="D42" s="185" t="inlineStr">
        <is>
          <t>Насосы мощностью 7,2 м3/ч</t>
        </is>
      </c>
      <c r="E42" s="186" t="inlineStr">
        <is>
          <t>маш.час</t>
        </is>
      </c>
      <c r="F42" s="186" t="n">
        <v>2.1</v>
      </c>
      <c r="G42" s="188" t="n">
        <v>18.68</v>
      </c>
      <c r="H42" s="188">
        <f>ROUND(F42*G42,2)</f>
        <v/>
      </c>
    </row>
    <row r="43" ht="31.15" customFormat="1" customHeight="1" s="168">
      <c r="A43" s="186" t="n">
        <v>29</v>
      </c>
      <c r="B43" s="186" t="n"/>
      <c r="C43" s="185" t="inlineStr">
        <is>
          <t>91.06.01-003</t>
        </is>
      </c>
      <c r="D43" s="185" t="inlineStr">
        <is>
          <t>Домкраты гидравлические, грузоподъемность 63-100 т</t>
        </is>
      </c>
      <c r="E43" s="186" t="inlineStr">
        <is>
          <t>маш.час</t>
        </is>
      </c>
      <c r="F43" s="186" t="n">
        <v>15.46</v>
      </c>
      <c r="G43" s="188" t="n">
        <v>0.9</v>
      </c>
      <c r="H43" s="188">
        <f>ROUND(F43*G43,2)</f>
        <v/>
      </c>
    </row>
    <row r="44" ht="31.15" customFormat="1" customHeight="1" s="168">
      <c r="A44" s="186" t="n">
        <v>30</v>
      </c>
      <c r="B44" s="186" t="n"/>
      <c r="C44" s="185" t="inlineStr">
        <is>
          <t>91.17.04-171</t>
        </is>
      </c>
      <c r="D44" s="185" t="inlineStr">
        <is>
          <t>Преобразователи сварочные номинальным сварочным током 315-500 А</t>
        </is>
      </c>
      <c r="E44" s="186" t="inlineStr">
        <is>
          <t>маш.час</t>
        </is>
      </c>
      <c r="F44" s="186" t="n">
        <v>0.37</v>
      </c>
      <c r="G44" s="188" t="n">
        <v>12.31</v>
      </c>
      <c r="H44" s="188">
        <f>ROUND(F44*G44,2)</f>
        <v/>
      </c>
    </row>
    <row r="45" ht="31.15" customFormat="1" customHeight="1" s="168">
      <c r="A45" s="186" t="n">
        <v>31</v>
      </c>
      <c r="B45" s="186" t="n"/>
      <c r="C45" s="185" t="inlineStr">
        <is>
          <t>91.06.03-055</t>
        </is>
      </c>
      <c r="D45" s="185" t="inlineStr">
        <is>
          <t>Лебедки электрические тяговым усилием 19,62 кН (2 т)</t>
        </is>
      </c>
      <c r="E45" s="186" t="inlineStr">
        <is>
          <t>маш.час</t>
        </is>
      </c>
      <c r="F45" s="186" t="n">
        <v>0.48</v>
      </c>
      <c r="G45" s="188" t="n">
        <v>6.66</v>
      </c>
      <c r="H45" s="188">
        <f>ROUND(F45*G45,2)</f>
        <v/>
      </c>
    </row>
    <row r="46" ht="31.15" customFormat="1" customHeight="1" s="168">
      <c r="A46" s="186" t="n">
        <v>32</v>
      </c>
      <c r="B46" s="186" t="n"/>
      <c r="C46" s="185" t="inlineStr">
        <is>
          <t>91.06.03-062</t>
        </is>
      </c>
      <c r="D46" s="185" t="inlineStr">
        <is>
          <t>Лебедки электрические тяговым усилием до 31,39 кН (3,2 т)</t>
        </is>
      </c>
      <c r="E46" s="186" t="inlineStr">
        <is>
          <t>маш.час</t>
        </is>
      </c>
      <c r="F46" s="186" t="n">
        <v>0.38</v>
      </c>
      <c r="G46" s="188" t="n">
        <v>6.9</v>
      </c>
      <c r="H46" s="188">
        <f>ROUND(F46*G46,2)</f>
        <v/>
      </c>
    </row>
    <row r="47" ht="15.6" customFormat="1" customHeight="1" s="168">
      <c r="A47" s="186" t="n">
        <v>33</v>
      </c>
      <c r="B47" s="186" t="n"/>
      <c r="C47" s="185" t="inlineStr">
        <is>
          <t>91.21.12-002</t>
        </is>
      </c>
      <c r="D47" s="185" t="inlineStr">
        <is>
          <t>Ножницы листовые кривошипные гильотинные</t>
        </is>
      </c>
      <c r="E47" s="186" t="inlineStr">
        <is>
          <t>маш.час</t>
        </is>
      </c>
      <c r="F47" s="186" t="n">
        <v>0.03</v>
      </c>
      <c r="G47" s="188" t="n">
        <v>70</v>
      </c>
      <c r="H47" s="188">
        <f>ROUND(F47*G47,2)</f>
        <v/>
      </c>
    </row>
    <row r="48" ht="31.15" customFormat="1" customHeight="1" s="168">
      <c r="A48" s="186" t="n">
        <v>34</v>
      </c>
      <c r="B48" s="186" t="n"/>
      <c r="C48" s="185" t="inlineStr">
        <is>
          <t>91.21.16-014</t>
        </is>
      </c>
      <c r="D48" s="185" t="inlineStr">
        <is>
          <t>Прессы листогибочные кривошипные 1000 кН (100 тс)</t>
        </is>
      </c>
      <c r="E48" s="186" t="inlineStr">
        <is>
          <t>маш.час</t>
        </is>
      </c>
      <c r="F48" s="186" t="n">
        <v>0.03</v>
      </c>
      <c r="G48" s="188" t="n">
        <v>56.24</v>
      </c>
      <c r="H48" s="188">
        <f>ROUND(F48*G48,2)</f>
        <v/>
      </c>
    </row>
    <row r="49" ht="15.6" customFormat="1" customHeight="1" s="168">
      <c r="A49" s="186" t="n">
        <v>35</v>
      </c>
      <c r="B49" s="186" t="n"/>
      <c r="C49" s="185" t="inlineStr">
        <is>
          <t>91.17.04-042</t>
        </is>
      </c>
      <c r="D49" s="185" t="inlineStr">
        <is>
          <t>Аппараты для газовой сварки и резки</t>
        </is>
      </c>
      <c r="E49" s="186" t="inlineStr">
        <is>
          <t>маш.час</t>
        </is>
      </c>
      <c r="F49" s="186" t="n">
        <v>0.95</v>
      </c>
      <c r="G49" s="188" t="n">
        <v>1.2</v>
      </c>
      <c r="H49" s="188">
        <f>ROUND(F49*G49,2)</f>
        <v/>
      </c>
    </row>
    <row r="50" ht="31.15" customFormat="1" customHeight="1" s="168">
      <c r="A50" s="186" t="n">
        <v>36</v>
      </c>
      <c r="B50" s="186" t="n"/>
      <c r="C50" s="185" t="inlineStr">
        <is>
          <t>91.21.16-013</t>
        </is>
      </c>
      <c r="D50" s="185" t="inlineStr">
        <is>
          <t>Прессы кривошипные простого действия 25 кН (2,5 тс)</t>
        </is>
      </c>
      <c r="E50" s="186" t="inlineStr">
        <is>
          <t>маш.час</t>
        </is>
      </c>
      <c r="F50" s="186" t="n">
        <v>0.03</v>
      </c>
      <c r="G50" s="188" t="n">
        <v>16.92</v>
      </c>
      <c r="H50" s="188">
        <f>ROUND(F50*G50,2)</f>
        <v/>
      </c>
    </row>
    <row r="51" ht="31.15" customFormat="1" customHeight="1" s="168">
      <c r="A51" s="186" t="n">
        <v>37</v>
      </c>
      <c r="B51" s="186" t="n"/>
      <c r="C51" s="185" t="inlineStr">
        <is>
          <t>91.06.06-048</t>
        </is>
      </c>
      <c r="D51" s="185" t="inlineStr">
        <is>
          <t>Подъемники одномачтовые, грузоподъемность до 500 кг, высота подъема 45 м</t>
        </is>
      </c>
      <c r="E51" s="186" t="inlineStr">
        <is>
          <t>маш.час</t>
        </is>
      </c>
      <c r="F51" s="186" t="n">
        <v>0.01</v>
      </c>
      <c r="G51" s="188" t="n">
        <v>31.26</v>
      </c>
      <c r="H51" s="188">
        <f>ROUND(F51*G51,2)</f>
        <v/>
      </c>
    </row>
    <row r="52" ht="46.9" customFormat="1" customHeight="1" s="168">
      <c r="A52" s="186" t="n">
        <v>38</v>
      </c>
      <c r="B52" s="186" t="n"/>
      <c r="C52" s="185" t="inlineStr">
        <is>
          <t>91.21.01-012</t>
        </is>
      </c>
      <c r="D52" s="185" t="inlineStr">
        <is>
          <t>Агрегаты окрасочные высокого давления для окраски поверхностей конструкций, мощность 1 кВт</t>
        </is>
      </c>
      <c r="E52" s="186" t="inlineStr">
        <is>
          <t>маш.час</t>
        </is>
      </c>
      <c r="F52" s="186" t="n">
        <v>0.03</v>
      </c>
      <c r="G52" s="188" t="n">
        <v>6.82</v>
      </c>
      <c r="H52" s="188">
        <f>ROUND(F52*G52,2)</f>
        <v/>
      </c>
    </row>
    <row r="53" ht="15.6" customFormat="1" customHeight="1" s="168">
      <c r="A53" s="186" t="n">
        <v>39</v>
      </c>
      <c r="B53" s="186" t="n"/>
      <c r="C53" s="185" t="inlineStr">
        <is>
          <t>91.21.19-031</t>
        </is>
      </c>
      <c r="D53" s="185" t="inlineStr">
        <is>
          <t>Станки сверлильные</t>
        </is>
      </c>
      <c r="E53" s="186" t="inlineStr">
        <is>
          <t>маш.час</t>
        </is>
      </c>
      <c r="F53" s="186" t="n">
        <v>0.03</v>
      </c>
      <c r="G53" s="188" t="n">
        <v>2.36</v>
      </c>
      <c r="H53" s="188">
        <f>ROUND(F53*G53,2)</f>
        <v/>
      </c>
    </row>
    <row r="54" ht="15.6" customFormat="1" customHeight="1" s="9">
      <c r="A54" s="184" t="inlineStr">
        <is>
          <t>Материалы</t>
        </is>
      </c>
      <c r="B54" s="205" t="n"/>
      <c r="C54" s="205" t="n"/>
      <c r="D54" s="205" t="n"/>
      <c r="E54" s="206" t="n"/>
      <c r="F54" s="184" t="n"/>
      <c r="G54" s="10" t="n"/>
      <c r="H54" s="10">
        <f>SUM(H55:H197)</f>
        <v/>
      </c>
    </row>
    <row r="55" ht="16.5" customFormat="1" customHeight="1" s="168">
      <c r="A55" s="186" t="n">
        <v>40</v>
      </c>
      <c r="B55" s="186" t="n"/>
      <c r="C55" s="185" t="inlineStr">
        <is>
          <t>Прайс из СД ОП</t>
        </is>
      </c>
      <c r="D55" s="185" t="inlineStr">
        <is>
          <t>База под извещатель В501DG</t>
        </is>
      </c>
      <c r="E55" s="186" t="inlineStr">
        <is>
          <t>шт</t>
        </is>
      </c>
      <c r="F55" s="186" t="n">
        <v>29</v>
      </c>
      <c r="G55" s="188" t="n">
        <v>1839.46</v>
      </c>
      <c r="H55" s="188">
        <f>ROUND(F55*G55,2)</f>
        <v/>
      </c>
    </row>
    <row r="56" ht="16.5" customFormat="1" customHeight="1" s="168">
      <c r="A56" s="186" t="n">
        <v>41</v>
      </c>
      <c r="B56" s="186" t="n"/>
      <c r="C56" s="185" t="inlineStr">
        <is>
          <t>Прайс из СД ОП</t>
        </is>
      </c>
      <c r="D56" s="185" t="inlineStr">
        <is>
          <t>Газовое огнетушащее вещество Хладон 125 ХП</t>
        </is>
      </c>
      <c r="E56" s="186" t="inlineStr">
        <is>
          <t>кг</t>
        </is>
      </c>
      <c r="F56" s="186" t="n">
        <v>350</v>
      </c>
      <c r="G56" s="188" t="n">
        <v>144.15</v>
      </c>
      <c r="H56" s="188">
        <f>ROUND(F56*G56,2)</f>
        <v/>
      </c>
    </row>
    <row r="57" ht="16.5" customFormat="1" customHeight="1" s="168">
      <c r="A57" s="186" t="n">
        <v>42</v>
      </c>
      <c r="B57" s="186" t="n"/>
      <c r="C57" s="185" t="inlineStr">
        <is>
          <t>20.2.05.04-0013</t>
        </is>
      </c>
      <c r="D57" s="185" t="inlineStr">
        <is>
          <t>Кабель-канал (короб) 20х12,5 мм</t>
        </is>
      </c>
      <c r="E57" s="186" t="inlineStr">
        <is>
          <t>м</t>
        </is>
      </c>
      <c r="F57" s="186" t="n">
        <v>500</v>
      </c>
      <c r="G57" s="188" t="n">
        <v>28.61</v>
      </c>
      <c r="H57" s="188">
        <f>ROUND(F57*G57,2)</f>
        <v/>
      </c>
    </row>
    <row r="58" ht="16.5" customFormat="1" customHeight="1" s="168">
      <c r="A58" s="186" t="n">
        <v>43</v>
      </c>
      <c r="B58" s="186" t="n"/>
      <c r="C58" s="185" t="inlineStr">
        <is>
          <t>20.2.05.04-0028</t>
        </is>
      </c>
      <c r="D58" s="185" t="inlineStr">
        <is>
          <t>Кабель-канал (короб) 40х25 мм</t>
        </is>
      </c>
      <c r="E58" s="186" t="inlineStr">
        <is>
          <t>м</t>
        </is>
      </c>
      <c r="F58" s="186" t="n">
        <v>500</v>
      </c>
      <c r="G58" s="188" t="n">
        <v>3.3</v>
      </c>
      <c r="H58" s="188">
        <f>ROUND(F58*G58,2)</f>
        <v/>
      </c>
    </row>
    <row r="59" ht="15.6" customFormat="1" customHeight="1" s="168">
      <c r="A59" s="186" t="n">
        <v>44</v>
      </c>
      <c r="B59" s="186" t="n"/>
      <c r="C59" s="185" t="inlineStr">
        <is>
          <t>20.2.08.03-0013</t>
        </is>
      </c>
      <c r="D59" s="185" t="inlineStr">
        <is>
          <t>Комплект монтажный IPO 500 WALL MNTG KIT</t>
        </is>
      </c>
      <c r="E59" s="186" t="inlineStr">
        <is>
          <t>шт</t>
        </is>
      </c>
      <c r="F59" s="186" t="n">
        <v>32</v>
      </c>
      <c r="G59" s="188" t="n">
        <v>110.94</v>
      </c>
      <c r="H59" s="188">
        <f>ROUND(F59*G59,2)</f>
        <v/>
      </c>
    </row>
    <row r="60" ht="78" customFormat="1" customHeight="1" s="168">
      <c r="A60" s="186" t="n">
        <v>45</v>
      </c>
      <c r="B60" s="186" t="n"/>
      <c r="C60" s="185" t="inlineStr">
        <is>
          <t>21.1.08.03-0594</t>
        </is>
      </c>
      <c r="D60" s="185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19х1,5</t>
        </is>
      </c>
      <c r="E60" s="186" t="inlineStr">
        <is>
          <t>1000 м</t>
        </is>
      </c>
      <c r="F60" s="186" t="n">
        <v>0.27</v>
      </c>
      <c r="G60" s="188" t="n">
        <v>83256.13</v>
      </c>
      <c r="H60" s="188">
        <f>ROUND(F60*G60,2)</f>
        <v/>
      </c>
    </row>
    <row r="61" ht="31.15" customFormat="1" customHeight="1" s="168">
      <c r="A61" s="186" t="n">
        <v>46</v>
      </c>
      <c r="B61" s="186" t="n"/>
      <c r="C61" s="185" t="inlineStr">
        <is>
          <t>01.7.15.01-0033</t>
        </is>
      </c>
      <c r="D61" s="185" t="inlineStr">
        <is>
          <t>Анкер высокопрочный резьбовой, марка АВР-25/1.0</t>
        </is>
      </c>
      <c r="E61" s="186" t="inlineStr">
        <is>
          <t>шт</t>
        </is>
      </c>
      <c r="F61" s="186" t="n">
        <v>20</v>
      </c>
      <c r="G61" s="188" t="n">
        <v>862.45</v>
      </c>
      <c r="H61" s="188">
        <f>ROUND(F61*G61,2)</f>
        <v/>
      </c>
    </row>
    <row r="62" ht="78" customFormat="1" customHeight="1" s="168">
      <c r="A62" s="186" t="n">
        <v>47</v>
      </c>
      <c r="B62" s="186" t="n"/>
      <c r="C62" s="185" t="inlineStr">
        <is>
          <t>21.1.08.03-0586</t>
        </is>
      </c>
      <c r="D62" s="185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10х1,5</t>
        </is>
      </c>
      <c r="E62" s="186" t="inlineStr">
        <is>
          <t>1000 м</t>
        </is>
      </c>
      <c r="F62" s="186" t="n">
        <v>0.32</v>
      </c>
      <c r="G62" s="188" t="n">
        <v>50351.14</v>
      </c>
      <c r="H62" s="188">
        <f>ROUND(F62*G62,2)</f>
        <v/>
      </c>
    </row>
    <row r="63" ht="31.15" customFormat="1" customHeight="1" s="168">
      <c r="A63" s="186" t="n">
        <v>48</v>
      </c>
      <c r="B63" s="186" t="n"/>
      <c r="C63" s="185" t="inlineStr">
        <is>
          <t>Прайс из СД ОП</t>
        </is>
      </c>
      <c r="D63" s="185" t="inlineStr">
        <is>
          <t>Рукав высокого давления РВД-50-80-01 еф6.450.005</t>
        </is>
      </c>
      <c r="E63" s="186" t="inlineStr">
        <is>
          <t>шт</t>
        </is>
      </c>
      <c r="F63" s="186" t="n">
        <v>6</v>
      </c>
      <c r="G63" s="188" t="n">
        <v>1474.97</v>
      </c>
      <c r="H63" s="188">
        <f>ROUND(F63*G63,2)</f>
        <v/>
      </c>
    </row>
    <row r="64" ht="46.9" customFormat="1" customHeight="1" s="168">
      <c r="A64" s="186" t="n">
        <v>49</v>
      </c>
      <c r="B64" s="186" t="n"/>
      <c r="C64" s="185" t="inlineStr">
        <is>
          <t>22.1.01.01-0051</t>
        </is>
      </c>
      <c r="D64" s="185" t="inlineStr">
        <is>
          <t>Боксы кабельные междугородные, корпус из алюминия, пар проводов 30, трубок 2, плинтов 3, пар гнезд для высокочастотных кабелей 10</t>
        </is>
      </c>
      <c r="E64" s="186" t="inlineStr">
        <is>
          <t>шт</t>
        </is>
      </c>
      <c r="F64" s="186" t="n">
        <v>6</v>
      </c>
      <c r="G64" s="188" t="n">
        <v>1123.79</v>
      </c>
      <c r="H64" s="188">
        <f>ROUND(F64*G64,2)</f>
        <v/>
      </c>
    </row>
    <row r="65" ht="109.15" customFormat="1" customHeight="1" s="168">
      <c r="A65" s="186" t="n">
        <v>50</v>
      </c>
      <c r="B65" s="186" t="n"/>
      <c r="C65" s="185" t="inlineStr">
        <is>
          <t>21.1.08.01-0113</t>
        </is>
      </c>
      <c r="D65" s="185" t="inlineStr">
        <is>
          <t>Кабели парной скрутки для систем пожарной сигнализации с однопроволочными медными жилами, изоляцией и оболочкой из ПВХ, с экраном из алюмолавсановой ленты, не распространяющей горение, с низким дымо- и газовыделением, марки КПСВЭВнг-LS 1х2х1,0 прим.(1х2х1.5)</t>
        </is>
      </c>
      <c r="E65" s="186" t="inlineStr">
        <is>
          <t>1000 м</t>
        </is>
      </c>
      <c r="F65" s="186" t="n">
        <v>1.3</v>
      </c>
      <c r="G65" s="188" t="n">
        <v>4907.19</v>
      </c>
      <c r="H65" s="188">
        <f>ROUND(F65*G65,2)</f>
        <v/>
      </c>
    </row>
    <row r="66" ht="20.25" customFormat="1" customHeight="1" s="168">
      <c r="A66" s="186" t="n">
        <v>51</v>
      </c>
      <c r="B66" s="186" t="n"/>
      <c r="C66" s="185" t="inlineStr">
        <is>
          <t>Прайс из СД ОП</t>
        </is>
      </c>
      <c r="D66" s="185" t="inlineStr">
        <is>
          <t>База под извещатель с изолятором B524IEFT</t>
        </is>
      </c>
      <c r="E66" s="186" t="inlineStr">
        <is>
          <t>шт</t>
        </is>
      </c>
      <c r="F66" s="186" t="n">
        <v>3</v>
      </c>
      <c r="G66" s="188" t="n">
        <v>1844.64</v>
      </c>
      <c r="H66" s="188">
        <f>ROUND(F66*G66,2)</f>
        <v/>
      </c>
    </row>
    <row r="67" ht="62.45" customFormat="1" customHeight="1" s="168">
      <c r="A67" s="186" t="n">
        <v>52</v>
      </c>
      <c r="B67" s="186" t="n"/>
      <c r="C67" s="185" t="inlineStr">
        <is>
          <t>23.3.05.02-0073</t>
        </is>
      </c>
      <c r="D67" s="185" t="inlineStr">
        <is>
          <t>Трубы стальные бесшовные, холоднодеформированные из стали марок 10, 20, 30, 45 (ГОСТ 8734-75, 8733-74), наружным диаметром 45 мм, толщина стенки 3,0 мм</t>
        </is>
      </c>
      <c r="E67" s="186" t="inlineStr">
        <is>
          <t>м</t>
        </is>
      </c>
      <c r="F67" s="186" t="n">
        <v>124</v>
      </c>
      <c r="G67" s="188" t="n">
        <v>43.58</v>
      </c>
      <c r="H67" s="188">
        <f>ROUND(F67*G67,2)</f>
        <v/>
      </c>
    </row>
    <row r="68" ht="31.15" customFormat="1" customHeight="1" s="168">
      <c r="A68" s="186" t="n">
        <v>53</v>
      </c>
      <c r="B68" s="186" t="n"/>
      <c r="C68" s="185" t="inlineStr">
        <is>
          <t>Прайс из СД ОП</t>
        </is>
      </c>
      <c r="D68" s="185" t="inlineStr">
        <is>
          <t>Монтажный бокс для настенной установки М200Е-SMB</t>
        </is>
      </c>
      <c r="E68" s="186" t="inlineStr">
        <is>
          <t>шт</t>
        </is>
      </c>
      <c r="F68" s="186" t="n">
        <v>6</v>
      </c>
      <c r="G68" s="188" t="n">
        <v>771.05</v>
      </c>
      <c r="H68" s="188">
        <f>ROUND(F68*G68,2)</f>
        <v/>
      </c>
    </row>
    <row r="69" ht="18.75" customFormat="1" customHeight="1" s="168">
      <c r="A69" s="186" t="n">
        <v>54</v>
      </c>
      <c r="B69" s="186" t="n"/>
      <c r="C69" s="185" t="inlineStr">
        <is>
          <t>Прайс из СД ОП</t>
        </is>
      </c>
      <c r="D69" s="185" t="inlineStr">
        <is>
          <t>Ручное дозировочное устройство DSC</t>
        </is>
      </c>
      <c r="E69" s="186" t="inlineStr">
        <is>
          <t>ШТ</t>
        </is>
      </c>
      <c r="F69" s="186" t="n">
        <v>2</v>
      </c>
      <c r="G69" s="188" t="n">
        <v>1946.11</v>
      </c>
      <c r="H69" s="188">
        <f>ROUND(F69*G69,2)</f>
        <v/>
      </c>
    </row>
    <row r="70" ht="33" customFormat="1" customHeight="1" s="168">
      <c r="A70" s="186" t="n">
        <v>55</v>
      </c>
      <c r="B70" s="186" t="n"/>
      <c r="C70" s="185" t="inlineStr">
        <is>
          <t>24.1.02.01-0025</t>
        </is>
      </c>
      <c r="D70" s="185" t="inlineStr">
        <is>
          <t>Хомуты двухболтовые с быстродействующим замком для крепления труб размером 121-127 мм</t>
        </is>
      </c>
      <c r="E70" s="186" t="inlineStr">
        <is>
          <t>шт</t>
        </is>
      </c>
      <c r="F70" s="186" t="n">
        <v>65</v>
      </c>
      <c r="G70" s="188" t="n">
        <v>54.22</v>
      </c>
      <c r="H70" s="188">
        <f>ROUND(F70*G70,2)</f>
        <v/>
      </c>
    </row>
    <row r="71" ht="31.15" customFormat="1" customHeight="1" s="168">
      <c r="A71" s="186" t="n">
        <v>56</v>
      </c>
      <c r="B71" s="186" t="n"/>
      <c r="C71" s="185" t="inlineStr">
        <is>
          <t>Прайс из СД ОП</t>
        </is>
      </c>
      <c r="D71" s="185" t="inlineStr">
        <is>
          <t>Патрубок переходной под насадок ППН G2"-50/76-60 еф9.300.015-06</t>
        </is>
      </c>
      <c r="E71" s="186" t="inlineStr">
        <is>
          <t>шт</t>
        </is>
      </c>
      <c r="F71" s="186" t="n">
        <v>23</v>
      </c>
      <c r="G71" s="188" t="n">
        <v>113.75</v>
      </c>
      <c r="H71" s="188">
        <f>ROUND(F71*G71,2)</f>
        <v/>
      </c>
    </row>
    <row r="72" ht="62.45" customFormat="1" customHeight="1" s="168">
      <c r="A72" s="186" t="n">
        <v>57</v>
      </c>
      <c r="B72" s="186" t="n"/>
      <c r="C72" s="185" t="inlineStr">
        <is>
          <t>23.8.04.12-0045</t>
        </is>
      </c>
      <c r="D72" s="185" t="inlineStr">
        <is>
          <t>Тройники переходные на Ру до 16 МПа (160 кгс/см2) диаметром условного прохода 50х40 мм, наружным диаметром и толщиной стенки 57х5- 45х4 мм</t>
        </is>
      </c>
      <c r="E72" s="186" t="inlineStr">
        <is>
          <t>шт</t>
        </is>
      </c>
      <c r="F72" s="186" t="n">
        <v>20</v>
      </c>
      <c r="G72" s="188" t="n">
        <v>117.14</v>
      </c>
      <c r="H72" s="188">
        <f>ROUND(F72*G72,2)</f>
        <v/>
      </c>
    </row>
    <row r="73" ht="31.15" customFormat="1" customHeight="1" s="168">
      <c r="A73" s="186" t="n">
        <v>58</v>
      </c>
      <c r="B73" s="186" t="n"/>
      <c r="C73" s="185" t="inlineStr">
        <is>
          <t>01.1.02.04-0011</t>
        </is>
      </c>
      <c r="D73" s="185" t="inlineStr">
        <is>
          <t>Картон асбестовый общего назначения марка КАОН-1, толщина 3 мм</t>
        </is>
      </c>
      <c r="E73" s="186" t="inlineStr">
        <is>
          <t>т</t>
        </is>
      </c>
      <c r="F73" s="186" t="n">
        <v>0.25198</v>
      </c>
      <c r="G73" s="188" t="n">
        <v>8892</v>
      </c>
      <c r="H73" s="188">
        <f>ROUND(F73*G73,2)</f>
        <v/>
      </c>
    </row>
    <row r="74" ht="31.15" customFormat="1" customHeight="1" s="168">
      <c r="A74" s="186" t="n">
        <v>59</v>
      </c>
      <c r="B74" s="186" t="n"/>
      <c r="C74" s="185" t="inlineStr">
        <is>
          <t>Прайс из СД ОП</t>
        </is>
      </c>
      <c r="D74" s="185" t="inlineStr">
        <is>
          <t>ХР-4 Набор из 3-х штанг по 1.5м для съемников XR-2. XR-5</t>
        </is>
      </c>
      <c r="E74" s="186" t="inlineStr">
        <is>
          <t>к-т</t>
        </is>
      </c>
      <c r="F74" s="186" t="n">
        <v>1</v>
      </c>
      <c r="G74" s="188" t="n">
        <v>1891.19</v>
      </c>
      <c r="H74" s="188">
        <f>ROUND(F74*G74,2)</f>
        <v/>
      </c>
    </row>
    <row r="75" ht="31.15" customFormat="1" customHeight="1" s="168">
      <c r="A75" s="186" t="n">
        <v>60</v>
      </c>
      <c r="B75" s="186" t="n"/>
      <c r="C75" s="185" t="inlineStr">
        <is>
          <t>20.2.05.02-0012</t>
        </is>
      </c>
      <c r="D75" s="185" t="inlineStr">
        <is>
          <t>Держатель с защелкой DKC для труб диаметром 32 мм</t>
        </is>
      </c>
      <c r="E75" s="186" t="inlineStr">
        <is>
          <t>100 шт</t>
        </is>
      </c>
      <c r="F75" s="186" t="n">
        <v>27</v>
      </c>
      <c r="G75" s="188" t="n">
        <v>62</v>
      </c>
      <c r="H75" s="188">
        <f>ROUND(F75*G75,2)</f>
        <v/>
      </c>
    </row>
    <row r="76" ht="31.15" customFormat="1" customHeight="1" s="168">
      <c r="A76" s="186" t="n">
        <v>61</v>
      </c>
      <c r="B76" s="186" t="n"/>
      <c r="C76" s="185" t="inlineStr">
        <is>
          <t>01.1.02.09-0021</t>
        </is>
      </c>
      <c r="D76" s="185" t="inlineStr">
        <is>
          <t>Ткань асбестовая со стеклонитью АСТ-1, толщина 1,8 мм</t>
        </is>
      </c>
      <c r="E76" s="186" t="inlineStr">
        <is>
          <t>т</t>
        </is>
      </c>
      <c r="F76" s="186" t="n">
        <v>0.02408</v>
      </c>
      <c r="G76" s="188" t="n">
        <v>66860</v>
      </c>
      <c r="H76" s="188">
        <f>ROUND(F76*G76,2)</f>
        <v/>
      </c>
    </row>
    <row r="77" ht="31.15" customFormat="1" customHeight="1" s="168">
      <c r="A77" s="186" t="n">
        <v>62</v>
      </c>
      <c r="B77" s="186" t="n"/>
      <c r="C77" s="185" t="inlineStr">
        <is>
          <t>20.2.05.02-0011</t>
        </is>
      </c>
      <c r="D77" s="185" t="inlineStr">
        <is>
          <t>Держатель с защелкой DKC для труб диаметром 25 мм</t>
        </is>
      </c>
      <c r="E77" s="186" t="inlineStr">
        <is>
          <t>100 шт</t>
        </is>
      </c>
      <c r="F77" s="186" t="n">
        <v>40</v>
      </c>
      <c r="G77" s="188" t="n">
        <v>38</v>
      </c>
      <c r="H77" s="188">
        <f>ROUND(F77*G77,2)</f>
        <v/>
      </c>
    </row>
    <row r="78" ht="62.45" customFormat="1" customHeight="1" s="168">
      <c r="A78" s="186" t="n">
        <v>63</v>
      </c>
      <c r="B78" s="186" t="n"/>
      <c r="C78" s="185" t="inlineStr">
        <is>
          <t>23.8.04.08-0052</t>
        </is>
      </c>
      <c r="D78" s="185" t="inlineStr">
        <is>
          <t>Переходы концентрические на Ру до 16 МПа (160 кгс/см2) диаметром условного прохода 50х40 мм, наружным диаметром и толщиной стенки 57х5- 45х4 мм</t>
        </is>
      </c>
      <c r="E78" s="186" t="inlineStr">
        <is>
          <t>шт</t>
        </is>
      </c>
      <c r="F78" s="186" t="n">
        <v>34</v>
      </c>
      <c r="G78" s="188" t="n">
        <v>44.49</v>
      </c>
      <c r="H78" s="188">
        <f>ROUND(F78*G78,2)</f>
        <v/>
      </c>
    </row>
    <row r="79" ht="31.15" customFormat="1" customHeight="1" s="168">
      <c r="A79" s="186" t="n">
        <v>64</v>
      </c>
      <c r="B79" s="186" t="n"/>
      <c r="C79" s="185" t="inlineStr">
        <is>
          <t>21.1.06.10-0016</t>
        </is>
      </c>
      <c r="D79" s="185" t="inlineStr">
        <is>
          <t>Кабель силовой с медными жилами СБГУ 3х50-1000</t>
        </is>
      </c>
      <c r="E79" s="186" t="inlineStr">
        <is>
          <t>1000 м</t>
        </is>
      </c>
      <c r="F79" s="186" t="n">
        <v>0.00946</v>
      </c>
      <c r="G79" s="188" t="n">
        <v>144655.32</v>
      </c>
      <c r="H79" s="188">
        <f>ROUND(F79*G79,2)</f>
        <v/>
      </c>
    </row>
    <row r="80" ht="15.6" customFormat="1" customHeight="1" s="168">
      <c r="A80" s="186" t="n">
        <v>65</v>
      </c>
      <c r="B80" s="186" t="n"/>
      <c r="C80" s="185" t="inlineStr">
        <is>
          <t>01.7.15.01-0061</t>
        </is>
      </c>
      <c r="D80" s="185" t="inlineStr">
        <is>
          <t>Дозаторы Hilti MD</t>
        </is>
      </c>
      <c r="E80" s="186" t="inlineStr">
        <is>
          <t>шт</t>
        </is>
      </c>
      <c r="F80" s="186" t="n">
        <v>2</v>
      </c>
      <c r="G80" s="188" t="n">
        <v>626.51</v>
      </c>
      <c r="H80" s="188">
        <f>ROUND(F80*G80,2)</f>
        <v/>
      </c>
    </row>
    <row r="81" ht="19.5" customFormat="1" customHeight="1" s="168">
      <c r="A81" s="186" t="n">
        <v>66</v>
      </c>
      <c r="B81" s="186" t="n"/>
      <c r="C81" s="185" t="inlineStr">
        <is>
          <t>Прайс из СД ОП</t>
        </is>
      </c>
      <c r="D81" s="185" t="inlineStr">
        <is>
          <t>Опора нижняя еф8.060.013</t>
        </is>
      </c>
      <c r="E81" s="186" t="inlineStr">
        <is>
          <t>шт</t>
        </is>
      </c>
      <c r="F81" s="186" t="n">
        <v>1</v>
      </c>
      <c r="G81" s="188" t="n">
        <v>1252.13</v>
      </c>
      <c r="H81" s="188">
        <f>ROUND(F81*G81,2)</f>
        <v/>
      </c>
    </row>
    <row r="82" ht="46.9" customFormat="1" customHeight="1" s="168">
      <c r="A82" s="186" t="n">
        <v>67</v>
      </c>
      <c r="B82" s="186" t="n"/>
      <c r="C82" s="185" t="inlineStr">
        <is>
          <t>21.2.03.05-0070</t>
        </is>
      </c>
      <c r="D82" s="185" t="inlineStr">
        <is>
          <t>Провода силовые для электрических установок на напряжение до 450 В с медной жилой марки ПВ3, сечением 6 мм2</t>
        </is>
      </c>
      <c r="E82" s="186" t="inlineStr">
        <is>
          <t>1000 м</t>
        </is>
      </c>
      <c r="F82" s="186" t="n">
        <v>0.25</v>
      </c>
      <c r="G82" s="188" t="n">
        <v>4999.13</v>
      </c>
      <c r="H82" s="188">
        <f>ROUND(F82*G82,2)</f>
        <v/>
      </c>
    </row>
    <row r="83" ht="15.6" customFormat="1" customHeight="1" s="168">
      <c r="A83" s="186" t="n">
        <v>68</v>
      </c>
      <c r="B83" s="186" t="n"/>
      <c r="C83" s="185" t="inlineStr">
        <is>
          <t>07.2.07.13-0171</t>
        </is>
      </c>
      <c r="D83" s="185" t="inlineStr">
        <is>
          <t>Подкладки металлические</t>
        </is>
      </c>
      <c r="E83" s="186" t="inlineStr">
        <is>
          <t>кг</t>
        </is>
      </c>
      <c r="F83" s="186" t="n">
        <v>91.2</v>
      </c>
      <c r="G83" s="188" t="n">
        <v>12.6</v>
      </c>
      <c r="H83" s="188">
        <f>ROUND(F83*G83,2)</f>
        <v/>
      </c>
    </row>
    <row r="84" ht="78" customFormat="1" customHeight="1" s="168">
      <c r="A84" s="186" t="n">
        <v>69</v>
      </c>
      <c r="B84" s="186" t="n"/>
      <c r="C84" s="185" t="inlineStr">
        <is>
          <t>21.1.06.09-0178</t>
        </is>
      </c>
      <c r="D84" s="18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84" s="186" t="inlineStr">
        <is>
          <t>1000 м</t>
        </is>
      </c>
      <c r="F84" s="186" t="n">
        <v>0.04</v>
      </c>
      <c r="G84" s="188" t="n">
        <v>25431.81</v>
      </c>
      <c r="H84" s="188">
        <f>ROUND(F84*G84,2)</f>
        <v/>
      </c>
    </row>
    <row r="85" ht="20.25" customFormat="1" customHeight="1" s="168">
      <c r="A85" s="186" t="n">
        <v>70</v>
      </c>
      <c r="B85" s="186" t="n"/>
      <c r="C85" s="185" t="inlineStr">
        <is>
          <t>Прайс из СД ОП</t>
        </is>
      </c>
      <c r="D85" s="185" t="inlineStr">
        <is>
          <t>Шпилька резьбовая GST М10Х1000</t>
        </is>
      </c>
      <c r="E85" s="186" t="inlineStr">
        <is>
          <t>шт</t>
        </is>
      </c>
      <c r="F85" s="186" t="n">
        <v>15</v>
      </c>
      <c r="G85" s="188" t="n">
        <v>63.32</v>
      </c>
      <c r="H85" s="188">
        <f>ROUND(F85*G85,2)</f>
        <v/>
      </c>
    </row>
    <row r="86" ht="31.15" customFormat="1" customHeight="1" s="168">
      <c r="A86" s="186" t="n">
        <v>71</v>
      </c>
      <c r="B86" s="186" t="n"/>
      <c r="C86" s="185" t="inlineStr">
        <is>
          <t>Прайс из СД ОП</t>
        </is>
      </c>
      <c r="D86" s="185" t="inlineStr">
        <is>
          <t>Ниппель переходной НП-001-50-50/57 еф8.652.068-06</t>
        </is>
      </c>
      <c r="E86" s="186" t="inlineStr">
        <is>
          <t>шт</t>
        </is>
      </c>
      <c r="F86" s="186" t="n">
        <v>5</v>
      </c>
      <c r="G86" s="188" t="n">
        <v>158.93</v>
      </c>
      <c r="H86" s="188">
        <f>ROUND(F86*G86,2)</f>
        <v/>
      </c>
    </row>
    <row r="87" ht="31.15" customFormat="1" customHeight="1" s="168">
      <c r="A87" s="186" t="n">
        <v>72</v>
      </c>
      <c r="B87" s="186" t="n"/>
      <c r="C87" s="185" t="inlineStr">
        <is>
          <t>Прайс из СД ОП</t>
        </is>
      </c>
      <c r="D87" s="185" t="inlineStr">
        <is>
          <t>Анкер химический (капсула с клеевым составом) Hilti HIT-HY 150/330</t>
        </is>
      </c>
      <c r="E87" s="186" t="inlineStr">
        <is>
          <t>шт</t>
        </is>
      </c>
      <c r="F87" s="186" t="n">
        <v>2</v>
      </c>
      <c r="G87" s="188" t="n">
        <v>391.34</v>
      </c>
      <c r="H87" s="188">
        <f>ROUND(F87*G87,2)</f>
        <v/>
      </c>
    </row>
    <row r="88" ht="18.75" customFormat="1" customHeight="1" s="168">
      <c r="A88" s="186" t="n">
        <v>73</v>
      </c>
      <c r="B88" s="186" t="n"/>
      <c r="C88" s="185" t="inlineStr">
        <is>
          <t>Прайс из СД ОП</t>
        </is>
      </c>
      <c r="D88" s="185" t="inlineStr">
        <is>
          <t>База под извещатель В501DG</t>
        </is>
      </c>
      <c r="E88" s="186" t="inlineStr">
        <is>
          <t>шт</t>
        </is>
      </c>
      <c r="F88" s="186" t="n">
        <v>3</v>
      </c>
      <c r="G88" s="188" t="n">
        <v>254.07</v>
      </c>
      <c r="H88" s="188">
        <f>ROUND(F88*G88,2)</f>
        <v/>
      </c>
    </row>
    <row r="89" ht="18.75" customFormat="1" customHeight="1" s="168">
      <c r="A89" s="186" t="n">
        <v>74</v>
      </c>
      <c r="B89" s="186" t="n"/>
      <c r="C89" s="185" t="inlineStr">
        <is>
          <t>Прайс из СД ОП</t>
        </is>
      </c>
      <c r="D89" s="185" t="inlineStr">
        <is>
          <t>Хомут  MPN-QRC (D54-60)</t>
        </is>
      </c>
      <c r="E89" s="186" t="inlineStr">
        <is>
          <t>шт</t>
        </is>
      </c>
      <c r="F89" s="186" t="n">
        <v>13</v>
      </c>
      <c r="G89" s="188" t="n">
        <v>55.31</v>
      </c>
      <c r="H89" s="188">
        <f>ROUND(F89*G89,2)</f>
        <v/>
      </c>
    </row>
    <row r="90" ht="62.45" customFormat="1" customHeight="1" s="168">
      <c r="A90" s="186" t="n">
        <v>75</v>
      </c>
      <c r="B90" s="186" t="n"/>
      <c r="C90" s="185" t="inlineStr">
        <is>
          <t>23.3.05.02-0062</t>
        </is>
      </c>
      <c r="D90" s="185" t="inlineStr">
        <is>
          <t>Трубы стальные бесшовные, холоднодеформированные из стали марок 10, 20, 30, 45 (ГОСТ 8734-75, 8733-74), наружным диаметром 38 мм, толщина стенки 4,0 мм</t>
        </is>
      </c>
      <c r="E90" s="186" t="inlineStr">
        <is>
          <t>м</t>
        </is>
      </c>
      <c r="F90" s="186" t="n">
        <v>14</v>
      </c>
      <c r="G90" s="188" t="n">
        <v>51.29</v>
      </c>
      <c r="H90" s="188">
        <f>ROUND(F90*G90,2)</f>
        <v/>
      </c>
    </row>
    <row r="91" ht="31.15" customFormat="1" customHeight="1" s="168">
      <c r="A91" s="186" t="n">
        <v>76</v>
      </c>
      <c r="B91" s="186" t="n"/>
      <c r="C91" s="185" t="inlineStr">
        <is>
          <t>Прайс из СД ОП</t>
        </is>
      </c>
      <c r="D91" s="185" t="inlineStr">
        <is>
          <t>Монтажная коробка с 1 контактом для настенной установки SR1T</t>
        </is>
      </c>
      <c r="E91" s="186" t="inlineStr">
        <is>
          <t>шт</t>
        </is>
      </c>
      <c r="F91" s="186" t="n">
        <v>1</v>
      </c>
      <c r="G91" s="188" t="n">
        <v>665.59</v>
      </c>
      <c r="H91" s="188">
        <f>ROUND(F91*G91,2)</f>
        <v/>
      </c>
    </row>
    <row r="92" ht="18.75" customFormat="1" customHeight="1" s="168">
      <c r="A92" s="186" t="n">
        <v>77</v>
      </c>
      <c r="B92" s="186" t="n"/>
      <c r="C92" s="185" t="inlineStr">
        <is>
          <t>Прайс из СД ОП</t>
        </is>
      </c>
      <c r="D92" s="185" t="inlineStr">
        <is>
          <t>XR Сьемник для извещателей 100 и 200 серий</t>
        </is>
      </c>
      <c r="E92" s="186" t="inlineStr">
        <is>
          <t>шт</t>
        </is>
      </c>
      <c r="F92" s="186" t="n">
        <v>1</v>
      </c>
      <c r="G92" s="188" t="n">
        <v>653.09</v>
      </c>
      <c r="H92" s="188">
        <f>ROUND(F92*G92,2)</f>
        <v/>
      </c>
    </row>
    <row r="93" ht="62.45" customFormat="1" customHeight="1" s="168">
      <c r="A93" s="186" t="n">
        <v>78</v>
      </c>
      <c r="B93" s="186" t="n"/>
      <c r="C93" s="185" t="inlineStr">
        <is>
          <t>23.8.04.06-0062</t>
        </is>
      </c>
      <c r="D93" s="185" t="inlineStr">
        <is>
          <t>Отводы 90 град. с радиусом кривизны R=1,5 Ду на Ру до 16 МПа (160 кгс/см2), диаметром условного прохода 40 мм, наружным диаметром 45 мм, толщиной стенки 4 мм</t>
        </is>
      </c>
      <c r="E93" s="186" t="inlineStr">
        <is>
          <t>шт</t>
        </is>
      </c>
      <c r="F93" s="186" t="n">
        <v>27</v>
      </c>
      <c r="G93" s="188" t="n">
        <v>22.44</v>
      </c>
      <c r="H93" s="188">
        <f>ROUND(F93*G93,2)</f>
        <v/>
      </c>
    </row>
    <row r="94" ht="31.15" customFormat="1" customHeight="1" s="168">
      <c r="A94" s="186" t="n">
        <v>79</v>
      </c>
      <c r="B94" s="186" t="n"/>
      <c r="C94" s="185" t="inlineStr">
        <is>
          <t>24.3.03.05-0014</t>
        </is>
      </c>
      <c r="D94" s="185" t="inlineStr">
        <is>
          <t>Трубы гибкие гофрированные легкие из ПНД, серии BL, с зондом, диаметром 32 мм</t>
        </is>
      </c>
      <c r="E94" s="186" t="inlineStr">
        <is>
          <t>м</t>
        </is>
      </c>
      <c r="F94" s="186" t="n">
        <v>80</v>
      </c>
      <c r="G94" s="188" t="n">
        <v>7.51</v>
      </c>
      <c r="H94" s="188">
        <f>ROUND(F94*G94,2)</f>
        <v/>
      </c>
    </row>
    <row r="95" ht="31.15" customFormat="1" customHeight="1" s="168">
      <c r="A95" s="186" t="n">
        <v>80</v>
      </c>
      <c r="B95" s="186" t="n"/>
      <c r="C95" s="185" t="inlineStr">
        <is>
          <t>24.3.03.05-0013</t>
        </is>
      </c>
      <c r="D95" s="185" t="inlineStr">
        <is>
          <t>Трубы гибкие гофрированные легкие из ПНД, серии BL, с зондом, диаметром 25 мм</t>
        </is>
      </c>
      <c r="E95" s="186" t="inlineStr">
        <is>
          <t>м</t>
        </is>
      </c>
      <c r="F95" s="186" t="n">
        <v>120</v>
      </c>
      <c r="G95" s="188" t="n">
        <v>4.9</v>
      </c>
      <c r="H95" s="188">
        <f>ROUND(F95*G95,2)</f>
        <v/>
      </c>
    </row>
    <row r="96" ht="18.75" customFormat="1" customHeight="1" s="168">
      <c r="A96" s="186" t="n">
        <v>81</v>
      </c>
      <c r="B96" s="186" t="n"/>
      <c r="C96" s="185" t="inlineStr">
        <is>
          <t>Прайс из СД ОП</t>
        </is>
      </c>
      <c r="D96" s="185" t="inlineStr">
        <is>
          <t>Упаковка МПА</t>
        </is>
      </c>
      <c r="E96" s="186" t="inlineStr">
        <is>
          <t>шт</t>
        </is>
      </c>
      <c r="F96" s="186" t="n">
        <v>6</v>
      </c>
      <c r="G96" s="188" t="n">
        <v>79.55</v>
      </c>
      <c r="H96" s="188">
        <f>ROUND(F96*G96,2)</f>
        <v/>
      </c>
    </row>
    <row r="97" ht="18.75" customFormat="1" customHeight="1" s="168">
      <c r="A97" s="186" t="n">
        <v>82</v>
      </c>
      <c r="B97" s="186" t="n"/>
      <c r="C97" s="185" t="inlineStr">
        <is>
          <t>Прайс из СД ОП</t>
        </is>
      </c>
      <c r="D97" s="185" t="inlineStr">
        <is>
          <t>Хомут  MPN-QRC (D37-41)</t>
        </is>
      </c>
      <c r="E97" s="186" t="inlineStr">
        <is>
          <t>шт</t>
        </is>
      </c>
      <c r="F97" s="186" t="n">
        <v>8</v>
      </c>
      <c r="G97" s="188" t="n">
        <v>55.31</v>
      </c>
      <c r="H97" s="188">
        <f>ROUND(F97*G97,2)</f>
        <v/>
      </c>
    </row>
    <row r="98" ht="15.6" customFormat="1" customHeight="1" s="168">
      <c r="A98" s="186" t="n">
        <v>83</v>
      </c>
      <c r="B98" s="186" t="n"/>
      <c r="C98" s="185" t="inlineStr">
        <is>
          <t>01.7.15.07-0014</t>
        </is>
      </c>
      <c r="D98" s="185" t="inlineStr">
        <is>
          <t>Дюбели распорные полипропиленовые</t>
        </is>
      </c>
      <c r="E98" s="186" t="inlineStr">
        <is>
          <t>100 шт</t>
        </is>
      </c>
      <c r="F98" s="186" t="n">
        <v>5.1</v>
      </c>
      <c r="G98" s="188" t="n">
        <v>86</v>
      </c>
      <c r="H98" s="188">
        <f>ROUND(F98*G98,2)</f>
        <v/>
      </c>
    </row>
    <row r="99" ht="62.45" customFormat="1" customHeight="1" s="168">
      <c r="A99" s="186" t="n">
        <v>84</v>
      </c>
      <c r="B99" s="186" t="n"/>
      <c r="C99" s="185" t="inlineStr">
        <is>
          <t>23.3.05.01-0028</t>
        </is>
      </c>
      <c r="D99" s="185" t="inlineStr">
        <is>
          <t>Трубы бесшовные холоднодеформированные из коррозионностойкой стали марки 12Х18Н10Т(8443) наружным диаметром 57 мм, толщиной стенки 4,0 мм</t>
        </is>
      </c>
      <c r="E99" s="186" t="inlineStr">
        <is>
          <t>м</t>
        </is>
      </c>
      <c r="F99" s="186" t="n">
        <v>1.6</v>
      </c>
      <c r="G99" s="188" t="n">
        <v>273.92</v>
      </c>
      <c r="H99" s="188">
        <f>ROUND(F99*G99,2)</f>
        <v/>
      </c>
    </row>
    <row r="100" ht="20.25" customFormat="1" customHeight="1" s="168">
      <c r="A100" s="186" t="n">
        <v>85</v>
      </c>
      <c r="B100" s="186" t="n"/>
      <c r="C100" s="185" t="inlineStr">
        <is>
          <t>Прайс из СД ОП</t>
        </is>
      </c>
      <c r="D100" s="185" t="inlineStr">
        <is>
          <t>Коробка коммутационная ASU-ВC-PI-16</t>
        </is>
      </c>
      <c r="E100" s="186" t="inlineStr">
        <is>
          <t>шт</t>
        </is>
      </c>
      <c r="F100" s="186" t="n">
        <v>1</v>
      </c>
      <c r="G100" s="188" t="n">
        <v>414.54</v>
      </c>
      <c r="H100" s="188">
        <f>ROUND(F100*G100,2)</f>
        <v/>
      </c>
    </row>
    <row r="101" ht="20.25" customFormat="1" customHeight="1" s="168">
      <c r="A101" s="186" t="n">
        <v>86</v>
      </c>
      <c r="B101" s="186" t="n"/>
      <c r="C101" s="185" t="inlineStr">
        <is>
          <t>Прайс из СД ОП</t>
        </is>
      </c>
      <c r="D101" s="185" t="inlineStr">
        <is>
          <t>Коробка коммутационная ASU-ВC-PI-32</t>
        </is>
      </c>
      <c r="E101" s="186" t="inlineStr">
        <is>
          <t>шт</t>
        </is>
      </c>
      <c r="F101" s="186" t="n">
        <v>1</v>
      </c>
      <c r="G101" s="188" t="n">
        <v>414.54</v>
      </c>
      <c r="H101" s="188">
        <f>ROUND(F101*G101,2)</f>
        <v/>
      </c>
    </row>
    <row r="102" ht="15.6" customFormat="1" customHeight="1" s="168">
      <c r="A102" s="186" t="n">
        <v>87</v>
      </c>
      <c r="B102" s="186" t="n"/>
      <c r="C102" s="185" t="inlineStr">
        <is>
          <t>01.7.03.04-0001</t>
        </is>
      </c>
      <c r="D102" s="185" t="inlineStr">
        <is>
          <t>Электроэнергия</t>
        </is>
      </c>
      <c r="E102" s="186" t="inlineStr">
        <is>
          <t>кВт-ч</t>
        </is>
      </c>
      <c r="F102" s="186" t="n">
        <v>1010.38</v>
      </c>
      <c r="G102" s="188" t="n">
        <v>0.4</v>
      </c>
      <c r="H102" s="188">
        <f>ROUND(F102*G102,2)</f>
        <v/>
      </c>
    </row>
    <row r="103" ht="31.15" customFormat="1" customHeight="1" s="168">
      <c r="A103" s="186" t="n">
        <v>88</v>
      </c>
      <c r="B103" s="186" t="n"/>
      <c r="C103" s="185" t="inlineStr">
        <is>
          <t>01.1.01.09-0023</t>
        </is>
      </c>
      <c r="D103" s="185" t="inlineStr">
        <is>
          <t>Шнур асбестовый общего назначения ШАОН, диаметр 2,0-2,5 мм</t>
        </is>
      </c>
      <c r="E103" s="186" t="inlineStr">
        <is>
          <t>т</t>
        </is>
      </c>
      <c r="F103" s="186" t="n">
        <v>0.01462</v>
      </c>
      <c r="G103" s="188" t="n">
        <v>27300</v>
      </c>
      <c r="H103" s="188">
        <f>ROUND(F103*G103,2)</f>
        <v/>
      </c>
    </row>
    <row r="104" ht="19.5" customFormat="1" customHeight="1" s="168">
      <c r="A104" s="186" t="n">
        <v>89</v>
      </c>
      <c r="B104" s="186" t="n"/>
      <c r="C104" s="185" t="inlineStr">
        <is>
          <t>Прайс из СД ОП</t>
        </is>
      </c>
      <c r="D104" s="185" t="inlineStr">
        <is>
          <t>База под извещатель с изолятором В524IEFT</t>
        </is>
      </c>
      <c r="E104" s="186" t="inlineStr">
        <is>
          <t>шт</t>
        </is>
      </c>
      <c r="F104" s="186" t="n">
        <v>1</v>
      </c>
      <c r="G104" s="188" t="n">
        <v>254.79</v>
      </c>
      <c r="H104" s="188">
        <f>ROUND(F104*G104,2)</f>
        <v/>
      </c>
    </row>
    <row r="105" ht="33" customFormat="1" customHeight="1" s="168">
      <c r="A105" s="186" t="n">
        <v>90</v>
      </c>
      <c r="B105" s="186" t="n"/>
      <c r="C105" s="185" t="inlineStr">
        <is>
          <t>21.2.01.02-0141</t>
        </is>
      </c>
      <c r="D105" s="185" t="inlineStr">
        <is>
          <t>Провод неизолированный для воздушных линий электропередачи медные, марка М, сечение 4 мм2</t>
        </is>
      </c>
      <c r="E105" s="186" t="inlineStr">
        <is>
          <t>т</t>
        </is>
      </c>
      <c r="F105" s="186" t="n">
        <v>0.00264</v>
      </c>
      <c r="G105" s="188" t="n">
        <v>96440</v>
      </c>
      <c r="H105" s="188">
        <f>ROUND(F105*G105,2)</f>
        <v/>
      </c>
    </row>
    <row r="106" ht="31.15" customFormat="1" customHeight="1" s="168">
      <c r="A106" s="186" t="n">
        <v>91</v>
      </c>
      <c r="B106" s="186" t="n"/>
      <c r="C106" s="185" t="inlineStr">
        <is>
          <t>10.3.02.03-0011</t>
        </is>
      </c>
      <c r="D106" s="185" t="inlineStr">
        <is>
          <t>Припои оловянно-свинцовые бессурьмянистые, марка ПОС30</t>
        </is>
      </c>
      <c r="E106" s="186" t="inlineStr">
        <is>
          <t>т</t>
        </is>
      </c>
      <c r="F106" s="186" t="n">
        <v>0.0037295</v>
      </c>
      <c r="G106" s="188" t="n">
        <v>68050</v>
      </c>
      <c r="H106" s="188">
        <f>ROUND(F106*G106,2)</f>
        <v/>
      </c>
    </row>
    <row r="107" ht="109.15" customFormat="1" customHeight="1" s="168">
      <c r="A107" s="186" t="n">
        <v>92</v>
      </c>
      <c r="B107" s="186" t="n"/>
      <c r="C107" s="185" t="inlineStr">
        <is>
          <t>21.1.08.01-0113</t>
        </is>
      </c>
      <c r="D107" s="185" t="inlineStr">
        <is>
          <t>Кабели парной скрутки для систем пожарной сигнализации с однопроволочными медными жилами, изоляцией и оболочкой из ПВХ, с экраном из алюмолавсановой ленты, не распространяющей горение, с низким дымо- и газовыделением, марки КПСВЭВнг-LS 1х2х1,0 прим.(КИПвЭВнг-LS 1х2х0.78)</t>
        </is>
      </c>
      <c r="E107" s="186" t="inlineStr">
        <is>
          <t>1000 м</t>
        </is>
      </c>
      <c r="F107" s="186" t="n">
        <v>0.05</v>
      </c>
      <c r="G107" s="188" t="n">
        <v>4907.19</v>
      </c>
      <c r="H107" s="188">
        <f>ROUND(F107*G107,2)</f>
        <v/>
      </c>
    </row>
    <row r="108" ht="15.6" customFormat="1" customHeight="1" s="168">
      <c r="A108" s="186" t="n">
        <v>93</v>
      </c>
      <c r="B108" s="186" t="n"/>
      <c r="C108" s="185" t="inlineStr">
        <is>
          <t>01.7.11.07-0040</t>
        </is>
      </c>
      <c r="D108" s="185" t="inlineStr">
        <is>
          <t>Электроды сварочные Э50А, диаметр 4 мм</t>
        </is>
      </c>
      <c r="E108" s="186" t="inlineStr">
        <is>
          <t>т</t>
        </is>
      </c>
      <c r="F108" s="186" t="n">
        <v>0.02112</v>
      </c>
      <c r="G108" s="188" t="n">
        <v>11524</v>
      </c>
      <c r="H108" s="188">
        <f>ROUND(F108*G108,2)</f>
        <v/>
      </c>
    </row>
    <row r="109" ht="62.45" customFormat="1" customHeight="1" s="168">
      <c r="A109" s="186" t="n">
        <v>94</v>
      </c>
      <c r="B109" s="186" t="n"/>
      <c r="C109" s="185" t="inlineStr">
        <is>
          <t>23.8.04.06-0065</t>
        </is>
      </c>
      <c r="D109" s="185" t="inlineStr">
        <is>
          <t>Отводы 90 град. с радиусом кривизны R=1,5 Ду на Ру до 16 МПа (160 кгс/см2), диаметром условного прохода 50 мм, наружным диаметром 57 мм, толщиной стенки 5 мм</t>
        </is>
      </c>
      <c r="E109" s="186" t="inlineStr">
        <is>
          <t>шт</t>
        </is>
      </c>
      <c r="F109" s="186" t="n">
        <v>8</v>
      </c>
      <c r="G109" s="188" t="n">
        <v>29.53</v>
      </c>
      <c r="H109" s="188">
        <f>ROUND(F109*G109,2)</f>
        <v/>
      </c>
    </row>
    <row r="110" ht="31.15" customFormat="1" customHeight="1" s="168">
      <c r="A110" s="186" t="n">
        <v>95</v>
      </c>
      <c r="B110" s="186" t="n"/>
      <c r="C110" s="185" t="inlineStr">
        <is>
          <t>07.2.07.04-0004</t>
        </is>
      </c>
      <c r="D110" s="185" t="inlineStr">
        <is>
          <t>Конструкции стальные индивидуальные решетчатые сварные, масса 0,5-1 т</t>
        </is>
      </c>
      <c r="E110" s="186" t="inlineStr">
        <is>
          <t>т</t>
        </is>
      </c>
      <c r="F110" s="186" t="n">
        <v>0.02247</v>
      </c>
      <c r="G110" s="188" t="n">
        <v>10480</v>
      </c>
      <c r="H110" s="188">
        <f>ROUND(F110*G110,2)</f>
        <v/>
      </c>
    </row>
    <row r="111" ht="18.75" customFormat="1" customHeight="1" s="168">
      <c r="A111" s="186" t="n">
        <v>96</v>
      </c>
      <c r="B111" s="186" t="n"/>
      <c r="C111" s="185" t="inlineStr">
        <is>
          <t>Прайс из СД ОП</t>
        </is>
      </c>
      <c r="D111" s="185" t="inlineStr">
        <is>
          <t>Пена для изоляции 125-225мм СР-620</t>
        </is>
      </c>
      <c r="E111" s="186" t="inlineStr">
        <is>
          <t>шт</t>
        </is>
      </c>
      <c r="F111" s="186" t="n">
        <v>5</v>
      </c>
      <c r="G111" s="188" t="n">
        <v>40.07</v>
      </c>
      <c r="H111" s="188">
        <f>ROUND(F111*G111,2)</f>
        <v/>
      </c>
    </row>
    <row r="112" ht="15.6" customFormat="1" customHeight="1" s="168">
      <c r="A112" s="186" t="n">
        <v>97</v>
      </c>
      <c r="B112" s="186" t="n"/>
      <c r="C112" s="185" t="inlineStr">
        <is>
          <t>01.7.11.07-0065</t>
        </is>
      </c>
      <c r="D112" s="185" t="inlineStr">
        <is>
          <t>Электроды диаметром 8 мм Э42А</t>
        </is>
      </c>
      <c r="E112" s="186" t="inlineStr">
        <is>
          <t>т</t>
        </is>
      </c>
      <c r="F112" s="186" t="n">
        <v>0.02</v>
      </c>
      <c r="G112" s="188" t="n">
        <v>9342</v>
      </c>
      <c r="H112" s="188">
        <f>ROUND(F112*G112,2)</f>
        <v/>
      </c>
    </row>
    <row r="113" ht="31.15" customFormat="1" customHeight="1" s="168">
      <c r="A113" s="186" t="n">
        <v>98</v>
      </c>
      <c r="B113" s="186" t="n"/>
      <c r="C113" s="185" t="inlineStr">
        <is>
          <t>Прайс из СД ОП</t>
        </is>
      </c>
      <c r="D113" s="185" t="inlineStr">
        <is>
          <t>Монтажная коробка с 1 контактом для настенной установки SR1T</t>
        </is>
      </c>
      <c r="E113" s="186" t="inlineStr">
        <is>
          <t>шт</t>
        </is>
      </c>
      <c r="F113" s="186" t="n">
        <v>2</v>
      </c>
      <c r="G113" s="188" t="n">
        <v>91.93000000000001</v>
      </c>
      <c r="H113" s="188">
        <f>ROUND(F113*G113,2)</f>
        <v/>
      </c>
    </row>
    <row r="114" ht="31.15" customFormat="1" customHeight="1" s="168">
      <c r="A114" s="186" t="n">
        <v>99</v>
      </c>
      <c r="B114" s="186" t="n"/>
      <c r="C114" s="185" t="inlineStr">
        <is>
          <t>07.2.07.04-0007</t>
        </is>
      </c>
      <c r="D114" s="185" t="inlineStr">
        <is>
          <t>Конструкции стальные индивидуальные решетчатые сварные, масса до 0,1 т</t>
        </is>
      </c>
      <c r="E114" s="186" t="inlineStr">
        <is>
          <t>т</t>
        </is>
      </c>
      <c r="F114" s="186" t="n">
        <v>0.015</v>
      </c>
      <c r="G114" s="188" t="n">
        <v>11500</v>
      </c>
      <c r="H114" s="188">
        <f>ROUND(F114*G114,2)</f>
        <v/>
      </c>
    </row>
    <row r="115" ht="31.15" customFormat="1" customHeight="1" s="168">
      <c r="A115" s="186" t="n">
        <v>100</v>
      </c>
      <c r="B115" s="186" t="n"/>
      <c r="C115" s="185" t="inlineStr">
        <is>
          <t>Прайс из СД ОП</t>
        </is>
      </c>
      <c r="D115" s="185" t="inlineStr">
        <is>
          <t>Заглушка испытательная с внутренней резьбой ЗИ-В g 1 1/4" еф6.433.076-04</t>
        </is>
      </c>
      <c r="E115" s="186" t="inlineStr">
        <is>
          <t>шт</t>
        </is>
      </c>
      <c r="F115" s="186" t="n">
        <v>6</v>
      </c>
      <c r="G115" s="188" t="n">
        <v>26.92</v>
      </c>
      <c r="H115" s="188">
        <f>ROUND(F115*G115,2)</f>
        <v/>
      </c>
    </row>
    <row r="116" ht="15.6" customFormat="1" customHeight="1" s="168">
      <c r="A116" s="186" t="n">
        <v>101</v>
      </c>
      <c r="B116" s="186" t="n"/>
      <c r="C116" s="185" t="inlineStr">
        <is>
          <t>01.7.11.07-0041</t>
        </is>
      </c>
      <c r="D116" s="185" t="inlineStr">
        <is>
          <t>Электроды сварочные Э55, диаметр 4 мм</t>
        </is>
      </c>
      <c r="E116" s="186" t="inlineStr">
        <is>
          <t>т</t>
        </is>
      </c>
      <c r="F116" s="186" t="n">
        <v>0.012286</v>
      </c>
      <c r="G116" s="188" t="n">
        <v>12650</v>
      </c>
      <c r="H116" s="188">
        <f>ROUND(F116*G116,2)</f>
        <v/>
      </c>
    </row>
    <row r="117" ht="78" customFormat="1" customHeight="1" s="168">
      <c r="A117" s="186" t="n">
        <v>102</v>
      </c>
      <c r="B117" s="186" t="n"/>
      <c r="C117" s="185" t="inlineStr">
        <is>
          <t>21.1.06.09-0153</t>
        </is>
      </c>
      <c r="D117" s="18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E117" s="186" t="inlineStr">
        <is>
          <t>1000 м</t>
        </is>
      </c>
      <c r="F117" s="186" t="n">
        <v>0.015</v>
      </c>
      <c r="G117" s="188" t="n">
        <v>10296.33</v>
      </c>
      <c r="H117" s="188">
        <f>ROUND(F117*G117,2)</f>
        <v/>
      </c>
    </row>
    <row r="118" ht="18.75" customFormat="1" customHeight="1" s="168">
      <c r="A118" s="186" t="n">
        <v>103</v>
      </c>
      <c r="B118" s="186" t="n"/>
      <c r="C118" s="185" t="inlineStr">
        <is>
          <t>Прайс из СД ОП</t>
        </is>
      </c>
      <c r="D118" s="185" t="inlineStr">
        <is>
          <t>Очиститель CFR 1</t>
        </is>
      </c>
      <c r="E118" s="186" t="inlineStr">
        <is>
          <t>ШТ</t>
        </is>
      </c>
      <c r="F118" s="186" t="n">
        <v>1</v>
      </c>
      <c r="G118" s="188" t="n">
        <v>147.45</v>
      </c>
      <c r="H118" s="188">
        <f>ROUND(F118*G118,2)</f>
        <v/>
      </c>
    </row>
    <row r="119" ht="63.75" customFormat="1" customHeight="1" s="168">
      <c r="A119" s="186" t="n">
        <v>104</v>
      </c>
      <c r="B119" s="186" t="n"/>
      <c r="C119" s="185" t="inlineStr">
        <is>
          <t>21.2.03.03-0016</t>
        </is>
      </c>
      <c r="D119" s="185" t="inlineStr">
        <is>
          <t>Провод силовой гибкий, напряжение с изоляцией из стеклоткани и дельта-асбеста, пропитанный кремнийорганическим лаком, марка ПСУ-180, сечение 6 мм2, напряжение до 380 В</t>
        </is>
      </c>
      <c r="E119" s="186" t="inlineStr">
        <is>
          <t>1000 м</t>
        </is>
      </c>
      <c r="F119" s="186" t="n">
        <v>0.0086</v>
      </c>
      <c r="G119" s="188" t="n">
        <v>13980.31</v>
      </c>
      <c r="H119" s="188">
        <f>ROUND(F119*G119,2)</f>
        <v/>
      </c>
    </row>
    <row r="120" ht="31.15" customFormat="1" customHeight="1" s="168">
      <c r="A120" s="186" t="n">
        <v>105</v>
      </c>
      <c r="B120" s="186" t="n"/>
      <c r="C120" s="185" t="inlineStr">
        <is>
          <t>10.3.02.03-0036</t>
        </is>
      </c>
      <c r="D120" s="185" t="inlineStr">
        <is>
          <t>Припои оловянно-свинцовые сурьмянистые, марка ПОССу 30-2</t>
        </is>
      </c>
      <c r="E120" s="186" t="inlineStr">
        <is>
          <t>т</t>
        </is>
      </c>
      <c r="F120" s="186" t="n">
        <v>0.00168</v>
      </c>
      <c r="G120" s="188" t="n">
        <v>63598.66</v>
      </c>
      <c r="H120" s="188">
        <f>ROUND(F120*G120,2)</f>
        <v/>
      </c>
    </row>
    <row r="121" ht="15.6" customFormat="1" customHeight="1" s="168">
      <c r="A121" s="186" t="n">
        <v>106</v>
      </c>
      <c r="B121" s="186" t="n"/>
      <c r="C121" s="185" t="inlineStr">
        <is>
          <t>01.7.02.07-0011</t>
        </is>
      </c>
      <c r="D121" s="185" t="inlineStr">
        <is>
          <t>Прессшпан листовой, марка А</t>
        </is>
      </c>
      <c r="E121" s="186" t="inlineStr">
        <is>
          <t>кг</t>
        </is>
      </c>
      <c r="F121" s="186" t="n">
        <v>2.05</v>
      </c>
      <c r="G121" s="188" t="n">
        <v>47.57</v>
      </c>
      <c r="H121" s="188">
        <f>ROUND(F121*G121,2)</f>
        <v/>
      </c>
    </row>
    <row r="122" ht="15.6" customFormat="1" customHeight="1" s="168">
      <c r="A122" s="186" t="n">
        <v>107</v>
      </c>
      <c r="B122" s="186" t="n"/>
      <c r="C122" s="185" t="inlineStr">
        <is>
          <t>Прайс из СД ОП</t>
        </is>
      </c>
      <c r="D122" s="185" t="inlineStr">
        <is>
          <t>Муфта приварная МП-СДУ-G1/2-А</t>
        </is>
      </c>
      <c r="E122" s="186" t="inlineStr">
        <is>
          <t>шт</t>
        </is>
      </c>
      <c r="F122" s="186" t="n">
        <v>3</v>
      </c>
      <c r="G122" s="188" t="n">
        <v>31.65</v>
      </c>
      <c r="H122" s="188">
        <f>ROUND(F122*G122,2)</f>
        <v/>
      </c>
    </row>
    <row r="123" ht="31.15" customFormat="1" customHeight="1" s="168">
      <c r="A123" s="186" t="n">
        <v>108</v>
      </c>
      <c r="B123" s="186" t="n"/>
      <c r="C123" s="185" t="inlineStr">
        <is>
          <t>01.7.15.07-0012</t>
        </is>
      </c>
      <c r="D123" s="185" t="inlineStr">
        <is>
          <t>Дюбели пластмассовые с шурупами, размер 12х70 мм</t>
        </is>
      </c>
      <c r="E123" s="186" t="inlineStr">
        <is>
          <t>100 шт</t>
        </is>
      </c>
      <c r="F123" s="186" t="n">
        <v>1.06</v>
      </c>
      <c r="G123" s="188" t="n">
        <v>83</v>
      </c>
      <c r="H123" s="188">
        <f>ROUND(F123*G123,2)</f>
        <v/>
      </c>
    </row>
    <row r="124" ht="15.6" customFormat="1" customHeight="1" s="168">
      <c r="A124" s="186" t="n">
        <v>109</v>
      </c>
      <c r="B124" s="186" t="n"/>
      <c r="C124" s="185" t="inlineStr">
        <is>
          <t>01.3.02.08-0001</t>
        </is>
      </c>
      <c r="D124" s="185" t="inlineStr">
        <is>
          <t>Кислород газообразный технический</t>
        </is>
      </c>
      <c r="E124" s="186" t="inlineStr">
        <is>
          <t>м3</t>
        </is>
      </c>
      <c r="F124" s="186" t="n">
        <v>13.7818165</v>
      </c>
      <c r="G124" s="188" t="n">
        <v>6.22</v>
      </c>
      <c r="H124" s="188">
        <f>ROUND(F124*G124,2)</f>
        <v/>
      </c>
    </row>
    <row r="125" ht="46.9" customFormat="1" customHeight="1" s="168">
      <c r="A125" s="186" t="n">
        <v>110</v>
      </c>
      <c r="B125" s="186" t="n"/>
      <c r="C125" s="185" t="inlineStr">
        <is>
          <t>01.7.06.05-0041</t>
        </is>
      </c>
      <c r="D125" s="185" t="inlineStr">
        <is>
          <t>Лента изоляционная прорезиненная односторонняя, ширина 20 мм, толщина 0,25-0,35 мм</t>
        </is>
      </c>
      <c r="E125" s="186" t="inlineStr">
        <is>
          <t>кг</t>
        </is>
      </c>
      <c r="F125" s="186" t="n">
        <v>2.64</v>
      </c>
      <c r="G125" s="188" t="n">
        <v>30.4</v>
      </c>
      <c r="H125" s="188">
        <f>ROUND(F125*G125,2)</f>
        <v/>
      </c>
    </row>
    <row r="126" ht="15.6" customFormat="1" customHeight="1" s="168">
      <c r="A126" s="186" t="n">
        <v>111</v>
      </c>
      <c r="B126" s="186" t="n"/>
      <c r="C126" s="185" t="inlineStr">
        <is>
          <t>17.1.02.03-0001</t>
        </is>
      </c>
      <c r="D126" s="185" t="inlineStr">
        <is>
          <t>Маты высокотемпературные МВТ-20</t>
        </is>
      </c>
      <c r="E126" s="186" t="inlineStr">
        <is>
          <t>м</t>
        </is>
      </c>
      <c r="F126" s="186" t="n">
        <v>8.6</v>
      </c>
      <c r="G126" s="188" t="n">
        <v>8.9</v>
      </c>
      <c r="H126" s="188">
        <f>ROUND(F126*G126,2)</f>
        <v/>
      </c>
    </row>
    <row r="127" ht="15.6" customFormat="1" customHeight="1" s="168">
      <c r="A127" s="186" t="n">
        <v>112</v>
      </c>
      <c r="B127" s="186" t="n"/>
      <c r="C127" s="185" t="inlineStr">
        <is>
          <t>25.2.01.01-0017</t>
        </is>
      </c>
      <c r="D127" s="185" t="inlineStr">
        <is>
          <t>Бирки маркировочные пластмассовые</t>
        </is>
      </c>
      <c r="E127" s="186" t="inlineStr">
        <is>
          <t>100 шт</t>
        </is>
      </c>
      <c r="F127" s="186" t="n">
        <v>2.39</v>
      </c>
      <c r="G127" s="188" t="n">
        <v>30.74</v>
      </c>
      <c r="H127" s="188">
        <f>ROUND(F127*G127,2)</f>
        <v/>
      </c>
    </row>
    <row r="128" ht="15.6" customFormat="1" customHeight="1" s="168">
      <c r="A128" s="186" t="n">
        <v>113</v>
      </c>
      <c r="B128" s="186" t="n"/>
      <c r="C128" s="185" t="inlineStr">
        <is>
          <t>20.2.01.05-0003</t>
        </is>
      </c>
      <c r="D128" s="185" t="inlineStr">
        <is>
          <t>Гильзы кабельные медные ГМ 6</t>
        </is>
      </c>
      <c r="E128" s="186" t="inlineStr">
        <is>
          <t>100 шт</t>
        </is>
      </c>
      <c r="F128" s="186" t="n">
        <v>0.65</v>
      </c>
      <c r="G128" s="188" t="n">
        <v>110</v>
      </c>
      <c r="H128" s="188">
        <f>ROUND(F128*G128,2)</f>
        <v/>
      </c>
    </row>
    <row r="129" ht="15.6" customFormat="1" customHeight="1" s="168">
      <c r="A129" s="186" t="n">
        <v>114</v>
      </c>
      <c r="B129" s="186" t="n"/>
      <c r="C129" s="185" t="inlineStr">
        <is>
          <t>01.7.20.04-0003</t>
        </is>
      </c>
      <c r="D129" s="185" t="inlineStr">
        <is>
          <t>Нитки суровые</t>
        </is>
      </c>
      <c r="E129" s="186" t="inlineStr">
        <is>
          <t>кг</t>
        </is>
      </c>
      <c r="F129" s="186" t="n">
        <v>0.414</v>
      </c>
      <c r="G129" s="188" t="n">
        <v>155</v>
      </c>
      <c r="H129" s="188">
        <f>ROUND(F129*G129,2)</f>
        <v/>
      </c>
    </row>
    <row r="130" ht="15.6" customFormat="1" customHeight="1" s="168">
      <c r="A130" s="186" t="n">
        <v>115</v>
      </c>
      <c r="B130" s="186" t="n"/>
      <c r="C130" s="185" t="inlineStr">
        <is>
          <t>01.7.07.29-0221</t>
        </is>
      </c>
      <c r="D130" s="185" t="inlineStr">
        <is>
          <t>Состав уплотнительный</t>
        </is>
      </c>
      <c r="E130" s="186" t="inlineStr">
        <is>
          <t>кг</t>
        </is>
      </c>
      <c r="F130" s="186" t="n">
        <v>3.6</v>
      </c>
      <c r="G130" s="188" t="n">
        <v>16.7</v>
      </c>
      <c r="H130" s="188">
        <f>ROUND(F130*G130,2)</f>
        <v/>
      </c>
    </row>
    <row r="131" ht="15.6" customFormat="1" customHeight="1" s="168">
      <c r="A131" s="186" t="n">
        <v>116</v>
      </c>
      <c r="B131" s="186" t="n"/>
      <c r="C131" s="185" t="inlineStr">
        <is>
          <t>01.3.01.01-0001</t>
        </is>
      </c>
      <c r="D131" s="185" t="inlineStr">
        <is>
          <t>Бензин авиационный Б-70</t>
        </is>
      </c>
      <c r="E131" s="186" t="inlineStr">
        <is>
          <t>т</t>
        </is>
      </c>
      <c r="F131" s="186" t="n">
        <v>0.0129</v>
      </c>
      <c r="G131" s="188" t="n">
        <v>4488.4</v>
      </c>
      <c r="H131" s="188">
        <f>ROUND(F131*G131,2)</f>
        <v/>
      </c>
    </row>
    <row r="132" ht="15.6" customFormat="1" customHeight="1" s="168">
      <c r="A132" s="186" t="n">
        <v>117</v>
      </c>
      <c r="B132" s="186" t="n"/>
      <c r="C132" s="185" t="inlineStr">
        <is>
          <t>01.7.07.29-0101</t>
        </is>
      </c>
      <c r="D132" s="185" t="inlineStr">
        <is>
          <t>Очес льняной</t>
        </is>
      </c>
      <c r="E132" s="186" t="inlineStr">
        <is>
          <t>кг</t>
        </is>
      </c>
      <c r="F132" s="186" t="n">
        <v>1.428</v>
      </c>
      <c r="G132" s="188" t="n">
        <v>37.29</v>
      </c>
      <c r="H132" s="188">
        <f>ROUND(F132*G132,2)</f>
        <v/>
      </c>
    </row>
    <row r="133" ht="15.6" customFormat="1" customHeight="1" s="168">
      <c r="A133" s="186" t="n">
        <v>118</v>
      </c>
      <c r="B133" s="186" t="n"/>
      <c r="C133" s="185" t="inlineStr">
        <is>
          <t>14.5.05.02-0001</t>
        </is>
      </c>
      <c r="D133" s="185" t="inlineStr">
        <is>
          <t>Олифа натуральная</t>
        </is>
      </c>
      <c r="E133" s="186" t="inlineStr">
        <is>
          <t>кг</t>
        </is>
      </c>
      <c r="F133" s="186" t="n">
        <v>1.54</v>
      </c>
      <c r="G133" s="188" t="n">
        <v>32.6</v>
      </c>
      <c r="H133" s="188">
        <f>ROUND(F133*G133,2)</f>
        <v/>
      </c>
    </row>
    <row r="134" ht="15.6" customFormat="1" customHeight="1" s="168">
      <c r="A134" s="186" t="n">
        <v>119</v>
      </c>
      <c r="B134" s="186" t="n"/>
      <c r="C134" s="185" t="inlineStr">
        <is>
          <t>20.1.02.06-0001</t>
        </is>
      </c>
      <c r="D134" s="185" t="inlineStr">
        <is>
          <t>Жир паяльный</t>
        </is>
      </c>
      <c r="E134" s="186" t="inlineStr">
        <is>
          <t>кг</t>
        </is>
      </c>
      <c r="F134" s="186" t="n">
        <v>0.48</v>
      </c>
      <c r="G134" s="188" t="n">
        <v>100.8</v>
      </c>
      <c r="H134" s="188">
        <f>ROUND(F134*G134,2)</f>
        <v/>
      </c>
    </row>
    <row r="135" ht="19.5" customFormat="1" customHeight="1" s="168">
      <c r="A135" s="186" t="n">
        <v>120</v>
      </c>
      <c r="B135" s="186" t="n"/>
      <c r="C135" s="185" t="inlineStr">
        <is>
          <t>01.7.11.04-0071</t>
        </is>
      </c>
      <c r="D135" s="185" t="inlineStr">
        <is>
          <t>Проволока сварочная легированная, диаметр 2 мм</t>
        </is>
      </c>
      <c r="E135" s="186" t="inlineStr">
        <is>
          <t>т</t>
        </is>
      </c>
      <c r="F135" s="186" t="n">
        <v>0.002976</v>
      </c>
      <c r="G135" s="188" t="n">
        <v>16136</v>
      </c>
      <c r="H135" s="188">
        <f>ROUND(F135*G135,2)</f>
        <v/>
      </c>
    </row>
    <row r="136" ht="46.9" customFormat="1" customHeight="1" s="168">
      <c r="A136" s="186" t="n">
        <v>121</v>
      </c>
      <c r="B136" s="186" t="n"/>
      <c r="C136" s="185" t="inlineStr">
        <is>
          <t>01.7.06.05-0042</t>
        </is>
      </c>
      <c r="D136" s="185" t="inlineStr">
        <is>
          <t>Лента липкая изоляционная на поликасиновом компаунде, ширина 20-30 мм, толщина от 0,14 до 0,19 мм</t>
        </is>
      </c>
      <c r="E136" s="186" t="inlineStr">
        <is>
          <t>кг</t>
        </is>
      </c>
      <c r="F136" s="186" t="n">
        <v>0.52</v>
      </c>
      <c r="G136" s="188" t="n">
        <v>91.29000000000001</v>
      </c>
      <c r="H136" s="188">
        <f>ROUND(F136*G136,2)</f>
        <v/>
      </c>
    </row>
    <row r="137" ht="31.15" customFormat="1" customHeight="1" s="168">
      <c r="A137" s="186" t="n">
        <v>122</v>
      </c>
      <c r="B137" s="186" t="n"/>
      <c r="C137" s="185" t="inlineStr">
        <is>
          <t>14.4.02.04-0142</t>
        </is>
      </c>
      <c r="D137" s="185" t="inlineStr">
        <is>
          <t>Краска масляная земляная МА-0115, мумия, сурик железный</t>
        </is>
      </c>
      <c r="E137" s="186" t="inlineStr">
        <is>
          <t>кг</t>
        </is>
      </c>
      <c r="F137" s="186" t="n">
        <v>2.856</v>
      </c>
      <c r="G137" s="188" t="n">
        <v>15.12</v>
      </c>
      <c r="H137" s="188">
        <f>ROUND(F137*G137,2)</f>
        <v/>
      </c>
    </row>
    <row r="138" ht="15.6" customFormat="1" customHeight="1" s="168">
      <c r="A138" s="186" t="n">
        <v>123</v>
      </c>
      <c r="B138" s="186" t="n"/>
      <c r="C138" s="185" t="inlineStr">
        <is>
          <t>01.7.11.07-0044</t>
        </is>
      </c>
      <c r="D138" s="185" t="inlineStr">
        <is>
          <t>Электроды сварочные Э42, диаметр 5 мм</t>
        </is>
      </c>
      <c r="E138" s="186" t="inlineStr">
        <is>
          <t>т</t>
        </is>
      </c>
      <c r="F138" s="186" t="n">
        <v>0.0040768</v>
      </c>
      <c r="G138" s="188" t="n">
        <v>9765</v>
      </c>
      <c r="H138" s="188">
        <f>ROUND(F138*G138,2)</f>
        <v/>
      </c>
    </row>
    <row r="139" ht="31.15" customFormat="1" customHeight="1" s="168">
      <c r="A139" s="186" t="n">
        <v>124</v>
      </c>
      <c r="B139" s="186" t="n"/>
      <c r="C139" s="185" t="inlineStr">
        <is>
          <t>10.3.02.03-0012</t>
        </is>
      </c>
      <c r="D139" s="185" t="inlineStr">
        <is>
          <t>Припои оловянно-свинцовые бессурьмянистые, марка ПОС40</t>
        </is>
      </c>
      <c r="E139" s="186" t="inlineStr">
        <is>
          <t>т</t>
        </is>
      </c>
      <c r="F139" s="186" t="n">
        <v>0.000578</v>
      </c>
      <c r="G139" s="188" t="n">
        <v>65750</v>
      </c>
      <c r="H139" s="188">
        <f>ROUND(F139*G139,2)</f>
        <v/>
      </c>
    </row>
    <row r="140" ht="31.15" customFormat="1" customHeight="1" s="168">
      <c r="A140" s="186" t="n">
        <v>125</v>
      </c>
      <c r="B140" s="186" t="n"/>
      <c r="C140" s="185" t="inlineStr">
        <is>
          <t>01.7.15.07-0022</t>
        </is>
      </c>
      <c r="D140" s="185" t="inlineStr">
        <is>
          <t>Дюбели распорные полиэтиленовые, размер 6х40 мм</t>
        </is>
      </c>
      <c r="E140" s="186" t="inlineStr">
        <is>
          <t>1000 шт</t>
        </is>
      </c>
      <c r="F140" s="186" t="n">
        <v>0.2</v>
      </c>
      <c r="G140" s="188" t="n">
        <v>180</v>
      </c>
      <c r="H140" s="188">
        <f>ROUND(F140*G140,2)</f>
        <v/>
      </c>
    </row>
    <row r="141" ht="31.15" customFormat="1" customHeight="1" s="168">
      <c r="A141" s="186" t="n">
        <v>126</v>
      </c>
      <c r="B141" s="186" t="n"/>
      <c r="C141" s="185" t="inlineStr">
        <is>
          <t>01.7.15.02-0086</t>
        </is>
      </c>
      <c r="D141" s="185" t="inlineStr">
        <is>
          <t>Болты с шестигранной головкой, диаметр 20 (22) мм</t>
        </is>
      </c>
      <c r="E141" s="186" t="inlineStr">
        <is>
          <t>т</t>
        </is>
      </c>
      <c r="F141" s="186" t="n">
        <v>0.0028</v>
      </c>
      <c r="G141" s="188" t="n">
        <v>9800</v>
      </c>
      <c r="H141" s="188">
        <f>ROUND(F141*G141,2)</f>
        <v/>
      </c>
    </row>
    <row r="142" ht="31.15" customFormat="1" customHeight="1" s="168">
      <c r="A142" s="186" t="n">
        <v>127</v>
      </c>
      <c r="B142" s="186" t="n"/>
      <c r="C142" s="185" t="inlineStr">
        <is>
          <t>01.7.02.04-0001</t>
        </is>
      </c>
      <c r="D142" s="185" t="inlineStr">
        <is>
          <t>Бумага кабельная электроизоляционная, двухслойная</t>
        </is>
      </c>
      <c r="E142" s="186" t="inlineStr">
        <is>
          <t>кг</t>
        </is>
      </c>
      <c r="F142" s="186" t="n">
        <v>1.2</v>
      </c>
      <c r="G142" s="188" t="n">
        <v>21.32</v>
      </c>
      <c r="H142" s="188">
        <f>ROUND(F142*G142,2)</f>
        <v/>
      </c>
    </row>
    <row r="143" ht="15.6" customFormat="1" customHeight="1" s="168">
      <c r="A143" s="186" t="n">
        <v>128</v>
      </c>
      <c r="B143" s="186" t="n"/>
      <c r="C143" s="185" t="inlineStr">
        <is>
          <t>20.1.02.23-0082</t>
        </is>
      </c>
      <c r="D143" s="185" t="inlineStr">
        <is>
          <t>Перемычки гибкие, тип ПГС-50</t>
        </is>
      </c>
      <c r="E143" s="186" t="inlineStr">
        <is>
          <t>10 шт</t>
        </is>
      </c>
      <c r="F143" s="186" t="n">
        <v>0.6</v>
      </c>
      <c r="G143" s="188" t="n">
        <v>39</v>
      </c>
      <c r="H143" s="188">
        <f>ROUND(F143*G143,2)</f>
        <v/>
      </c>
    </row>
    <row r="144" ht="15.6" customFormat="1" customHeight="1" s="168">
      <c r="A144" s="186" t="n">
        <v>129</v>
      </c>
      <c r="B144" s="186" t="n"/>
      <c r="C144" s="185" t="inlineStr">
        <is>
          <t>01.3.02.09-0022</t>
        </is>
      </c>
      <c r="D144" s="185" t="inlineStr">
        <is>
          <t>Пропан-бутан смесь техническая</t>
        </is>
      </c>
      <c r="E144" s="186" t="inlineStr">
        <is>
          <t>кг</t>
        </is>
      </c>
      <c r="F144" s="186" t="n">
        <v>3.6335573</v>
      </c>
      <c r="G144" s="188" t="n">
        <v>6.09</v>
      </c>
      <c r="H144" s="188">
        <f>ROUND(F144*G144,2)</f>
        <v/>
      </c>
    </row>
    <row r="145" ht="31.15" customFormat="1" customHeight="1" s="168">
      <c r="A145" s="186" t="n">
        <v>130</v>
      </c>
      <c r="B145" s="186" t="n"/>
      <c r="C145" s="185" t="inlineStr">
        <is>
          <t>01.7.19.02-0011</t>
        </is>
      </c>
      <c r="D145" s="185" t="inlineStr">
        <is>
          <t>Кольца резиновые двухлепестковые диаметром 50 мм</t>
        </is>
      </c>
      <c r="E145" s="186" t="inlineStr">
        <is>
          <t>100 шт</t>
        </is>
      </c>
      <c r="F145" s="186" t="n">
        <v>0.1</v>
      </c>
      <c r="G145" s="188" t="n">
        <v>204</v>
      </c>
      <c r="H145" s="188">
        <f>ROUND(F145*G145,2)</f>
        <v/>
      </c>
    </row>
    <row r="146" ht="15.6" customFormat="1" customHeight="1" s="168">
      <c r="A146" s="186" t="n">
        <v>131</v>
      </c>
      <c r="B146" s="186" t="n"/>
      <c r="C146" s="185" t="inlineStr">
        <is>
          <t>01.7.15.14-0165</t>
        </is>
      </c>
      <c r="D146" s="185" t="inlineStr">
        <is>
          <t>Шурупы с полукруглой головкой 4х40 мм</t>
        </is>
      </c>
      <c r="E146" s="186" t="inlineStr">
        <is>
          <t>т</t>
        </is>
      </c>
      <c r="F146" s="186" t="n">
        <v>0.001638</v>
      </c>
      <c r="G146" s="188" t="n">
        <v>12430</v>
      </c>
      <c r="H146" s="188">
        <f>ROUND(F146*G146,2)</f>
        <v/>
      </c>
    </row>
    <row r="147" ht="15.6" customFormat="1" customHeight="1" s="168">
      <c r="A147" s="186" t="n">
        <v>132</v>
      </c>
      <c r="B147" s="186" t="n"/>
      <c r="C147" s="185" t="inlineStr">
        <is>
          <t>14.4.03.03-0002</t>
        </is>
      </c>
      <c r="D147" s="185" t="inlineStr">
        <is>
          <t>Лак битумный БТ-123</t>
        </is>
      </c>
      <c r="E147" s="186" t="inlineStr">
        <is>
          <t>т</t>
        </is>
      </c>
      <c r="F147" s="186" t="n">
        <v>0.002532</v>
      </c>
      <c r="G147" s="188" t="n">
        <v>7826.9</v>
      </c>
      <c r="H147" s="188">
        <f>ROUND(F147*G147,2)</f>
        <v/>
      </c>
    </row>
    <row r="148" ht="17.25" customFormat="1" customHeight="1" s="168">
      <c r="A148" s="186" t="n">
        <v>133</v>
      </c>
      <c r="B148" s="186" t="n"/>
      <c r="C148" s="185" t="inlineStr">
        <is>
          <t>01.7.07.10-0001</t>
        </is>
      </c>
      <c r="D148" s="185" t="inlineStr">
        <is>
          <t>Патроны для строительно-монтажного пистолета</t>
        </is>
      </c>
      <c r="E148" s="186" t="inlineStr">
        <is>
          <t>1000 шт</t>
        </is>
      </c>
      <c r="F148" s="186" t="n">
        <v>0.07675999999999999</v>
      </c>
      <c r="G148" s="188" t="n">
        <v>253.8</v>
      </c>
      <c r="H148" s="188">
        <f>ROUND(F148*G148,2)</f>
        <v/>
      </c>
    </row>
    <row r="149" ht="15.6" customFormat="1" customHeight="1" s="168">
      <c r="A149" s="186" t="n">
        <v>134</v>
      </c>
      <c r="B149" s="186" t="n"/>
      <c r="C149" s="185" t="inlineStr">
        <is>
          <t>20.2.02.01-0012</t>
        </is>
      </c>
      <c r="D149" s="185" t="inlineStr">
        <is>
          <t>Втулки, диаметр 22 мм</t>
        </is>
      </c>
      <c r="E149" s="186" t="inlineStr">
        <is>
          <t>1000 шт</t>
        </is>
      </c>
      <c r="F149" s="186" t="n">
        <v>0.1586</v>
      </c>
      <c r="G149" s="188" t="n">
        <v>119</v>
      </c>
      <c r="H149" s="188">
        <f>ROUND(F149*G149,2)</f>
        <v/>
      </c>
    </row>
    <row r="150" ht="31.15" customFormat="1" customHeight="1" s="168">
      <c r="A150" s="186" t="n">
        <v>135</v>
      </c>
      <c r="B150" s="186" t="n"/>
      <c r="C150" s="185" t="inlineStr">
        <is>
          <t>14.5.05.01-0011</t>
        </is>
      </c>
      <c r="D150" s="185" t="inlineStr">
        <is>
          <t>Олифа комбинированная для отделочных работ внутри помещений</t>
        </is>
      </c>
      <c r="E150" s="186" t="inlineStr">
        <is>
          <t>т</t>
        </is>
      </c>
      <c r="F150" s="186" t="n">
        <v>0.000855</v>
      </c>
      <c r="G150" s="188" t="n">
        <v>20775</v>
      </c>
      <c r="H150" s="188">
        <f>ROUND(F150*G150,2)</f>
        <v/>
      </c>
    </row>
    <row r="151" ht="46.9" customFormat="1" customHeight="1" s="168">
      <c r="A151" s="186" t="n">
        <v>136</v>
      </c>
      <c r="B151" s="186" t="n"/>
      <c r="C151" s="185" t="inlineStr">
        <is>
          <t>01.7.15.07-0052</t>
        </is>
      </c>
      <c r="D151" s="185" t="inlineStr">
        <is>
          <t>Дюбели с калиброванной головкой (в обоймах) с цинковым хроматированным покрытием, размер 3х58,5 мм</t>
        </is>
      </c>
      <c r="E151" s="186" t="inlineStr">
        <is>
          <t>т</t>
        </is>
      </c>
      <c r="F151" s="186" t="n">
        <v>0.00068</v>
      </c>
      <c r="G151" s="188" t="n">
        <v>22558</v>
      </c>
      <c r="H151" s="188">
        <f>ROUND(F151*G151,2)</f>
        <v/>
      </c>
    </row>
    <row r="152" ht="15.6" customFormat="1" customHeight="1" s="168">
      <c r="A152" s="186" t="n">
        <v>137</v>
      </c>
      <c r="B152" s="186" t="n"/>
      <c r="C152" s="185" t="inlineStr">
        <is>
          <t>01.7.07.20-0002</t>
        </is>
      </c>
      <c r="D152" s="185" t="inlineStr">
        <is>
          <t>Тальк молотый, сорт I</t>
        </is>
      </c>
      <c r="E152" s="186" t="inlineStr">
        <is>
          <t>т</t>
        </is>
      </c>
      <c r="F152" s="186" t="n">
        <v>0.008015</v>
      </c>
      <c r="G152" s="188" t="n">
        <v>1820</v>
      </c>
      <c r="H152" s="188">
        <f>ROUND(F152*G152,2)</f>
        <v/>
      </c>
    </row>
    <row r="153" ht="31.15" customFormat="1" customHeight="1" s="168">
      <c r="A153" s="186" t="n">
        <v>138</v>
      </c>
      <c r="B153" s="186" t="n"/>
      <c r="C153" s="185" t="inlineStr">
        <is>
          <t>08.3.08.02-0091</t>
        </is>
      </c>
      <c r="D153" s="185" t="inlineStr">
        <is>
          <t>Уголок перфорированный, марка стали Ст3, размер 35х35 мм</t>
        </is>
      </c>
      <c r="E153" s="186" t="inlineStr">
        <is>
          <t>м</t>
        </is>
      </c>
      <c r="F153" s="186" t="n">
        <v>0.95</v>
      </c>
      <c r="G153" s="188" t="n">
        <v>15.13</v>
      </c>
      <c r="H153" s="188">
        <f>ROUND(F153*G153,2)</f>
        <v/>
      </c>
    </row>
    <row r="154" ht="15.6" customFormat="1" customHeight="1" s="168">
      <c r="A154" s="186" t="n">
        <v>139</v>
      </c>
      <c r="B154" s="186" t="n"/>
      <c r="C154" s="185" t="inlineStr">
        <is>
          <t>14.4.03.17-0011</t>
        </is>
      </c>
      <c r="D154" s="185" t="inlineStr">
        <is>
          <t>Лак электроизоляционный 318</t>
        </is>
      </c>
      <c r="E154" s="186" t="inlineStr">
        <is>
          <t>кг</t>
        </is>
      </c>
      <c r="F154" s="186" t="n">
        <v>0.382</v>
      </c>
      <c r="G154" s="188" t="n">
        <v>35.63</v>
      </c>
      <c r="H154" s="188">
        <f>ROUND(F154*G154,2)</f>
        <v/>
      </c>
    </row>
    <row r="155" ht="31.15" customFormat="1" customHeight="1" s="168">
      <c r="A155" s="186" t="n">
        <v>140</v>
      </c>
      <c r="B155" s="186" t="n"/>
      <c r="C155" s="185" t="inlineStr">
        <is>
          <t>18.5.08.18-0061</t>
        </is>
      </c>
      <c r="D155" s="185" t="inlineStr">
        <is>
          <t>Колпачки изоляции места соединения однопроволочных жил</t>
        </is>
      </c>
      <c r="E155" s="186" t="inlineStr">
        <is>
          <t>1000 шт</t>
        </is>
      </c>
      <c r="F155" s="186" t="n">
        <v>0.07675999999999999</v>
      </c>
      <c r="G155" s="188" t="n">
        <v>135.82</v>
      </c>
      <c r="H155" s="188">
        <f>ROUND(F155*G155,2)</f>
        <v/>
      </c>
    </row>
    <row r="156" ht="46.9" customFormat="1" customHeight="1" s="168">
      <c r="A156" s="186" t="n">
        <v>141</v>
      </c>
      <c r="B156" s="186" t="n"/>
      <c r="C156" s="185" t="inlineStr">
        <is>
          <t>01.7.15.14-0043</t>
        </is>
      </c>
      <c r="D156" s="185" t="inlineStr">
        <is>
          <t>Шурупы самонарезающий прокалывающий, для крепления металлических профилей или листовых деталей 3,5/11 мм</t>
        </is>
      </c>
      <c r="E156" s="186" t="inlineStr">
        <is>
          <t>100 шт</t>
        </is>
      </c>
      <c r="F156" s="186" t="n">
        <v>5.1</v>
      </c>
      <c r="G156" s="188" t="n">
        <v>2</v>
      </c>
      <c r="H156" s="188">
        <f>ROUND(F156*G156,2)</f>
        <v/>
      </c>
    </row>
    <row r="157" ht="15.6" customFormat="1" customHeight="1" s="168">
      <c r="A157" s="186" t="n">
        <v>142</v>
      </c>
      <c r="B157" s="186" t="n"/>
      <c r="C157" s="185" t="inlineStr">
        <is>
          <t>01.7.03.01-0002</t>
        </is>
      </c>
      <c r="D157" s="185" t="inlineStr">
        <is>
          <t>Вода водопроводная</t>
        </is>
      </c>
      <c r="E157" s="186" t="inlineStr">
        <is>
          <t>м3</t>
        </is>
      </c>
      <c r="F157" s="186" t="n">
        <v>3</v>
      </c>
      <c r="G157" s="188" t="n">
        <v>3.15</v>
      </c>
      <c r="H157" s="188">
        <f>ROUND(F157*G157,2)</f>
        <v/>
      </c>
    </row>
    <row r="158" ht="15.6" customFormat="1" customHeight="1" s="168">
      <c r="A158" s="186" t="n">
        <v>143</v>
      </c>
      <c r="B158" s="186" t="n"/>
      <c r="C158" s="185" t="inlineStr">
        <is>
          <t>01.3.02.03-0001</t>
        </is>
      </c>
      <c r="D158" s="185" t="inlineStr">
        <is>
          <t>Ацетилен газообразный технический</t>
        </is>
      </c>
      <c r="E158" s="186" t="inlineStr">
        <is>
          <t>м3</t>
        </is>
      </c>
      <c r="F158" s="186" t="n">
        <v>0.237</v>
      </c>
      <c r="G158" s="188" t="n">
        <v>38.51</v>
      </c>
      <c r="H158" s="188">
        <f>ROUND(F158*G158,2)</f>
        <v/>
      </c>
    </row>
    <row r="159" ht="15.6" customFormat="1" customHeight="1" s="168">
      <c r="A159" s="186" t="n">
        <v>144</v>
      </c>
      <c r="B159" s="186" t="n"/>
      <c r="C159" s="185" t="inlineStr">
        <is>
          <t>01.7.06.07-0002</t>
        </is>
      </c>
      <c r="D159" s="185" t="inlineStr">
        <is>
          <t>Лента монтажная, тип ЛМ-5</t>
        </is>
      </c>
      <c r="E159" s="186" t="inlineStr">
        <is>
          <t>10 м</t>
        </is>
      </c>
      <c r="F159" s="186" t="n">
        <v>1.24745</v>
      </c>
      <c r="G159" s="188" t="n">
        <v>6.9</v>
      </c>
      <c r="H159" s="188">
        <f>ROUND(F159*G159,2)</f>
        <v/>
      </c>
    </row>
    <row r="160" ht="15.6" customFormat="1" customHeight="1" s="168">
      <c r="A160" s="186" t="n">
        <v>145</v>
      </c>
      <c r="B160" s="186" t="n"/>
      <c r="C160" s="185" t="inlineStr">
        <is>
          <t>14.4.02.09-0001</t>
        </is>
      </c>
      <c r="D160" s="185" t="inlineStr">
        <is>
          <t>Краска</t>
        </is>
      </c>
      <c r="E160" s="186" t="inlineStr">
        <is>
          <t>кг</t>
        </is>
      </c>
      <c r="F160" s="186" t="n">
        <v>0.3</v>
      </c>
      <c r="G160" s="188" t="n">
        <v>28.6</v>
      </c>
      <c r="H160" s="188">
        <f>ROUND(F160*G160,2)</f>
        <v/>
      </c>
    </row>
    <row r="161" ht="31.15" customFormat="1" customHeight="1" s="168">
      <c r="A161" s="186" t="n">
        <v>146</v>
      </c>
      <c r="B161" s="186" t="n"/>
      <c r="C161" s="185" t="inlineStr">
        <is>
          <t>01.1.01.09-0024</t>
        </is>
      </c>
      <c r="D161" s="185" t="inlineStr">
        <is>
          <t>Шнур асбестовый общего назначения ШАОН, диаметр 3-5 мм</t>
        </is>
      </c>
      <c r="E161" s="186" t="inlineStr">
        <is>
          <t>т</t>
        </is>
      </c>
      <c r="F161" s="186" t="n">
        <v>0.0003</v>
      </c>
      <c r="G161" s="188" t="n">
        <v>26950</v>
      </c>
      <c r="H161" s="188">
        <f>ROUND(F161*G161,2)</f>
        <v/>
      </c>
    </row>
    <row r="162" ht="15.6" customFormat="1" customHeight="1" s="168">
      <c r="A162" s="186" t="n">
        <v>147</v>
      </c>
      <c r="B162" s="186" t="n"/>
      <c r="C162" s="185" t="inlineStr">
        <is>
          <t>14.4.02.04-0165</t>
        </is>
      </c>
      <c r="D162" s="185" t="inlineStr">
        <is>
          <t>Белила цинковые густотертые МА-011-2Н</t>
        </is>
      </c>
      <c r="E162" s="186" t="inlineStr">
        <is>
          <t>т</t>
        </is>
      </c>
      <c r="F162" s="186" t="n">
        <v>0.00028</v>
      </c>
      <c r="G162" s="188" t="n">
        <v>26891.18</v>
      </c>
      <c r="H162" s="188">
        <f>ROUND(F162*G162,2)</f>
        <v/>
      </c>
    </row>
    <row r="163" ht="15.6" customFormat="1" customHeight="1" s="168">
      <c r="A163" s="186" t="n">
        <v>148</v>
      </c>
      <c r="B163" s="186" t="n"/>
      <c r="C163" s="185" t="inlineStr">
        <is>
          <t>01.7.07.29-0111</t>
        </is>
      </c>
      <c r="D163" s="185" t="inlineStr">
        <is>
          <t>Пакля пропитанная</t>
        </is>
      </c>
      <c r="E163" s="186" t="inlineStr">
        <is>
          <t>кг</t>
        </is>
      </c>
      <c r="F163" s="186" t="n">
        <v>0.75</v>
      </c>
      <c r="G163" s="188" t="n">
        <v>9.039999999999999</v>
      </c>
      <c r="H163" s="188">
        <f>ROUND(F163*G163,2)</f>
        <v/>
      </c>
    </row>
    <row r="164" ht="31.15" customFormat="1" customHeight="1" s="168">
      <c r="A164" s="186" t="n">
        <v>149</v>
      </c>
      <c r="B164" s="186" t="n"/>
      <c r="C164" s="185" t="inlineStr">
        <is>
          <t>01.7.15.07-0062</t>
        </is>
      </c>
      <c r="D164" s="185" t="inlineStr">
        <is>
          <t>Дюбели с калиброванной головкой (россыпью), размер 3х58,5 мм</t>
        </is>
      </c>
      <c r="E164" s="186" t="inlineStr">
        <is>
          <t>т</t>
        </is>
      </c>
      <c r="F164" s="186" t="n">
        <v>0.0002422</v>
      </c>
      <c r="G164" s="188" t="n">
        <v>25425</v>
      </c>
      <c r="H164" s="188">
        <f>ROUND(F164*G164,2)</f>
        <v/>
      </c>
    </row>
    <row r="165" ht="31.15" customFormat="1" customHeight="1" s="168">
      <c r="A165" s="186" t="n">
        <v>150</v>
      </c>
      <c r="B165" s="186" t="n"/>
      <c r="C165" s="185" t="inlineStr">
        <is>
          <t>08.3.05.02-0052</t>
        </is>
      </c>
      <c r="D165" s="185" t="inlineStr">
        <is>
          <t>Прокат толстолистовой горячекатаный марка стали Ст3, толщина 2-6 мм</t>
        </is>
      </c>
      <c r="E165" s="186" t="inlineStr">
        <is>
          <t>т</t>
        </is>
      </c>
      <c r="F165" s="186" t="n">
        <v>0.001</v>
      </c>
      <c r="G165" s="188" t="n">
        <v>5941.89</v>
      </c>
      <c r="H165" s="188">
        <f>ROUND(F165*G165,2)</f>
        <v/>
      </c>
    </row>
    <row r="166" ht="31.15" customFormat="1" customHeight="1" s="168">
      <c r="A166" s="186" t="n">
        <v>151</v>
      </c>
      <c r="B166" s="186" t="n"/>
      <c r="C166" s="185" t="inlineStr">
        <is>
          <t>Прайс из СД ОП</t>
        </is>
      </c>
      <c r="D166" s="185" t="inlineStr">
        <is>
          <t>Заглушка испытательная переходная под ниппель еф6.433.079-01</t>
        </is>
      </c>
      <c r="E166" s="186" t="inlineStr">
        <is>
          <t>шт</t>
        </is>
      </c>
      <c r="F166" s="186" t="n">
        <v>1</v>
      </c>
      <c r="G166" s="188" t="n">
        <v>4.98</v>
      </c>
      <c r="H166" s="188">
        <f>ROUND(F166*G166,2)</f>
        <v/>
      </c>
    </row>
    <row r="167" ht="19.5" customFormat="1" customHeight="1" s="168">
      <c r="A167" s="186" t="n">
        <v>152</v>
      </c>
      <c r="B167" s="186" t="n"/>
      <c r="C167" s="185" t="inlineStr">
        <is>
          <t>Прайс из СД ОП</t>
        </is>
      </c>
      <c r="D167" s="185" t="inlineStr">
        <is>
          <t>Заглушка испытательная еф6.433.078</t>
        </is>
      </c>
      <c r="E167" s="186" t="inlineStr">
        <is>
          <t>шт</t>
        </is>
      </c>
      <c r="F167" s="186" t="n">
        <v>1</v>
      </c>
      <c r="G167" s="188" t="n">
        <v>4.98</v>
      </c>
      <c r="H167" s="188">
        <f>ROUND(F167*G167,2)</f>
        <v/>
      </c>
    </row>
    <row r="168" ht="15.6" customFormat="1" customHeight="1" s="168">
      <c r="A168" s="186" t="n">
        <v>153</v>
      </c>
      <c r="B168" s="186" t="n"/>
      <c r="C168" s="185" t="inlineStr">
        <is>
          <t>01.3.02.06-0011</t>
        </is>
      </c>
      <c r="D168" s="185" t="inlineStr">
        <is>
          <t>Углекислый газ</t>
        </is>
      </c>
      <c r="E168" s="186" t="inlineStr">
        <is>
          <t>т</t>
        </is>
      </c>
      <c r="F168" s="186" t="n">
        <v>0.00171</v>
      </c>
      <c r="G168" s="188" t="n">
        <v>2825</v>
      </c>
      <c r="H168" s="188">
        <f>ROUND(F168*G168,2)</f>
        <v/>
      </c>
    </row>
    <row r="169" ht="15.6" customFormat="1" customHeight="1" s="168">
      <c r="A169" s="186" t="n">
        <v>154</v>
      </c>
      <c r="B169" s="186" t="n"/>
      <c r="C169" s="185" t="inlineStr">
        <is>
          <t>01.7.11.07-0036</t>
        </is>
      </c>
      <c r="D169" s="185" t="inlineStr">
        <is>
          <t>Электроды сварочные Э46, диаметр 4 мм</t>
        </is>
      </c>
      <c r="E169" s="186" t="inlineStr">
        <is>
          <t>кг</t>
        </is>
      </c>
      <c r="F169" s="186" t="n">
        <v>0.31458</v>
      </c>
      <c r="G169" s="188" t="n">
        <v>10.75</v>
      </c>
      <c r="H169" s="188">
        <f>ROUND(F169*G169,2)</f>
        <v/>
      </c>
    </row>
    <row r="170" ht="31.15" customFormat="1" customHeight="1" s="168">
      <c r="A170" s="186" t="n">
        <v>155</v>
      </c>
      <c r="B170" s="186" t="n"/>
      <c r="C170" s="185" t="inlineStr">
        <is>
          <t>10.2.02.08-0001</t>
        </is>
      </c>
      <c r="D170" s="185" t="inlineStr">
        <is>
          <t>Проволока медная, круглая, мягкая, электротехническая, диаметр 1,0-3,0 мм и выше</t>
        </is>
      </c>
      <c r="E170" s="186" t="inlineStr">
        <is>
          <t>т</t>
        </is>
      </c>
      <c r="F170" s="186" t="n">
        <v>8.000000000000001e-05</v>
      </c>
      <c r="G170" s="188" t="n">
        <v>37517</v>
      </c>
      <c r="H170" s="188">
        <f>ROUND(F170*G170,2)</f>
        <v/>
      </c>
    </row>
    <row r="171" ht="15.6" customFormat="1" customHeight="1" s="168">
      <c r="A171" s="186" t="n">
        <v>156</v>
      </c>
      <c r="B171" s="186" t="n"/>
      <c r="C171" s="185" t="inlineStr">
        <is>
          <t>01.7.15.03-0042</t>
        </is>
      </c>
      <c r="D171" s="185" t="inlineStr">
        <is>
          <t>Болты с гайками и шайбами строительные</t>
        </is>
      </c>
      <c r="E171" s="186" t="inlineStr">
        <is>
          <t>кг</t>
        </is>
      </c>
      <c r="F171" s="186" t="n">
        <v>0.32235</v>
      </c>
      <c r="G171" s="188" t="n">
        <v>9.039999999999999</v>
      </c>
      <c r="H171" s="188">
        <f>ROUND(F171*G171,2)</f>
        <v/>
      </c>
    </row>
    <row r="172" ht="15.6" customFormat="1" customHeight="1" s="168">
      <c r="A172" s="186" t="n">
        <v>157</v>
      </c>
      <c r="B172" s="186" t="n"/>
      <c r="C172" s="185" t="inlineStr">
        <is>
          <t>01.7.15.07-0007</t>
        </is>
      </c>
      <c r="D172" s="185" t="inlineStr">
        <is>
          <t>Дюбели пластмассовые, диаметр 14 мм</t>
        </is>
      </c>
      <c r="E172" s="186" t="inlineStr">
        <is>
          <t>100 шт</t>
        </is>
      </c>
      <c r="F172" s="186" t="n">
        <v>0.1</v>
      </c>
      <c r="G172" s="188" t="n">
        <v>26.6</v>
      </c>
      <c r="H172" s="188">
        <f>ROUND(F172*G172,2)</f>
        <v/>
      </c>
    </row>
    <row r="173" ht="15.6" customFormat="1" customHeight="1" s="168">
      <c r="A173" s="186" t="n">
        <v>158</v>
      </c>
      <c r="B173" s="186" t="n"/>
      <c r="C173" s="185" t="inlineStr">
        <is>
          <t>01.3.01.05-0009</t>
        </is>
      </c>
      <c r="D173" s="185" t="inlineStr">
        <is>
          <t>Парафин нефтяной твердый Т-1</t>
        </is>
      </c>
      <c r="E173" s="186" t="inlineStr">
        <is>
          <t>т</t>
        </is>
      </c>
      <c r="F173" s="186" t="n">
        <v>0.0003</v>
      </c>
      <c r="G173" s="188" t="n">
        <v>8105.71</v>
      </c>
      <c r="H173" s="188">
        <f>ROUND(F173*G173,2)</f>
        <v/>
      </c>
    </row>
    <row r="174" ht="15.6" customFormat="1" customHeight="1" s="168">
      <c r="A174" s="186" t="n">
        <v>159</v>
      </c>
      <c r="B174" s="186" t="n"/>
      <c r="C174" s="185" t="inlineStr">
        <is>
          <t>01.7.07.08-0003</t>
        </is>
      </c>
      <c r="D174" s="185" t="inlineStr">
        <is>
          <t>Мыло хозяйственное твердое 72%</t>
        </is>
      </c>
      <c r="E174" s="186" t="inlineStr">
        <is>
          <t>шт</t>
        </is>
      </c>
      <c r="F174" s="186" t="n">
        <v>0.385</v>
      </c>
      <c r="G174" s="188" t="n">
        <v>4.5</v>
      </c>
      <c r="H174" s="188">
        <f>ROUND(F174*G174,2)</f>
        <v/>
      </c>
    </row>
    <row r="175" ht="15.6" customFormat="1" customHeight="1" s="168">
      <c r="A175" s="186" t="n">
        <v>160</v>
      </c>
      <c r="B175" s="186" t="n"/>
      <c r="C175" s="185" t="inlineStr">
        <is>
          <t>20.2.01.05-0001</t>
        </is>
      </c>
      <c r="D175" s="185" t="inlineStr">
        <is>
          <t>Гильзы кабельные медные ГМ 2,5</t>
        </is>
      </c>
      <c r="E175" s="186" t="inlineStr">
        <is>
          <t>100 шт</t>
        </is>
      </c>
      <c r="F175" s="186" t="n">
        <v>0.025</v>
      </c>
      <c r="G175" s="188" t="n">
        <v>66</v>
      </c>
      <c r="H175" s="188">
        <f>ROUND(F175*G175,2)</f>
        <v/>
      </c>
    </row>
    <row r="176" ht="15.6" customFormat="1" customHeight="1" s="168">
      <c r="A176" s="186" t="n">
        <v>161</v>
      </c>
      <c r="B176" s="186" t="n"/>
      <c r="C176" s="185" t="inlineStr">
        <is>
          <t>01.7.11.07-0034</t>
        </is>
      </c>
      <c r="D176" s="185" t="inlineStr">
        <is>
          <t>Электроды сварочные Э42А, диаметр 4 мм</t>
        </is>
      </c>
      <c r="E176" s="186" t="inlineStr">
        <is>
          <t>кг</t>
        </is>
      </c>
      <c r="F176" s="186" t="n">
        <v>0.15</v>
      </c>
      <c r="G176" s="188" t="n">
        <v>10.57</v>
      </c>
      <c r="H176" s="188">
        <f>ROUND(F176*G176,2)</f>
        <v/>
      </c>
    </row>
    <row r="177" ht="15.6" customFormat="1" customHeight="1" s="168">
      <c r="A177" s="186" t="n">
        <v>162</v>
      </c>
      <c r="B177" s="186" t="n"/>
      <c r="C177" s="185" t="inlineStr">
        <is>
          <t>01.3.05.17-0002</t>
        </is>
      </c>
      <c r="D177" s="185" t="inlineStr">
        <is>
          <t>Канифоль сосновая</t>
        </is>
      </c>
      <c r="E177" s="186" t="inlineStr">
        <is>
          <t>кг</t>
        </is>
      </c>
      <c r="F177" s="186" t="n">
        <v>0.0558</v>
      </c>
      <c r="G177" s="188" t="n">
        <v>27.74</v>
      </c>
      <c r="H177" s="188">
        <f>ROUND(F177*G177,2)</f>
        <v/>
      </c>
    </row>
    <row r="178" ht="15.6" customFormat="1" customHeight="1" s="168">
      <c r="A178" s="186" t="n">
        <v>163</v>
      </c>
      <c r="B178" s="186" t="n"/>
      <c r="C178" s="185" t="inlineStr">
        <is>
          <t>01.7.15.04-0011</t>
        </is>
      </c>
      <c r="D178" s="185" t="inlineStr">
        <is>
          <t>Винты с полукруглой головкой, длина 50 мм</t>
        </is>
      </c>
      <c r="E178" s="186" t="inlineStr">
        <is>
          <t>т</t>
        </is>
      </c>
      <c r="F178" s="186" t="n">
        <v>0.00012</v>
      </c>
      <c r="G178" s="188" t="n">
        <v>12430</v>
      </c>
      <c r="H178" s="188">
        <f>ROUND(F178*G178,2)</f>
        <v/>
      </c>
    </row>
    <row r="179" ht="15.6" customFormat="1" customHeight="1" s="168">
      <c r="A179" s="186" t="n">
        <v>164</v>
      </c>
      <c r="B179" s="186" t="n"/>
      <c r="C179" s="185" t="inlineStr">
        <is>
          <t>01.3.05.38-0371</t>
        </is>
      </c>
      <c r="D179" s="185" t="inlineStr">
        <is>
          <t>Кислота стеариновая техническая</t>
        </is>
      </c>
      <c r="E179" s="186" t="inlineStr">
        <is>
          <t>кг</t>
        </is>
      </c>
      <c r="F179" s="186" t="n">
        <v>0.07199999999999999</v>
      </c>
      <c r="G179" s="188" t="n">
        <v>16.8</v>
      </c>
      <c r="H179" s="188">
        <f>ROUND(F179*G179,2)</f>
        <v/>
      </c>
    </row>
    <row r="180" ht="15.6" customFormat="1" customHeight="1" s="168">
      <c r="A180" s="186" t="n">
        <v>165</v>
      </c>
      <c r="B180" s="186" t="n"/>
      <c r="C180" s="185" t="inlineStr">
        <is>
          <t>14.4.04.09-0017</t>
        </is>
      </c>
      <c r="D180" s="185" t="inlineStr">
        <is>
          <t>Эмаль ХВ-124, защитная, зеленая</t>
        </is>
      </c>
      <c r="E180" s="186" t="inlineStr">
        <is>
          <t>т</t>
        </is>
      </c>
      <c r="F180" s="186" t="n">
        <v>3e-05</v>
      </c>
      <c r="G180" s="188" t="n">
        <v>28300.4</v>
      </c>
      <c r="H180" s="188">
        <f>ROUND(F180*G180,2)</f>
        <v/>
      </c>
    </row>
    <row r="181" ht="15.6" customFormat="1" customHeight="1" s="168">
      <c r="A181" s="186" t="n">
        <v>166</v>
      </c>
      <c r="B181" s="186" t="n"/>
      <c r="C181" s="185" t="inlineStr">
        <is>
          <t>01.7.06.03-0023</t>
        </is>
      </c>
      <c r="D181" s="185" t="inlineStr">
        <is>
          <t>Лента полиэтиленовая с липким слоем, марка А</t>
        </is>
      </c>
      <c r="E181" s="186" t="inlineStr">
        <is>
          <t>кг</t>
        </is>
      </c>
      <c r="F181" s="186" t="n">
        <v>0.02</v>
      </c>
      <c r="G181" s="188" t="n">
        <v>39.02</v>
      </c>
      <c r="H181" s="188">
        <f>ROUND(F181*G181,2)</f>
        <v/>
      </c>
    </row>
    <row r="182" ht="15.6" customFormat="1" customHeight="1" s="168">
      <c r="A182" s="186" t="n">
        <v>167</v>
      </c>
      <c r="B182" s="186" t="n"/>
      <c r="C182" s="185" t="inlineStr">
        <is>
          <t>01.7.15.14-0168</t>
        </is>
      </c>
      <c r="D182" s="185" t="inlineStr">
        <is>
          <t>Шурупы с полукруглой головкой 5х70 мм</t>
        </is>
      </c>
      <c r="E182" s="186" t="inlineStr">
        <is>
          <t>т</t>
        </is>
      </c>
      <c r="F182" s="186" t="n">
        <v>5e-05</v>
      </c>
      <c r="G182" s="188" t="n">
        <v>12430</v>
      </c>
      <c r="H182" s="188">
        <f>ROUND(F182*G182,2)</f>
        <v/>
      </c>
    </row>
    <row r="183" ht="15.6" customFormat="1" customHeight="1" s="168">
      <c r="A183" s="186" t="n">
        <v>168</v>
      </c>
      <c r="B183" s="186" t="n"/>
      <c r="C183" s="185" t="inlineStr">
        <is>
          <t>14.4.01.01-0003</t>
        </is>
      </c>
      <c r="D183" s="185" t="inlineStr">
        <is>
          <t>Грунтовка ГФ-021</t>
        </is>
      </c>
      <c r="E183" s="186" t="inlineStr">
        <is>
          <t>т</t>
        </is>
      </c>
      <c r="F183" s="186" t="n">
        <v>3.7e-05</v>
      </c>
      <c r="G183" s="188" t="n">
        <v>15620</v>
      </c>
      <c r="H183" s="188">
        <f>ROUND(F183*G183,2)</f>
        <v/>
      </c>
    </row>
    <row r="184" ht="15.6" customFormat="1" customHeight="1" s="168">
      <c r="A184" s="186" t="n">
        <v>169</v>
      </c>
      <c r="B184" s="186" t="n"/>
      <c r="C184" s="185" t="inlineStr">
        <is>
          <t>03.1.01.01-0002</t>
        </is>
      </c>
      <c r="D184" s="185" t="inlineStr">
        <is>
          <t>Гипс строительный Г-3</t>
        </is>
      </c>
      <c r="E184" s="186" t="inlineStr">
        <is>
          <t>т</t>
        </is>
      </c>
      <c r="F184" s="186" t="n">
        <v>0.00068</v>
      </c>
      <c r="G184" s="188" t="n">
        <v>729.98</v>
      </c>
      <c r="H184" s="188">
        <f>ROUND(F184*G184,2)</f>
        <v/>
      </c>
    </row>
    <row r="185" ht="15.6" customFormat="1" customHeight="1" s="168">
      <c r="A185" s="186" t="n">
        <v>170</v>
      </c>
      <c r="B185" s="186" t="n"/>
      <c r="C185" s="185" t="inlineStr">
        <is>
          <t>20.2.02.01-0011</t>
        </is>
      </c>
      <c r="D185" s="185" t="inlineStr">
        <is>
          <t>Втулки, диаметр 17 мм</t>
        </is>
      </c>
      <c r="E185" s="186" t="inlineStr">
        <is>
          <t>1000 шт</t>
        </is>
      </c>
      <c r="F185" s="186" t="n">
        <v>0.0061</v>
      </c>
      <c r="G185" s="188" t="n">
        <v>75.40000000000001</v>
      </c>
      <c r="H185" s="188">
        <f>ROUND(F185*G185,2)</f>
        <v/>
      </c>
    </row>
    <row r="186" ht="15.6" customFormat="1" customHeight="1" s="168">
      <c r="A186" s="186" t="n">
        <v>171</v>
      </c>
      <c r="B186" s="186" t="n"/>
      <c r="C186" s="185" t="inlineStr">
        <is>
          <t>01.7.11.07-0032</t>
        </is>
      </c>
      <c r="D186" s="185" t="inlineStr">
        <is>
          <t>Электроды сварочные Э42, диаметр 4 мм</t>
        </is>
      </c>
      <c r="E186" s="186" t="inlineStr">
        <is>
          <t>т</t>
        </is>
      </c>
      <c r="F186" s="186" t="n">
        <v>4e-05</v>
      </c>
      <c r="G186" s="188" t="n">
        <v>10315.01</v>
      </c>
      <c r="H186" s="188">
        <f>ROUND(F186*G186,2)</f>
        <v/>
      </c>
    </row>
    <row r="187" ht="15.6" customFormat="1" customHeight="1" s="168">
      <c r="A187" s="186" t="n">
        <v>172</v>
      </c>
      <c r="B187" s="186" t="n"/>
      <c r="C187" s="185" t="inlineStr">
        <is>
          <t>14.5.09.07-0030</t>
        </is>
      </c>
      <c r="D187" s="185" t="inlineStr">
        <is>
          <t>Растворитель Р-4</t>
        </is>
      </c>
      <c r="E187" s="186" t="inlineStr">
        <is>
          <t>кг</t>
        </is>
      </c>
      <c r="F187" s="186" t="n">
        <v>0.033482</v>
      </c>
      <c r="G187" s="188" t="n">
        <v>9.42</v>
      </c>
      <c r="H187" s="188">
        <f>ROUND(F187*G187,2)</f>
        <v/>
      </c>
    </row>
    <row r="188" ht="15.6" customFormat="1" customHeight="1" s="168">
      <c r="A188" s="186" t="n">
        <v>173</v>
      </c>
      <c r="B188" s="186" t="n"/>
      <c r="C188" s="185" t="inlineStr">
        <is>
          <t>14.1.04.02-0002</t>
        </is>
      </c>
      <c r="D188" s="185" t="inlineStr">
        <is>
          <t>Клей 88-СА</t>
        </is>
      </c>
      <c r="E188" s="186" t="inlineStr">
        <is>
          <t>кг</t>
        </is>
      </c>
      <c r="F188" s="186" t="n">
        <v>0.01</v>
      </c>
      <c r="G188" s="188" t="n">
        <v>28.93</v>
      </c>
      <c r="H188" s="188">
        <f>ROUND(F188*G188,2)</f>
        <v/>
      </c>
    </row>
    <row r="189" ht="31.15" customFormat="1" customHeight="1" s="168">
      <c r="A189" s="186" t="n">
        <v>174</v>
      </c>
      <c r="B189" s="186" t="n"/>
      <c r="C189" s="185" t="inlineStr">
        <is>
          <t>01.7.15.03-0031</t>
        </is>
      </c>
      <c r="D189" s="185" t="inlineStr">
        <is>
          <t>Болты с гайками и шайбами оцинкованные, диаметр 6 мм</t>
        </is>
      </c>
      <c r="E189" s="186" t="inlineStr">
        <is>
          <t>кг</t>
        </is>
      </c>
      <c r="F189" s="186" t="n">
        <v>0.01</v>
      </c>
      <c r="G189" s="188" t="n">
        <v>28.22</v>
      </c>
      <c r="H189" s="188">
        <f>ROUND(F189*G189,2)</f>
        <v/>
      </c>
    </row>
    <row r="190" ht="15.6" customFormat="1" customHeight="1" s="168">
      <c r="A190" s="186" t="n">
        <v>175</v>
      </c>
      <c r="B190" s="186" t="n"/>
      <c r="C190" s="185" t="inlineStr">
        <is>
          <t>08.3.11.01-0091</t>
        </is>
      </c>
      <c r="D190" s="185" t="inlineStr">
        <is>
          <t>Швеллеры № 40, марка стали Ст0</t>
        </is>
      </c>
      <c r="E190" s="186" t="inlineStr">
        <is>
          <t>т</t>
        </is>
      </c>
      <c r="F190" s="186" t="n">
        <v>4.36e-05</v>
      </c>
      <c r="G190" s="188" t="n">
        <v>4920</v>
      </c>
      <c r="H190" s="188">
        <f>ROUND(F190*G190,2)</f>
        <v/>
      </c>
    </row>
    <row r="191" ht="15.6" customFormat="1" customHeight="1" s="168">
      <c r="A191" s="186" t="n">
        <v>176</v>
      </c>
      <c r="B191" s="186" t="n"/>
      <c r="C191" s="185" t="inlineStr">
        <is>
          <t>14.4.03.03-0102</t>
        </is>
      </c>
      <c r="D191" s="185" t="inlineStr">
        <is>
          <t>Лак битумный БТ-577</t>
        </is>
      </c>
      <c r="E191" s="186" t="inlineStr">
        <is>
          <t>т</t>
        </is>
      </c>
      <c r="F191" s="186" t="n">
        <v>2e-05</v>
      </c>
      <c r="G191" s="188" t="n">
        <v>9550.01</v>
      </c>
      <c r="H191" s="188">
        <f>ROUND(F191*G191,2)</f>
        <v/>
      </c>
    </row>
    <row r="192" ht="15.6" customFormat="1" customHeight="1" s="168">
      <c r="A192" s="186" t="n">
        <v>177</v>
      </c>
      <c r="B192" s="186" t="n"/>
      <c r="C192" s="185" t="inlineStr">
        <is>
          <t>01.7.20.08-0071</t>
        </is>
      </c>
      <c r="D192" s="185" t="inlineStr">
        <is>
          <t>Канат пеньковый пропитанный</t>
        </is>
      </c>
      <c r="E192" s="186" t="inlineStr">
        <is>
          <t>т</t>
        </is>
      </c>
      <c r="F192" s="186" t="n">
        <v>2.2e-06</v>
      </c>
      <c r="G192" s="188" t="n">
        <v>37900</v>
      </c>
      <c r="H192" s="188">
        <f>ROUND(F192*G192,2)</f>
        <v/>
      </c>
    </row>
    <row r="193" ht="15.6" customFormat="1" customHeight="1" s="168">
      <c r="A193" s="186" t="n">
        <v>178</v>
      </c>
      <c r="B193" s="186" t="n"/>
      <c r="C193" s="185" t="inlineStr">
        <is>
          <t>14.5.09.11-0102</t>
        </is>
      </c>
      <c r="D193" s="185" t="inlineStr">
        <is>
          <t>Уайт-спирит</t>
        </is>
      </c>
      <c r="E193" s="186" t="inlineStr">
        <is>
          <t>кг</t>
        </is>
      </c>
      <c r="F193" s="186" t="n">
        <v>0.01</v>
      </c>
      <c r="G193" s="188" t="n">
        <v>6.67</v>
      </c>
      <c r="H193" s="188">
        <f>ROUND(F193*G193,2)</f>
        <v/>
      </c>
    </row>
    <row r="194" ht="31.15" customFormat="1" customHeight="1" s="168">
      <c r="A194" s="186" t="n">
        <v>179</v>
      </c>
      <c r="B194" s="186" t="n"/>
      <c r="C194" s="185" t="inlineStr">
        <is>
          <t>24.3.01.01-0004</t>
        </is>
      </c>
      <c r="D194" s="185" t="inlineStr">
        <is>
          <t>Трубка электроизоляционная ПВХ-305, диаметр 6-10 мм</t>
        </is>
      </c>
      <c r="E194" s="186" t="inlineStr">
        <is>
          <t>кг</t>
        </is>
      </c>
      <c r="F194" s="186" t="n">
        <v>0.00142</v>
      </c>
      <c r="G194" s="188" t="n">
        <v>38.34</v>
      </c>
      <c r="H194" s="188">
        <f>ROUND(F194*G194,2)</f>
        <v/>
      </c>
    </row>
    <row r="195" ht="31.15" customFormat="1" customHeight="1" s="168">
      <c r="A195" s="186" t="n">
        <v>180</v>
      </c>
      <c r="B195" s="186" t="n"/>
      <c r="C195" s="185" t="inlineStr">
        <is>
          <t>11.1.03.01-0077</t>
        </is>
      </c>
      <c r="D195" s="185" t="inlineStr">
        <is>
          <t>Бруски обрезные, хвойных пород, длина 4-6,5 м, ширина 75-150 мм, толщина 40-75 мм, сорт I</t>
        </is>
      </c>
      <c r="E195" s="186" t="inlineStr">
        <is>
          <t>м3</t>
        </is>
      </c>
      <c r="F195" s="186" t="n">
        <v>2.31e-05</v>
      </c>
      <c r="G195" s="188" t="n">
        <v>1700</v>
      </c>
      <c r="H195" s="188">
        <f>ROUND(F195*G195,2)</f>
        <v/>
      </c>
    </row>
    <row r="196" ht="62.45" customFormat="1" customHeight="1" s="168">
      <c r="A196" s="186" t="n">
        <v>181</v>
      </c>
      <c r="B196" s="186" t="n"/>
      <c r="C196" s="185" t="inlineStr">
        <is>
          <t>08.2.02.11-0007</t>
        </is>
      </c>
      <c r="D196" s="18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96" s="186" t="inlineStr">
        <is>
          <t>10 м</t>
        </is>
      </c>
      <c r="F196" s="186" t="n">
        <v>0.0004202</v>
      </c>
      <c r="G196" s="188" t="n">
        <v>50.24</v>
      </c>
      <c r="H196" s="188">
        <f>ROUND(F196*G196,2)</f>
        <v/>
      </c>
    </row>
    <row r="197" ht="15.6" customFormat="1" customHeight="1" s="168">
      <c r="A197" s="186" t="n">
        <v>182</v>
      </c>
      <c r="B197" s="186" t="n"/>
      <c r="C197" s="185" t="inlineStr">
        <is>
          <t>999-0005</t>
        </is>
      </c>
      <c r="D197" s="185" t="inlineStr">
        <is>
          <t>Масса</t>
        </is>
      </c>
      <c r="E197" s="186" t="inlineStr">
        <is>
          <t>т</t>
        </is>
      </c>
      <c r="F197" s="186" t="n">
        <v>536.784</v>
      </c>
      <c r="G197" s="188" t="n"/>
      <c r="H197" s="188">
        <f>ROUND(F197*G197,2)</f>
        <v/>
      </c>
    </row>
    <row r="198" ht="15.6" customFormat="1" customHeight="1" s="9">
      <c r="A198" s="184" t="inlineStr">
        <is>
          <t>Оборудование</t>
        </is>
      </c>
      <c r="B198" s="205" t="n"/>
      <c r="C198" s="205" t="n"/>
      <c r="D198" s="205" t="n"/>
      <c r="E198" s="206" t="n"/>
      <c r="F198" s="184" t="n"/>
      <c r="G198" s="10" t="n"/>
      <c r="H198" s="10">
        <f>SUM(H199:H230)</f>
        <v/>
      </c>
    </row>
    <row r="199" ht="31.15" customFormat="1" customHeight="1" s="168">
      <c r="A199" s="186" t="n">
        <v>183</v>
      </c>
      <c r="B199" s="186" t="n"/>
      <c r="C199" s="185" t="inlineStr">
        <is>
          <t>Прайс из СД ОП</t>
        </is>
      </c>
      <c r="D199" s="185" t="inlineStr">
        <is>
          <t>Прибор приемно-контрольный пожарный адресный ППКП-01Ф-20.18</t>
        </is>
      </c>
      <c r="E199" s="186" t="inlineStr">
        <is>
          <t>шт</t>
        </is>
      </c>
      <c r="F199" s="186" t="n">
        <v>1</v>
      </c>
      <c r="G199" s="188" t="n">
        <v>517192.62</v>
      </c>
      <c r="H199" s="188">
        <f>ROUND(F199*G199,2)</f>
        <v/>
      </c>
    </row>
    <row r="200" ht="20.25" customFormat="1" customHeight="1" s="168">
      <c r="A200" s="186" t="n">
        <v>184</v>
      </c>
      <c r="B200" s="186" t="n"/>
      <c r="C200" s="185" t="inlineStr">
        <is>
          <t>Прайс из СД ОП</t>
        </is>
      </c>
      <c r="D200" s="185" t="inlineStr">
        <is>
          <t>Модуль процессора МП  еф5.105.094</t>
        </is>
      </c>
      <c r="E200" s="186" t="inlineStr">
        <is>
          <t>шт</t>
        </is>
      </c>
      <c r="F200" s="186" t="n">
        <v>1</v>
      </c>
      <c r="G200" s="188" t="n">
        <v>269491.95</v>
      </c>
      <c r="H200" s="188">
        <f>ROUND(F200*G200,2)</f>
        <v/>
      </c>
    </row>
    <row r="201" ht="20.25" customFormat="1" customHeight="1" s="168">
      <c r="A201" s="186" t="n">
        <v>185</v>
      </c>
      <c r="B201" s="186" t="n"/>
      <c r="C201" s="185" t="inlineStr">
        <is>
          <t>Прайс из СД ОП</t>
        </is>
      </c>
      <c r="D201" s="185" t="inlineStr">
        <is>
          <t>Пульт управления ПУ еф5.104.158</t>
        </is>
      </c>
      <c r="E201" s="186" t="inlineStr">
        <is>
          <t>шт</t>
        </is>
      </c>
      <c r="F201" s="186" t="n">
        <v>1</v>
      </c>
      <c r="G201" s="188" t="n">
        <v>241103.31</v>
      </c>
      <c r="H201" s="188">
        <f>ROUND(F201*G201,2)</f>
        <v/>
      </c>
    </row>
    <row r="202" ht="20.25" customFormat="1" customHeight="1" s="168">
      <c r="A202" s="186" t="n">
        <v>186</v>
      </c>
      <c r="B202" s="186" t="n"/>
      <c r="C202" s="185" t="inlineStr">
        <is>
          <t>Прайс из СД ОП</t>
        </is>
      </c>
      <c r="D202" s="185" t="inlineStr">
        <is>
          <t>Модуль управления пуском МУП еф5.104.164</t>
        </is>
      </c>
      <c r="E202" s="186" t="inlineStr">
        <is>
          <t>шт</t>
        </is>
      </c>
      <c r="F202" s="186" t="n">
        <v>1</v>
      </c>
      <c r="G202" s="188" t="n">
        <v>197320.88</v>
      </c>
      <c r="H202" s="188">
        <f>ROUND(F202*G202,2)</f>
        <v/>
      </c>
    </row>
    <row r="203" ht="20.25" customFormat="1" customHeight="1" s="168">
      <c r="A203" s="186" t="n">
        <v>187</v>
      </c>
      <c r="B203" s="186" t="n"/>
      <c r="C203" s="185" t="inlineStr">
        <is>
          <t>Прайс из СД ОП</t>
        </is>
      </c>
      <c r="D203" s="185" t="inlineStr">
        <is>
          <t>Модуль адресного шлейфа МАШ еф5.104.196</t>
        </is>
      </c>
      <c r="E203" s="186" t="inlineStr">
        <is>
          <t>шт</t>
        </is>
      </c>
      <c r="F203" s="186" t="n">
        <v>1</v>
      </c>
      <c r="G203" s="188" t="n">
        <v>196921.03</v>
      </c>
      <c r="H203" s="188">
        <f>ROUND(F203*G203,2)</f>
        <v/>
      </c>
    </row>
    <row r="204" ht="20.25" customFormat="1" customHeight="1" s="168">
      <c r="A204" s="186" t="n">
        <v>188</v>
      </c>
      <c r="B204" s="186" t="n"/>
      <c r="C204" s="185" t="inlineStr">
        <is>
          <t>Прайс из СД ОП</t>
        </is>
      </c>
      <c r="D204" s="185" t="inlineStr">
        <is>
          <t>Модуль электронных ключей МЭК еф5.104.163</t>
        </is>
      </c>
      <c r="E204" s="186" t="inlineStr">
        <is>
          <t>шт</t>
        </is>
      </c>
      <c r="F204" s="186" t="n">
        <v>1</v>
      </c>
      <c r="G204" s="188" t="n">
        <v>175729.54</v>
      </c>
      <c r="H204" s="188">
        <f>ROUND(F204*G204,2)</f>
        <v/>
      </c>
    </row>
    <row r="205" ht="20.25" customFormat="1" customHeight="1" s="168">
      <c r="A205" s="186" t="n">
        <v>189</v>
      </c>
      <c r="B205" s="186" t="n"/>
      <c r="C205" s="185" t="inlineStr">
        <is>
          <t>Прайс из СД ОП</t>
        </is>
      </c>
      <c r="D205" s="185" t="inlineStr">
        <is>
          <t>Модуль дискретных сигналов МДС еф5.104.156</t>
        </is>
      </c>
      <c r="E205" s="186" t="inlineStr">
        <is>
          <t>шт</t>
        </is>
      </c>
      <c r="F205" s="186" t="n">
        <v>1</v>
      </c>
      <c r="G205" s="188" t="n">
        <v>170731.54</v>
      </c>
      <c r="H205" s="188">
        <f>ROUND(F205*G205,2)</f>
        <v/>
      </c>
    </row>
    <row r="206" ht="20.25" customFormat="1" customHeight="1" s="168">
      <c r="A206" s="186" t="n">
        <v>190</v>
      </c>
      <c r="B206" s="186" t="n"/>
      <c r="C206" s="185" t="inlineStr">
        <is>
          <t>Прайс из СД ОП</t>
        </is>
      </c>
      <c r="D206" s="185" t="inlineStr">
        <is>
          <t>Модуль аналоговых сигналов МАС еф5.104.162</t>
        </is>
      </c>
      <c r="E206" s="186" t="inlineStr">
        <is>
          <t>шт</t>
        </is>
      </c>
      <c r="F206" s="186" t="n">
        <v>1</v>
      </c>
      <c r="G206" s="188" t="n">
        <v>166933.06</v>
      </c>
      <c r="H206" s="188">
        <f>ROUND(F206*G206,2)</f>
        <v/>
      </c>
    </row>
    <row r="207" ht="31.15" customFormat="1" customHeight="1" s="168">
      <c r="A207" s="186" t="n">
        <v>191</v>
      </c>
      <c r="B207" s="186" t="n"/>
      <c r="C207" s="185" t="inlineStr">
        <is>
          <t>Прайс из СД ОП</t>
        </is>
      </c>
      <c r="D207" s="185" t="inlineStr">
        <is>
          <t>Модуль выходных ключей МВК2.1 еф5.104.185-01</t>
        </is>
      </c>
      <c r="E207" s="186" t="inlineStr">
        <is>
          <t>шт</t>
        </is>
      </c>
      <c r="F207" s="186" t="n">
        <v>1</v>
      </c>
      <c r="G207" s="188" t="n">
        <v>153538.44</v>
      </c>
      <c r="H207" s="188">
        <f>ROUND(F207*G207,2)</f>
        <v/>
      </c>
    </row>
    <row r="208" ht="31.15" customFormat="1" customHeight="1" s="168">
      <c r="A208" s="186" t="n">
        <v>192</v>
      </c>
      <c r="B208" s="186" t="n"/>
      <c r="C208" s="185" t="inlineStr">
        <is>
          <t>Прайс из СД ОП</t>
        </is>
      </c>
      <c r="D208" s="185" t="inlineStr">
        <is>
          <t>Модуль газового пожаротушения МГПТ-65-100-50-Э-01-А еф5.887.004 ТУ</t>
        </is>
      </c>
      <c r="E208" s="186" t="inlineStr">
        <is>
          <t>шт</t>
        </is>
      </c>
      <c r="F208" s="186" t="n">
        <v>6</v>
      </c>
      <c r="G208" s="188" t="n">
        <v>11186.47</v>
      </c>
      <c r="H208" s="188">
        <f>ROUND(F208*G208,2)</f>
        <v/>
      </c>
    </row>
    <row r="209" ht="31.15" customFormat="1" customHeight="1" s="168">
      <c r="A209" s="186" t="n">
        <v>193</v>
      </c>
      <c r="B209" s="186" t="n"/>
      <c r="C209" s="185" t="inlineStr">
        <is>
          <t>Прайс из СД ОП</t>
        </is>
      </c>
      <c r="D209" s="185" t="inlineStr">
        <is>
          <t>Извещатель пожарный дымовой адресно-аналоговый ИП212-86 (R2251EM)</t>
        </is>
      </c>
      <c r="E209" s="186" t="inlineStr">
        <is>
          <t>шт</t>
        </is>
      </c>
      <c r="F209" s="186" t="n">
        <v>32</v>
      </c>
      <c r="G209" s="188" t="n">
        <v>1852.42</v>
      </c>
      <c r="H209" s="188">
        <f>ROUND(F209*G209,2)</f>
        <v/>
      </c>
    </row>
    <row r="210" ht="15.75" customFormat="1" customHeight="1" s="168">
      <c r="A210" s="186" t="n">
        <v>194</v>
      </c>
      <c r="B210" s="186" t="n"/>
      <c r="C210" s="185" t="inlineStr">
        <is>
          <t>Прайс из СД ОП</t>
        </is>
      </c>
      <c r="D210" s="185" t="inlineStr">
        <is>
          <t>Источник питания еф5.087.044</t>
        </is>
      </c>
      <c r="E210" s="186" t="inlineStr">
        <is>
          <t>шт</t>
        </is>
      </c>
      <c r="F210" s="186" t="n">
        <v>1</v>
      </c>
      <c r="G210" s="188" t="n">
        <v>46981.17</v>
      </c>
      <c r="H210" s="188">
        <f>ROUND(F210*G210,2)</f>
        <v/>
      </c>
    </row>
    <row r="211" ht="15.75" customFormat="1" customHeight="1" s="168">
      <c r="A211" s="186" t="n">
        <v>195</v>
      </c>
      <c r="B211" s="186" t="n"/>
      <c r="C211" s="185" t="inlineStr">
        <is>
          <t>Прайс из СД ОП</t>
        </is>
      </c>
      <c r="D211" s="185" t="inlineStr">
        <is>
          <t>Модуль управления одноканальный М201Е240</t>
        </is>
      </c>
      <c r="E211" s="186" t="inlineStr">
        <is>
          <t>шт</t>
        </is>
      </c>
      <c r="F211" s="186" t="n">
        <v>5</v>
      </c>
      <c r="G211" s="188" t="n">
        <v>7426.12</v>
      </c>
      <c r="H211" s="188">
        <f>ROUND(F211*G211,2)</f>
        <v/>
      </c>
    </row>
    <row r="212" ht="31.15" customFormat="1" customHeight="1" s="168">
      <c r="A212" s="186" t="n">
        <v>196</v>
      </c>
      <c r="B212" s="186" t="n"/>
      <c r="C212" s="185" t="inlineStr">
        <is>
          <t>Прайс из СД ОП</t>
        </is>
      </c>
      <c r="D212" s="185" t="inlineStr">
        <is>
          <t>Устройство для опрессовки и продувки УОП-01Ф еф5.993.008</t>
        </is>
      </c>
      <c r="E212" s="186" t="inlineStr">
        <is>
          <t>шт</t>
        </is>
      </c>
      <c r="F212" s="186" t="n">
        <v>1</v>
      </c>
      <c r="G212" s="188" t="n">
        <v>20158.17</v>
      </c>
      <c r="H212" s="188">
        <f>ROUND(F212*G212,2)</f>
        <v/>
      </c>
    </row>
    <row r="213" ht="16.5" customFormat="1" customHeight="1" s="168">
      <c r="A213" s="186" t="n">
        <v>197</v>
      </c>
      <c r="B213" s="186" t="n"/>
      <c r="C213" s="185" t="inlineStr">
        <is>
          <t>Прайс из СД ОП</t>
        </is>
      </c>
      <c r="D213" s="185" t="inlineStr">
        <is>
          <t>Блок оповещателей БОП-03Ф3</t>
        </is>
      </c>
      <c r="E213" s="186" t="inlineStr">
        <is>
          <t>шт</t>
        </is>
      </c>
      <c r="F213" s="186" t="n">
        <v>3</v>
      </c>
      <c r="G213" s="188" t="n">
        <v>4667.8</v>
      </c>
      <c r="H213" s="188">
        <f>ROUND(F213*G213,2)</f>
        <v/>
      </c>
    </row>
    <row r="214" ht="16.5" customFormat="1" customHeight="1" s="168">
      <c r="A214" s="186" t="n">
        <v>198</v>
      </c>
      <c r="B214" s="186" t="n"/>
      <c r="C214" s="185" t="inlineStr">
        <is>
          <t>Прайс из СД ОП</t>
        </is>
      </c>
      <c r="D214" s="185" t="inlineStr">
        <is>
          <t>Модуль контроля одноканальный М210Е</t>
        </is>
      </c>
      <c r="E214" s="186" t="inlineStr">
        <is>
          <t>шт</t>
        </is>
      </c>
      <c r="F214" s="186" t="n">
        <v>1</v>
      </c>
      <c r="G214" s="188" t="n">
        <v>12243.46</v>
      </c>
      <c r="H214" s="188">
        <f>ROUND(F214*G214,2)</f>
        <v/>
      </c>
    </row>
    <row r="215" ht="16.5" customFormat="1" customHeight="1" s="168">
      <c r="A215" s="186" t="n">
        <v>199</v>
      </c>
      <c r="B215" s="186" t="n"/>
      <c r="C215" s="185" t="inlineStr">
        <is>
          <t>Прайс из СД ОП</t>
        </is>
      </c>
      <c r="D215" s="185" t="inlineStr">
        <is>
          <t>Блок оповещателей БОП-03Ф2</t>
        </is>
      </c>
      <c r="E215" s="186" t="inlineStr">
        <is>
          <t>шт</t>
        </is>
      </c>
      <c r="F215" s="186" t="n">
        <v>2</v>
      </c>
      <c r="G215" s="188" t="n">
        <v>4667.8</v>
      </c>
      <c r="H215" s="188">
        <f>ROUND(F215*G215,2)</f>
        <v/>
      </c>
    </row>
    <row r="216" ht="16.5" customFormat="1" customHeight="1" s="168">
      <c r="A216" s="186" t="n">
        <v>200</v>
      </c>
      <c r="B216" s="186" t="n"/>
      <c r="C216" s="185" t="inlineStr">
        <is>
          <t>Прайс из СД ОП</t>
        </is>
      </c>
      <c r="D216" s="185" t="inlineStr">
        <is>
          <t>Блок оповещателей БОП-03Ф4</t>
        </is>
      </c>
      <c r="E216" s="186" t="inlineStr">
        <is>
          <t>шт</t>
        </is>
      </c>
      <c r="F216" s="186" t="n">
        <v>2</v>
      </c>
      <c r="G216" s="188" t="n">
        <v>4667.8</v>
      </c>
      <c r="H216" s="188">
        <f>ROUND(F216*G216,2)</f>
        <v/>
      </c>
    </row>
    <row r="217" ht="31.15" customFormat="1" customHeight="1" s="168">
      <c r="A217" s="186" t="n">
        <v>201</v>
      </c>
      <c r="B217" s="186" t="n"/>
      <c r="C217" s="185" t="inlineStr">
        <is>
          <t>Прайс из СД ОП</t>
        </is>
      </c>
      <c r="D217" s="185" t="inlineStr">
        <is>
          <t>Устройство дистанционного пуска с защитной крышкой под пломбу МСР5А-RP01FG-01 PS200</t>
        </is>
      </c>
      <c r="E217" s="186" t="inlineStr">
        <is>
          <t>шт</t>
        </is>
      </c>
      <c r="F217" s="186" t="n">
        <v>1</v>
      </c>
      <c r="G217" s="188" t="n">
        <v>8642.34</v>
      </c>
      <c r="H217" s="188">
        <f>ROUND(F217*G217,2)</f>
        <v/>
      </c>
    </row>
    <row r="218" ht="18.75" customFormat="1" customHeight="1" s="168">
      <c r="A218" s="186" t="n">
        <v>202</v>
      </c>
      <c r="B218" s="186" t="n"/>
      <c r="C218" s="185" t="inlineStr">
        <is>
          <t>Прайс из СД ОП</t>
        </is>
      </c>
      <c r="D218" s="185" t="inlineStr">
        <is>
          <t>Весы товарные ТВ-М-300.2. исполнение А3</t>
        </is>
      </c>
      <c r="E218" s="186" t="inlineStr">
        <is>
          <t>ШТ</t>
        </is>
      </c>
      <c r="F218" s="186" t="n">
        <v>1</v>
      </c>
      <c r="G218" s="188" t="n">
        <v>6422.43</v>
      </c>
      <c r="H218" s="188">
        <f>ROUND(F218*G218,2)</f>
        <v/>
      </c>
    </row>
    <row r="219" ht="18.75" customFormat="1" customHeight="1" s="168">
      <c r="A219" s="186" t="n">
        <v>203</v>
      </c>
      <c r="B219" s="186" t="n"/>
      <c r="C219" s="185" t="inlineStr">
        <is>
          <t>Прайс из СД ОП</t>
        </is>
      </c>
      <c r="D219" s="185" t="inlineStr">
        <is>
          <t>Электропуск ЭП-1</t>
        </is>
      </c>
      <c r="E219" s="186" t="inlineStr">
        <is>
          <t>шт</t>
        </is>
      </c>
      <c r="F219" s="186" t="n">
        <v>3</v>
      </c>
      <c r="G219" s="188" t="n">
        <v>851.24</v>
      </c>
      <c r="H219" s="188">
        <f>ROUND(F219*G219,2)</f>
        <v/>
      </c>
    </row>
    <row r="220" ht="31.15" customFormat="1" customHeight="1" s="168">
      <c r="A220" s="186" t="n">
        <v>204</v>
      </c>
      <c r="B220" s="186" t="n"/>
      <c r="C220" s="192" t="inlineStr">
        <is>
          <t>62.1.02.19-0012</t>
        </is>
      </c>
      <c r="D220" s="185" t="inlineStr">
        <is>
          <t>Щиты автоматического переключения на резерв ЩАП-23, трехфазные на ток 25 А</t>
        </is>
      </c>
      <c r="E220" s="186" t="inlineStr">
        <is>
          <t>шт</t>
        </is>
      </c>
      <c r="F220" s="186" t="n">
        <v>1</v>
      </c>
      <c r="G220" s="188" t="n">
        <v>2412.38</v>
      </c>
      <c r="H220" s="188">
        <f>ROUND(F220*G220,2)</f>
        <v/>
      </c>
    </row>
    <row r="221" ht="19.5" customFormat="1" customHeight="1" s="168">
      <c r="A221" s="186" t="n">
        <v>205</v>
      </c>
      <c r="B221" s="186" t="n"/>
      <c r="C221" s="185" t="inlineStr">
        <is>
          <t>Прайс из СД ОП</t>
        </is>
      </c>
      <c r="D221" s="185" t="inlineStr">
        <is>
          <t>Модуль контроля одноканальный М210Е</t>
        </is>
      </c>
      <c r="E221" s="186" t="inlineStr">
        <is>
          <t>шт</t>
        </is>
      </c>
      <c r="F221" s="186" t="n">
        <v>1</v>
      </c>
      <c r="G221" s="188" t="n">
        <v>1691.09</v>
      </c>
      <c r="H221" s="188">
        <f>ROUND(F221*G221,2)</f>
        <v/>
      </c>
    </row>
    <row r="222" ht="31.15" customFormat="1" customHeight="1" s="168">
      <c r="A222" s="186" t="n">
        <v>206</v>
      </c>
      <c r="B222" s="186" t="n"/>
      <c r="C222" s="185" t="inlineStr">
        <is>
          <t>Прайс из СД ОП</t>
        </is>
      </c>
      <c r="D222" s="185" t="inlineStr">
        <is>
          <t>Устройство дистанционного пуска с защитной крышкой под пломбу МСР5А-RP01FG-01 PS200</t>
        </is>
      </c>
      <c r="E222" s="186" t="inlineStr">
        <is>
          <t>шт</t>
        </is>
      </c>
      <c r="F222" s="186" t="n">
        <v>1</v>
      </c>
      <c r="G222" s="188" t="n">
        <v>1193.7</v>
      </c>
      <c r="H222" s="188">
        <f>ROUND(F222*G222,2)</f>
        <v/>
      </c>
    </row>
    <row r="223" ht="18.75" customFormat="1" customHeight="1" s="168">
      <c r="A223" s="186" t="n">
        <v>207</v>
      </c>
      <c r="B223" s="186" t="n"/>
      <c r="C223" s="185" t="inlineStr">
        <is>
          <t>Прайс из СД ОП</t>
        </is>
      </c>
      <c r="D223" s="185" t="inlineStr">
        <is>
          <t>Автоматизированное рабочее место АРМ-01Ф</t>
        </is>
      </c>
      <c r="E223" s="186" t="inlineStr">
        <is>
          <t>шт</t>
        </is>
      </c>
      <c r="F223" s="186" t="n">
        <v>1</v>
      </c>
      <c r="G223" s="188" t="n">
        <v>1025.71</v>
      </c>
      <c r="H223" s="188">
        <f>ROUND(F223*G223,2)</f>
        <v/>
      </c>
    </row>
    <row r="224" ht="18.75" customFormat="1" customHeight="1" s="168">
      <c r="A224" s="186" t="n">
        <v>208</v>
      </c>
      <c r="B224" s="186" t="n"/>
      <c r="C224" s="185" t="inlineStr">
        <is>
          <t>Прайс из СД ОП</t>
        </is>
      </c>
      <c r="D224" s="185" t="inlineStr">
        <is>
          <t>Модуль управления одноканальный м201е-240</t>
        </is>
      </c>
      <c r="E224" s="186" t="inlineStr">
        <is>
          <t>шт</t>
        </is>
      </c>
      <c r="F224" s="186" t="n">
        <v>1</v>
      </c>
      <c r="G224" s="188" t="n">
        <v>1025.71</v>
      </c>
      <c r="H224" s="188">
        <f>ROUND(F224*G224,2)</f>
        <v/>
      </c>
    </row>
    <row r="225" ht="18.75" customFormat="1" customHeight="1" s="168">
      <c r="A225" s="186" t="n">
        <v>209</v>
      </c>
      <c r="B225" s="186" t="n"/>
      <c r="C225" s="185" t="inlineStr">
        <is>
          <t>Прайс из СД ОП</t>
        </is>
      </c>
      <c r="D225" s="185" t="inlineStr">
        <is>
          <t>Пневмопуск ПП-1</t>
        </is>
      </c>
      <c r="E225" s="186" t="inlineStr">
        <is>
          <t>шт</t>
        </is>
      </c>
      <c r="F225" s="186" t="n">
        <v>1</v>
      </c>
      <c r="G225" s="188" t="n">
        <v>851.24</v>
      </c>
      <c r="H225" s="188">
        <f>ROUND(F225*G225,2)</f>
        <v/>
      </c>
    </row>
    <row r="226" ht="31.15" customFormat="1" customHeight="1" s="168">
      <c r="A226" s="186" t="n">
        <v>210</v>
      </c>
      <c r="B226" s="186" t="n"/>
      <c r="C226" s="185" t="inlineStr">
        <is>
          <t>Прайс из СД ОП</t>
        </is>
      </c>
      <c r="D226" s="185" t="inlineStr">
        <is>
          <t>Извещатель пожарный дымовой адресно-аналоговый ИП212-86 (R2251EM)</t>
        </is>
      </c>
      <c r="E226" s="186" t="inlineStr">
        <is>
          <t>шт</t>
        </is>
      </c>
      <c r="F226" s="186" t="n">
        <v>3</v>
      </c>
      <c r="G226" s="188" t="n">
        <v>255.86</v>
      </c>
      <c r="H226" s="188">
        <f>ROUND(F226*G226,2)</f>
        <v/>
      </c>
    </row>
    <row r="227" ht="31.15" customFormat="1" customHeight="1" s="168">
      <c r="A227" s="186" t="n">
        <v>211</v>
      </c>
      <c r="B227" s="186" t="n"/>
      <c r="C227" s="185" t="inlineStr">
        <is>
          <t>Прайс из СД ОП</t>
        </is>
      </c>
      <c r="D227" s="185" t="inlineStr">
        <is>
          <t>Извещатель охранный магнитоконтактный ИО102-26-01 ПАШК 425119.008-01</t>
        </is>
      </c>
      <c r="E227" s="186" t="inlineStr">
        <is>
          <t>шт</t>
        </is>
      </c>
      <c r="F227" s="186" t="n">
        <v>2</v>
      </c>
      <c r="G227" s="188" t="n">
        <v>354.41</v>
      </c>
      <c r="H227" s="188">
        <f>ROUND(F227*G227,2)</f>
        <v/>
      </c>
    </row>
    <row r="228" ht="18.75" customFormat="1" customHeight="1" s="168">
      <c r="A228" s="186" t="n">
        <v>212</v>
      </c>
      <c r="B228" s="186" t="n"/>
      <c r="C228" s="185" t="inlineStr">
        <is>
          <t>Прайс из СД ОП</t>
        </is>
      </c>
      <c r="D228" s="185" t="inlineStr">
        <is>
          <t>Сигнализатор давления СДУ-М</t>
        </is>
      </c>
      <c r="E228" s="186" t="inlineStr">
        <is>
          <t>шт</t>
        </is>
      </c>
      <c r="F228" s="186" t="n">
        <v>3</v>
      </c>
      <c r="G228" s="188" t="n">
        <v>218.34</v>
      </c>
      <c r="H228" s="188">
        <f>ROUND(F228*G228,2)</f>
        <v/>
      </c>
    </row>
    <row r="229" ht="18.75" customFormat="1" customHeight="1" s="168">
      <c r="A229" s="186" t="n">
        <v>213</v>
      </c>
      <c r="B229" s="186" t="n"/>
      <c r="C229" s="185" t="inlineStr">
        <is>
          <t>Прайс из СД ОП</t>
        </is>
      </c>
      <c r="D229" s="185" t="inlineStr">
        <is>
          <t>Манометр ТМ-110Т.00</t>
        </is>
      </c>
      <c r="E229" s="186" t="inlineStr">
        <is>
          <t>шт</t>
        </is>
      </c>
      <c r="F229" s="186" t="n">
        <v>3</v>
      </c>
      <c r="G229" s="188" t="n">
        <v>93.36</v>
      </c>
      <c r="H229" s="188">
        <f>ROUND(F229*G229,2)</f>
        <v/>
      </c>
    </row>
    <row r="230" ht="18.75" customFormat="1" customHeight="1" s="168">
      <c r="A230" s="186" t="n">
        <v>214</v>
      </c>
      <c r="B230" s="186" t="n"/>
      <c r="C230" s="185" t="inlineStr">
        <is>
          <t>Прайс из СД ОП</t>
        </is>
      </c>
      <c r="D230" s="185" t="inlineStr">
        <is>
          <t>Резистор С2-33Н-0.125-47кОМ ОЖО.467.093 ТУ</t>
        </is>
      </c>
      <c r="E230" s="186" t="inlineStr">
        <is>
          <t>ШТ</t>
        </is>
      </c>
      <c r="F230" s="186" t="n">
        <v>2</v>
      </c>
      <c r="G230" s="188" t="n">
        <v>0.6</v>
      </c>
      <c r="H230" s="188">
        <f>ROUND(F230*G230,2)</f>
        <v/>
      </c>
    </row>
    <row r="231" ht="15.6" customFormat="1" customHeight="1" s="168"/>
    <row r="232" ht="15.6" customFormat="1" customHeight="1" s="168">
      <c r="D232" s="168" t="n"/>
      <c r="E232" s="168" t="n"/>
      <c r="F232" s="168" t="n"/>
    </row>
    <row r="233" ht="15.6" customFormat="1" customHeight="1" s="168">
      <c r="D233" s="168" t="inlineStr">
        <is>
          <t>Составил ______________________        М.С. Колотиевская</t>
        </is>
      </c>
      <c r="E233" s="168" t="n"/>
      <c r="F233" s="168" t="n"/>
    </row>
    <row r="234" ht="15.6" customFormat="1" customHeight="1" s="168">
      <c r="D234" s="125" t="inlineStr">
        <is>
          <t xml:space="preserve">                         (подпись, инициалы, фамилия)</t>
        </is>
      </c>
      <c r="E234" s="168" t="n"/>
      <c r="F234" s="168" t="n"/>
    </row>
    <row r="235" ht="15.6" customFormat="1" customHeight="1" s="168">
      <c r="D235" s="168" t="n"/>
      <c r="E235" s="168" t="n"/>
      <c r="F235" s="168" t="n"/>
    </row>
    <row r="236" ht="15.6" customFormat="1" customHeight="1" s="168">
      <c r="D236" s="168" t="inlineStr">
        <is>
          <t>Проверил ______________________      А.В. Костянецкая</t>
        </is>
      </c>
      <c r="E236" s="168" t="n"/>
      <c r="F236" s="168" t="n"/>
    </row>
    <row r="237" ht="15.6" customFormat="1" customHeight="1" s="168">
      <c r="D237" s="125" t="inlineStr">
        <is>
          <t xml:space="preserve">                        (подпись, инициалы, фамилия)</t>
        </is>
      </c>
      <c r="E237" s="168" t="n"/>
      <c r="F237" s="168" t="n"/>
    </row>
    <row r="238" ht="15.6" customFormat="1" customHeight="1" s="168">
      <c r="C238" s="168" t="n"/>
    </row>
    <row r="239" ht="15.6" customFormat="1" customHeight="1" s="168"/>
  </sheetData>
  <mergeCells count="15"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29:E29"/>
    <mergeCell ref="A54:E54"/>
    <mergeCell ref="G9:H9"/>
    <mergeCell ref="A5:H5"/>
    <mergeCell ref="A198:E198"/>
    <mergeCell ref="A31:E31"/>
  </mergeCells>
  <conditionalFormatting sqref="F12:F230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2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60" zoomScaleNormal="100" workbookViewId="0">
      <selection activeCell="B42" sqref="B42:C47"/>
    </sheetView>
  </sheetViews>
  <sheetFormatPr baseColWidth="8" defaultColWidth="9.140625" defaultRowHeight="15"/>
  <cols>
    <col width="4.140625" customWidth="1" style="127" min="1" max="1"/>
    <col width="36.28515625" customWidth="1" style="127" min="2" max="2"/>
    <col width="18.85546875" customWidth="1" style="127" min="3" max="3"/>
    <col width="18.28515625" customWidth="1" style="127" min="4" max="4"/>
    <col width="20.85546875" customWidth="1" style="127" min="5" max="5"/>
    <col width="9.140625" customWidth="1" style="127" min="6" max="10"/>
    <col width="13.5703125" customWidth="1" style="127" min="11" max="11"/>
    <col width="9.140625" customWidth="1" style="127" min="12" max="12"/>
  </cols>
  <sheetData>
    <row r="1" ht="15.6" customHeight="1" s="127">
      <c r="A1" s="36" t="n"/>
      <c r="B1" s="168" t="n"/>
      <c r="C1" s="168" t="n"/>
      <c r="D1" s="168" t="n"/>
      <c r="E1" s="168" t="n"/>
    </row>
    <row r="2" ht="15.6" customHeight="1" s="127">
      <c r="B2" s="168" t="n"/>
      <c r="C2" s="168" t="n"/>
      <c r="D2" s="168" t="n"/>
      <c r="E2" s="195" t="inlineStr">
        <is>
          <t>Приложение № 4</t>
        </is>
      </c>
    </row>
    <row r="3" ht="15.6" customHeight="1" s="127">
      <c r="B3" s="168" t="n"/>
      <c r="C3" s="168" t="n"/>
      <c r="D3" s="168" t="n"/>
      <c r="E3" s="168" t="n"/>
    </row>
    <row r="4" ht="15.6" customHeight="1" s="127">
      <c r="B4" s="168" t="n"/>
      <c r="C4" s="168" t="n"/>
      <c r="D4" s="168" t="n"/>
      <c r="E4" s="168" t="n"/>
    </row>
    <row r="5" ht="15.6" customHeight="1" s="127">
      <c r="B5" s="183" t="inlineStr">
        <is>
          <t>Ресурсная модель</t>
        </is>
      </c>
    </row>
    <row r="6" ht="15.6" customHeight="1" s="127">
      <c r="B6" s="177" t="n"/>
      <c r="C6" s="168" t="n"/>
      <c r="D6" s="168" t="n"/>
      <c r="E6" s="168" t="n"/>
    </row>
    <row r="7" ht="15.6" customHeight="1" s="127">
      <c r="B7" s="187">
        <f>'Прил.5 Расчет СМР и ОБ'!$A$6&amp;'Прил.5 Расчет СМР и ОБ'!$D$6</f>
        <v/>
      </c>
    </row>
    <row r="8" ht="15.6" customHeight="1" s="127">
      <c r="B8" s="177">
        <f>'Прил.5 Расчет СМР и ОБ'!$A$7</f>
        <v/>
      </c>
    </row>
    <row r="9">
      <c r="B9" s="41" t="n"/>
      <c r="C9" s="42" t="n"/>
      <c r="D9" s="42" t="n"/>
      <c r="E9" s="42" t="n"/>
    </row>
    <row r="10" ht="62.45" customFormat="1" customHeight="1" s="168">
      <c r="B10" s="181" t="inlineStr">
        <is>
          <t>Наименование</t>
        </is>
      </c>
      <c r="C10" s="181" t="inlineStr">
        <is>
          <t>Сметная стоимость в ценах на 01.01.2023
 (руб.)</t>
        </is>
      </c>
      <c r="D10" s="181" t="inlineStr">
        <is>
          <t>Удельный вес, 
(в СМР)</t>
        </is>
      </c>
      <c r="E10" s="181" t="inlineStr">
        <is>
          <t>Удельный вес, % 
(от всего по РМ)</t>
        </is>
      </c>
    </row>
    <row r="11" ht="15" customFormat="1" customHeight="1" s="168">
      <c r="B11" s="196" t="inlineStr">
        <is>
          <t>Оплата труда рабочих</t>
        </is>
      </c>
      <c r="C11" s="123">
        <f>'Прил.5 Расчет СМР и ОБ'!J16</f>
        <v/>
      </c>
      <c r="D11" s="46">
        <f>C11/C24</f>
        <v/>
      </c>
      <c r="E11" s="46">
        <f>C11/C40</f>
        <v/>
      </c>
    </row>
    <row r="12" ht="15" customFormat="1" customHeight="1" s="168">
      <c r="B12" s="196" t="inlineStr">
        <is>
          <t>Эксплуатация машин основных</t>
        </is>
      </c>
      <c r="C12" s="123">
        <f>'Прил.5 Расчет СМР и ОБ'!J25</f>
        <v/>
      </c>
      <c r="D12" s="46">
        <f>C12/C24</f>
        <v/>
      </c>
      <c r="E12" s="46">
        <f>C12/C40</f>
        <v/>
      </c>
    </row>
    <row r="13" ht="15" customFormat="1" customHeight="1" s="168">
      <c r="B13" s="196" t="inlineStr">
        <is>
          <t>Эксплуатация машин прочих</t>
        </is>
      </c>
      <c r="C13" s="123">
        <f>'Прил.5 Расчет СМР и ОБ'!J44</f>
        <v/>
      </c>
      <c r="D13" s="46">
        <f>C13/C24</f>
        <v/>
      </c>
      <c r="E13" s="46">
        <f>C13/C40</f>
        <v/>
      </c>
    </row>
    <row r="14" ht="15" customFormat="1" customHeight="1" s="168">
      <c r="B14" s="196" t="inlineStr">
        <is>
          <t>ЭКСПЛУАТАЦИЯ МАШИН, ВСЕГО:</t>
        </is>
      </c>
      <c r="C14" s="123">
        <f>C13+C12</f>
        <v/>
      </c>
      <c r="D14" s="46">
        <f>C14/C24</f>
        <v/>
      </c>
      <c r="E14" s="46">
        <f>C14/C40</f>
        <v/>
      </c>
    </row>
    <row r="15" ht="15" customFormat="1" customHeight="1" s="168">
      <c r="B15" s="196" t="inlineStr">
        <is>
          <t>в том числе зарплата машинистов</t>
        </is>
      </c>
      <c r="C15" s="123">
        <f>'Прил.5 Расчет СМР и ОБ'!J18</f>
        <v/>
      </c>
      <c r="D15" s="46">
        <f>C15/C24</f>
        <v/>
      </c>
      <c r="E15" s="46">
        <f>C15/C40</f>
        <v/>
      </c>
    </row>
    <row r="16" ht="15" customFormat="1" customHeight="1" s="168">
      <c r="B16" s="196" t="inlineStr">
        <is>
          <t>Материалы основные</t>
        </is>
      </c>
      <c r="C16" s="123">
        <f>'Прил.5 Расчет СМР и ОБ'!J105</f>
        <v/>
      </c>
      <c r="D16" s="46">
        <f>C16/C24</f>
        <v/>
      </c>
      <c r="E16" s="46">
        <f>C16/C40</f>
        <v/>
      </c>
    </row>
    <row r="17" ht="15" customFormat="1" customHeight="1" s="168">
      <c r="B17" s="196" t="inlineStr">
        <is>
          <t>Материалы прочие</t>
        </is>
      </c>
      <c r="C17" s="123">
        <f>'Прил.5 Расчет СМР и ОБ'!J230</f>
        <v/>
      </c>
      <c r="D17" s="46">
        <f>C17/C24</f>
        <v/>
      </c>
      <c r="E17" s="46">
        <f>C17/C40</f>
        <v/>
      </c>
    </row>
    <row r="18" ht="15" customFormat="1" customHeight="1" s="168">
      <c r="B18" s="196" t="inlineStr">
        <is>
          <t>МАТЕРИАЛЫ, ВСЕГО:</t>
        </is>
      </c>
      <c r="C18" s="123">
        <f>C17+C16</f>
        <v/>
      </c>
      <c r="D18" s="46">
        <f>C18/C24</f>
        <v/>
      </c>
      <c r="E18" s="46">
        <f>C18/C40</f>
        <v/>
      </c>
    </row>
    <row r="19" ht="15" customFormat="1" customHeight="1" s="168">
      <c r="B19" s="196" t="inlineStr">
        <is>
          <t>ИТОГО</t>
        </is>
      </c>
      <c r="C19" s="123">
        <f>C18+C14+C11</f>
        <v/>
      </c>
      <c r="D19" s="46">
        <f>C19/C24</f>
        <v/>
      </c>
      <c r="E19" s="47">
        <f>C19/C40</f>
        <v/>
      </c>
    </row>
    <row r="20" ht="15" customFormat="1" customHeight="1" s="168">
      <c r="B20" s="196" t="inlineStr">
        <is>
          <t>Сметная прибыль, руб.</t>
        </is>
      </c>
      <c r="C20" s="123">
        <f>'Прил.5 Расчет СМР и ОБ'!J234</f>
        <v/>
      </c>
      <c r="D20" s="46">
        <f>C20/C24</f>
        <v/>
      </c>
      <c r="E20" s="46">
        <f>C20/C40</f>
        <v/>
      </c>
    </row>
    <row r="21" ht="15" customFormat="1" customHeight="1" s="168">
      <c r="B21" s="196" t="inlineStr">
        <is>
          <t>Сметная прибыль, %</t>
        </is>
      </c>
      <c r="C21" s="48">
        <f>C20/(C11+C15)</f>
        <v/>
      </c>
      <c r="D21" s="46" t="n"/>
      <c r="E21" s="47" t="n"/>
    </row>
    <row r="22" ht="15" customFormat="1" customHeight="1" s="168">
      <c r="B22" s="196" t="inlineStr">
        <is>
          <t>Накладные расходы, руб.</t>
        </is>
      </c>
      <c r="C22" s="123">
        <f>'Прил.5 Расчет СМР и ОБ'!J233</f>
        <v/>
      </c>
      <c r="D22" s="46">
        <f>C22/C24</f>
        <v/>
      </c>
      <c r="E22" s="46">
        <f>C22/C40</f>
        <v/>
      </c>
    </row>
    <row r="23" ht="15" customFormat="1" customHeight="1" s="168">
      <c r="B23" s="196" t="inlineStr">
        <is>
          <t>Накладные расходы, %</t>
        </is>
      </c>
      <c r="C23" s="48">
        <f>C22/(C11+C15)</f>
        <v/>
      </c>
      <c r="D23" s="46" t="n"/>
      <c r="E23" s="47" t="n"/>
    </row>
    <row r="24" ht="15" customFormat="1" customHeight="1" s="168">
      <c r="B24" s="196" t="inlineStr">
        <is>
          <t>ВСЕГО СМР с НР и СП</t>
        </is>
      </c>
      <c r="C24" s="123">
        <f>C19+C20+C22</f>
        <v/>
      </c>
      <c r="D24" s="46">
        <f>C24/C24</f>
        <v/>
      </c>
      <c r="E24" s="46">
        <f>C24/C40</f>
        <v/>
      </c>
    </row>
    <row r="25" ht="31.15" customFormat="1" customHeight="1" s="168">
      <c r="B25" s="196" t="inlineStr">
        <is>
          <t>ВСЕГО стоимость оборудования, в том числе</t>
        </is>
      </c>
      <c r="C25" s="123">
        <f>'Прил.5 Расчет СМР и ОБ'!J82</f>
        <v/>
      </c>
      <c r="D25" s="46" t="n"/>
      <c r="E25" s="46">
        <f>C25/C40</f>
        <v/>
      </c>
    </row>
    <row r="26" ht="31.15" customFormat="1" customHeight="1" s="168">
      <c r="B26" s="196" t="inlineStr">
        <is>
          <t>стоимость оборудования технологического</t>
        </is>
      </c>
      <c r="C26" s="123">
        <f>C25</f>
        <v/>
      </c>
      <c r="D26" s="46" t="n"/>
      <c r="E26" s="46">
        <f>C26/C40</f>
        <v/>
      </c>
    </row>
    <row r="27" ht="15" customFormat="1" customHeight="1" s="168">
      <c r="B27" s="196" t="inlineStr">
        <is>
          <t>ИТОГО (СМР + ОБОРУДОВАНИЕ)</t>
        </is>
      </c>
      <c r="C27" s="49">
        <f>C24+C25</f>
        <v/>
      </c>
      <c r="D27" s="46" t="n"/>
      <c r="E27" s="46">
        <f>C27/C40</f>
        <v/>
      </c>
    </row>
    <row r="28" ht="33" customFormat="1" customHeight="1" s="168">
      <c r="B28" s="196" t="inlineStr">
        <is>
          <t>ПРОЧ. ЗАТР., УЧТЕННЫЕ ПОКАЗАТЕЛЕМ,  в том числе</t>
        </is>
      </c>
      <c r="C28" s="196" t="n"/>
      <c r="D28" s="47" t="n"/>
      <c r="E28" s="47" t="n"/>
    </row>
    <row r="29" ht="31.15" customFormat="1" customHeight="1" s="168">
      <c r="B29" s="196" t="inlineStr">
        <is>
          <t>Временные здания и сооружения - 2,5%</t>
        </is>
      </c>
      <c r="C29" s="49">
        <f>ROUND(C24*0.025,2)</f>
        <v/>
      </c>
      <c r="D29" s="47" t="n"/>
      <c r="E29" s="46">
        <f>C29/C40</f>
        <v/>
      </c>
    </row>
    <row r="30" ht="62.45" customFormat="1" customHeight="1" s="168">
      <c r="B30" s="196" t="inlineStr">
        <is>
          <t>Дополнительные затраты при производстве строительно-монтажных работ в зимнее время - 1,9%</t>
        </is>
      </c>
      <c r="C30" s="49">
        <f>ROUND((C24+C29)*0.019,2)</f>
        <v/>
      </c>
      <c r="D30" s="47" t="n"/>
      <c r="E30" s="46">
        <f>C30/C40</f>
        <v/>
      </c>
    </row>
    <row r="31" ht="15.6" customFormat="1" customHeight="1" s="168">
      <c r="B31" s="196" t="inlineStr">
        <is>
          <t>Пусконаладочные работы</t>
        </is>
      </c>
      <c r="C31" s="49" t="n">
        <v>670032.17</v>
      </c>
      <c r="D31" s="47" t="n"/>
      <c r="E31" s="46">
        <f>C31/C40</f>
        <v/>
      </c>
    </row>
    <row r="32" ht="31.15" customFormat="1" customHeight="1" s="168">
      <c r="B32" s="196" t="inlineStr">
        <is>
          <t>Затраты по перевозке работников к месту работы и обратно</t>
        </is>
      </c>
      <c r="C32" s="49" t="n">
        <v>0</v>
      </c>
      <c r="D32" s="47" t="n"/>
      <c r="E32" s="46">
        <f>C32/C40</f>
        <v/>
      </c>
    </row>
    <row r="33" ht="46.9" customFormat="1" customHeight="1" s="168">
      <c r="B33" s="196" t="inlineStr">
        <is>
          <t>Затраты, связанные с осуществлением работ вахтовым методом</t>
        </is>
      </c>
      <c r="C33" s="49" t="n">
        <v>0</v>
      </c>
      <c r="D33" s="47" t="n"/>
      <c r="E33" s="46">
        <f>C33/C40</f>
        <v/>
      </c>
    </row>
    <row r="34" ht="62.45" customFormat="1" customHeight="1" s="168">
      <c r="B34" s="19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9" t="n">
        <v>0</v>
      </c>
      <c r="D34" s="47" t="n"/>
      <c r="E34" s="46">
        <f>C34/C40</f>
        <v/>
      </c>
    </row>
    <row r="35" ht="93.59999999999999" customFormat="1" customHeight="1" s="168">
      <c r="B35" s="19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9" t="n">
        <v>0</v>
      </c>
      <c r="D35" s="47" t="n"/>
      <c r="E35" s="46">
        <f>C35/C40</f>
        <v/>
      </c>
    </row>
    <row r="36" ht="46.9" customFormat="1" customHeight="1" s="168">
      <c r="B36" s="50" t="inlineStr">
        <is>
          <t>Строительный контроль и содержание службы заказчика - 2,14%</t>
        </is>
      </c>
      <c r="C36" s="51">
        <f>ROUND((C27+C29+C31+C30)*0.0214,2)</f>
        <v/>
      </c>
      <c r="D36" s="52" t="n"/>
      <c r="E36" s="53">
        <f>C36/C40</f>
        <v/>
      </c>
      <c r="K36" s="54" t="n"/>
    </row>
    <row r="37" ht="15.6" customFormat="1" customHeight="1" s="168">
      <c r="B37" s="191" t="inlineStr">
        <is>
          <t>Авторский надзор - 0,2%</t>
        </is>
      </c>
      <c r="C37" s="191">
        <f>ROUND((C27+C29+C30+C31)*0.002,2)</f>
        <v/>
      </c>
      <c r="D37" s="56" t="n"/>
      <c r="E37" s="56">
        <f>C37/C40</f>
        <v/>
      </c>
    </row>
    <row r="38" ht="62.45" customFormat="1" customHeight="1" s="168">
      <c r="B38" s="57" t="inlineStr">
        <is>
          <t>ИТОГО (СМР+ОБОРУДОВАНИЕ+ПРОЧ. ЗАТР., УЧТЕННЫЕ ПОКАЗАТЕЛЕМ)</t>
        </is>
      </c>
      <c r="C38" s="58">
        <f>C27+C29+C30+C31+C36+C37</f>
        <v/>
      </c>
      <c r="D38" s="59" t="n"/>
      <c r="E38" s="60">
        <f>C38/C40</f>
        <v/>
      </c>
    </row>
    <row r="39" ht="15.6" customFormat="1" customHeight="1" s="168">
      <c r="B39" s="196" t="inlineStr">
        <is>
          <t>Непредвиденные расходы</t>
        </is>
      </c>
      <c r="C39" s="123">
        <f>ROUND(C38*0.03,2)</f>
        <v/>
      </c>
      <c r="D39" s="47" t="n"/>
      <c r="E39" s="46">
        <f>C39/C40</f>
        <v/>
      </c>
    </row>
    <row r="40" ht="15.6" customFormat="1" customHeight="1" s="168">
      <c r="B40" s="196" t="inlineStr">
        <is>
          <t>ВСЕГО:</t>
        </is>
      </c>
      <c r="C40" s="123">
        <f>C39+C38</f>
        <v/>
      </c>
      <c r="D40" s="47" t="n"/>
      <c r="E40" s="46">
        <f>C40/C40</f>
        <v/>
      </c>
    </row>
    <row r="41" ht="31.15" customFormat="1" customHeight="1" s="168">
      <c r="B41" s="196" t="inlineStr">
        <is>
          <t>ИТОГО ПОКАЗАТЕЛЬ НА ЕД. ИЗМ.</t>
        </is>
      </c>
      <c r="C41" s="123">
        <f>C40/'Прил.5 Расчет СМР и ОБ'!E237</f>
        <v/>
      </c>
      <c r="D41" s="47" t="n"/>
      <c r="E41" s="47" t="n"/>
    </row>
    <row r="42" ht="15.6" customFormat="1" customHeight="1" s="168">
      <c r="B42" s="168" t="n"/>
    </row>
    <row r="43" ht="15.6" customFormat="1" customHeight="1" s="168">
      <c r="B43" s="168" t="inlineStr">
        <is>
          <t>Составил ______________________        М.С. Колотиевская</t>
        </is>
      </c>
    </row>
    <row r="44" ht="15.6" customFormat="1" customHeight="1" s="168">
      <c r="B44" s="125" t="inlineStr">
        <is>
          <t xml:space="preserve">                         (подпись, инициалы, фамилия)</t>
        </is>
      </c>
    </row>
    <row r="45" ht="15.6" customFormat="1" customHeight="1" s="168">
      <c r="B45" s="168" t="n"/>
    </row>
    <row r="46" ht="15.6" customFormat="1" customHeight="1" s="168">
      <c r="B46" s="168" t="inlineStr">
        <is>
          <t>Проверил ______________________      А.В. Костянецкая</t>
        </is>
      </c>
    </row>
    <row r="47" ht="15.6" customFormat="1" customHeight="1" s="168">
      <c r="B47" s="125" t="inlineStr">
        <is>
          <t xml:space="preserve">                        (подпись, инициалы, фамилия)</t>
        </is>
      </c>
      <c r="C47" s="187" t="n"/>
    </row>
    <row r="48" ht="15.6" customFormat="1" customHeight="1" s="168"/>
  </sheetData>
  <mergeCells count="3">
    <mergeCell ref="B7:E7"/>
    <mergeCell ref="B8:D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244"/>
  <sheetViews>
    <sheetView view="pageBreakPreview" topLeftCell="A96" zoomScale="60" zoomScaleNormal="100" workbookViewId="0">
      <selection activeCell="H244" sqref="H244"/>
    </sheetView>
  </sheetViews>
  <sheetFormatPr baseColWidth="8" defaultColWidth="9.140625" defaultRowHeight="15" outlineLevelRow="1"/>
  <cols>
    <col width="5.7109375" customWidth="1" style="15" min="1" max="1"/>
    <col width="22.5703125" customWidth="1" style="15" min="2" max="2"/>
    <col width="39.140625" customWidth="1" style="15" min="3" max="3"/>
    <col width="10.7109375" customWidth="1" style="15" min="4" max="4"/>
    <col width="12.7109375" customWidth="1" style="15" min="5" max="5"/>
    <col width="14.5703125" customWidth="1" style="15" min="6" max="6"/>
    <col width="13.42578125" customWidth="1" style="15" min="7" max="7"/>
    <col width="12.7109375" customWidth="1" style="15" min="8" max="8"/>
    <col width="14.5703125" customWidth="1" style="15" min="9" max="9"/>
    <col width="15.140625" customWidth="1" style="15" min="10" max="10"/>
    <col width="22.42578125" customWidth="1" style="15" min="11" max="11"/>
    <col width="16.28515625" customWidth="1" style="15" min="12" max="12"/>
    <col width="10.85546875" customWidth="1" style="15" min="13" max="13"/>
    <col width="9.140625" customWidth="1" style="15" min="14" max="14"/>
    <col width="9.140625" customWidth="1" style="127" min="15" max="15"/>
  </cols>
  <sheetData>
    <row r="1">
      <c r="A1" s="42" t="n"/>
    </row>
    <row r="2" ht="15.6" customHeight="1" s="127">
      <c r="A2" s="168" t="n"/>
      <c r="B2" s="168" t="n"/>
      <c r="C2" s="168" t="n"/>
      <c r="D2" s="168" t="n"/>
      <c r="E2" s="168" t="n"/>
      <c r="F2" s="168" t="n"/>
      <c r="G2" s="168" t="n"/>
      <c r="H2" s="195" t="inlineStr">
        <is>
          <t>Приложение №5</t>
        </is>
      </c>
    </row>
    <row r="3" ht="15.6" customHeight="1" s="127">
      <c r="A3" s="168" t="n"/>
      <c r="B3" s="168" t="n"/>
      <c r="C3" s="168" t="n"/>
      <c r="D3" s="168" t="n"/>
      <c r="E3" s="168" t="n"/>
      <c r="F3" s="168" t="n"/>
      <c r="G3" s="168" t="n"/>
      <c r="H3" s="168" t="n"/>
      <c r="I3" s="168" t="n"/>
      <c r="J3" s="168" t="n"/>
    </row>
    <row r="4" ht="15.6" customFormat="1" customHeight="1" s="42">
      <c r="A4" s="183" t="inlineStr">
        <is>
          <t>Расчет стоимости СМР и оборудования</t>
        </is>
      </c>
      <c r="I4" s="183" t="n"/>
      <c r="J4" s="183" t="n"/>
    </row>
    <row r="5" ht="15.6" customFormat="1" customHeight="1" s="42">
      <c r="A5" s="183" t="n"/>
      <c r="B5" s="183" t="n"/>
      <c r="C5" s="183" t="n"/>
      <c r="D5" s="183" t="n"/>
      <c r="E5" s="183" t="n"/>
      <c r="F5" s="183" t="n"/>
      <c r="G5" s="183" t="n"/>
      <c r="H5" s="183" t="n"/>
      <c r="I5" s="183" t="n"/>
      <c r="J5" s="183" t="n"/>
    </row>
    <row r="6" ht="15.6" customHeight="1" s="127">
      <c r="A6" s="109" t="inlineStr">
        <is>
          <t xml:space="preserve">Наименование разрабатываемого показателя УНЦ — </t>
        </is>
      </c>
      <c r="B6" s="108" t="n"/>
      <c r="C6" s="108" t="n"/>
      <c r="D6" s="109" t="inlineStr">
        <is>
          <t>Н2-09 Газовое пожаротушение</t>
        </is>
      </c>
      <c r="E6" s="108" t="n"/>
      <c r="F6" s="108" t="n"/>
      <c r="G6" s="108" t="n"/>
    </row>
    <row r="7" ht="15.6" customHeight="1" s="127">
      <c r="A7" s="125" t="inlineStr">
        <is>
          <t>Единица измерения  — м3</t>
        </is>
      </c>
      <c r="C7" s="125" t="n"/>
      <c r="D7" s="125" t="n"/>
    </row>
    <row r="8" ht="15.6" customFormat="1" customHeight="1" s="42">
      <c r="A8" s="168" t="n"/>
      <c r="B8" s="168" t="n"/>
      <c r="C8" s="168" t="n"/>
      <c r="D8" s="168" t="n"/>
      <c r="E8" s="168" t="n"/>
      <c r="F8" s="168" t="n"/>
      <c r="G8" s="168" t="n"/>
      <c r="H8" s="168" t="n"/>
      <c r="I8" s="168" t="n"/>
      <c r="J8" s="168" t="n"/>
    </row>
    <row r="9" ht="27" customFormat="1" customHeight="1" s="168">
      <c r="A9" s="196" t="inlineStr">
        <is>
          <t>№ пп.</t>
        </is>
      </c>
      <c r="B9" s="181" t="inlineStr">
        <is>
          <t>Код ресурса</t>
        </is>
      </c>
      <c r="C9" s="181" t="inlineStr">
        <is>
          <t>Наименование</t>
        </is>
      </c>
      <c r="D9" s="181" t="inlineStr">
        <is>
          <t>Ед. изм.</t>
        </is>
      </c>
      <c r="E9" s="181" t="inlineStr">
        <is>
          <t>Кол-во единиц по проектным данным</t>
        </is>
      </c>
      <c r="F9" s="181" t="inlineStr">
        <is>
          <t>Сметная стоимость в ценах на 01.01.2000 (руб.)</t>
        </is>
      </c>
      <c r="G9" s="206" t="n"/>
      <c r="H9" s="181" t="inlineStr">
        <is>
          <t>Удельный вес, %</t>
        </is>
      </c>
      <c r="I9" s="181" t="inlineStr">
        <is>
          <t>Сметная стоимость в ценах на 01.01.2023 (руб.)</t>
        </is>
      </c>
      <c r="J9" s="206" t="n"/>
      <c r="K9" s="23" t="n"/>
    </row>
    <row r="10" ht="28.5" customFormat="1" customHeight="1" s="168">
      <c r="A10" s="208" t="n"/>
      <c r="B10" s="208" t="n"/>
      <c r="C10" s="208" t="n"/>
      <c r="D10" s="208" t="n"/>
      <c r="E10" s="208" t="n"/>
      <c r="F10" s="181" t="inlineStr">
        <is>
          <t>на ед. изм.</t>
        </is>
      </c>
      <c r="G10" s="181" t="inlineStr">
        <is>
          <t>общая</t>
        </is>
      </c>
      <c r="H10" s="208" t="n"/>
      <c r="I10" s="181" t="inlineStr">
        <is>
          <t>на ед. изм.</t>
        </is>
      </c>
      <c r="J10" s="181" t="inlineStr">
        <is>
          <t>общая</t>
        </is>
      </c>
    </row>
    <row r="11" ht="15.6" customFormat="1" customHeight="1" s="168">
      <c r="A11" s="196" t="n">
        <v>1</v>
      </c>
      <c r="B11" s="181" t="n">
        <v>2</v>
      </c>
      <c r="C11" s="181" t="n">
        <v>3</v>
      </c>
      <c r="D11" s="181" t="n">
        <v>4</v>
      </c>
      <c r="E11" s="181" t="n">
        <v>5</v>
      </c>
      <c r="F11" s="181" t="n">
        <v>6</v>
      </c>
      <c r="G11" s="181" t="n">
        <v>7</v>
      </c>
      <c r="H11" s="181" t="n">
        <v>8</v>
      </c>
      <c r="I11" s="181" t="n">
        <v>9</v>
      </c>
      <c r="J11" s="181" t="n">
        <v>10</v>
      </c>
    </row>
    <row r="12" ht="15.6" customFormat="1" customHeight="1" s="168">
      <c r="A12" s="191" t="n"/>
      <c r="B12" s="189" t="inlineStr">
        <is>
          <t>Затраты труда рабочих-строителей</t>
        </is>
      </c>
      <c r="C12" s="205" t="n"/>
      <c r="D12" s="205" t="n"/>
      <c r="E12" s="205" t="n"/>
      <c r="F12" s="205" t="n"/>
      <c r="G12" s="205" t="n"/>
      <c r="H12" s="206" t="n"/>
      <c r="I12" s="191" t="n"/>
      <c r="J12" s="191" t="n"/>
    </row>
    <row r="13" ht="31.15" customFormat="1" customHeight="1" s="168">
      <c r="A13" s="186" t="n">
        <v>1</v>
      </c>
      <c r="B13" s="186" t="inlineStr">
        <is>
          <t>1-100-40</t>
        </is>
      </c>
      <c r="C13" s="185" t="inlineStr">
        <is>
          <t>Затраты труда рабочих (Средний разряд работы 4,0)</t>
        </is>
      </c>
      <c r="D13" s="186" t="inlineStr">
        <is>
          <t>чел.-ч</t>
        </is>
      </c>
      <c r="E13" s="186" t="n">
        <v>1681.7276507277</v>
      </c>
      <c r="F13" s="188" t="n">
        <v>9.619999999999999</v>
      </c>
      <c r="G13" s="188">
        <f>ROUND(F13*E13,2)</f>
        <v/>
      </c>
      <c r="H13" s="90">
        <f>G13/$G$16</f>
        <v/>
      </c>
      <c r="I13" s="188">
        <f>ФОТр.тек.!E13</f>
        <v/>
      </c>
      <c r="J13" s="188">
        <f>ROUND(I13*E13,2)</f>
        <v/>
      </c>
    </row>
    <row r="14" ht="15.6" customFormat="1" customHeight="1" s="168">
      <c r="A14" s="186" t="n">
        <v>2</v>
      </c>
      <c r="B14" s="186" t="inlineStr">
        <is>
          <t>3-200-01</t>
        </is>
      </c>
      <c r="C14" s="185" t="inlineStr">
        <is>
          <t>Инженер I категории</t>
        </is>
      </c>
      <c r="D14" s="186" t="inlineStr">
        <is>
          <t>чел.-ч</t>
        </is>
      </c>
      <c r="E14" s="186" t="n">
        <v>144.5</v>
      </c>
      <c r="F14" s="188" t="n">
        <v>15.49</v>
      </c>
      <c r="G14" s="188">
        <f>ROUND(F14*E14,2)</f>
        <v/>
      </c>
      <c r="H14" s="90">
        <f>G14/$G$16</f>
        <v/>
      </c>
      <c r="I14" s="188">
        <f>ФОТр.тек.!E21</f>
        <v/>
      </c>
      <c r="J14" s="188">
        <f>ROUND(I14*E14,2)</f>
        <v/>
      </c>
    </row>
    <row r="15" ht="15.6" customFormat="1" customHeight="1" s="168">
      <c r="A15" s="186" t="n">
        <v>3</v>
      </c>
      <c r="B15" s="186" t="inlineStr">
        <is>
          <t>3-200-02</t>
        </is>
      </c>
      <c r="C15" s="185" t="inlineStr">
        <is>
          <t>Инженер II категории</t>
        </is>
      </c>
      <c r="D15" s="186" t="inlineStr">
        <is>
          <t>чел.-ч</t>
        </is>
      </c>
      <c r="E15" s="186" t="n">
        <v>144.5</v>
      </c>
      <c r="F15" s="188" t="n">
        <v>14.09</v>
      </c>
      <c r="G15" s="188">
        <f>ROUND(F15*E15,2)</f>
        <v/>
      </c>
      <c r="H15" s="90">
        <f>G15/$G$16</f>
        <v/>
      </c>
      <c r="I15" s="188">
        <f>ФОТр.тек.!E29</f>
        <v/>
      </c>
      <c r="J15" s="188">
        <f>ROUND(I15*E15,2)</f>
        <v/>
      </c>
    </row>
    <row r="16" ht="31.15" customFormat="1" customHeight="1" s="168">
      <c r="A16" s="186" t="n"/>
      <c r="B16" s="186" t="n"/>
      <c r="C16" s="185" t="inlineStr">
        <is>
          <t>Итого по разделу "Затраты труда рабочих-строителей"</t>
        </is>
      </c>
      <c r="D16" s="186" t="inlineStr">
        <is>
          <t>чел.-ч</t>
        </is>
      </c>
      <c r="E16" s="186">
        <f>SUM(E14:E15)</f>
        <v/>
      </c>
      <c r="F16" s="188" t="n"/>
      <c r="G16" s="188">
        <f>SUM(G13:G15)</f>
        <v/>
      </c>
      <c r="H16" s="90" t="n">
        <v>1</v>
      </c>
      <c r="I16" s="188" t="n"/>
      <c r="J16" s="188">
        <f>SUM(J14:J15)</f>
        <v/>
      </c>
    </row>
    <row r="17" ht="15.6" customFormat="1" customHeight="1" s="168">
      <c r="A17" s="186" t="n"/>
      <c r="B17" s="186" t="inlineStr">
        <is>
          <t>Затраты труда машинистов</t>
        </is>
      </c>
      <c r="C17" s="205" t="n"/>
      <c r="D17" s="205" t="n"/>
      <c r="E17" s="205" t="n"/>
      <c r="F17" s="205" t="n"/>
      <c r="G17" s="205" t="n"/>
      <c r="H17" s="206" t="n"/>
      <c r="I17" s="188" t="n"/>
      <c r="J17" s="188" t="n"/>
    </row>
    <row r="18" ht="15.6" customFormat="1" customHeight="1" s="168">
      <c r="A18" s="186" t="n">
        <v>4</v>
      </c>
      <c r="B18" s="186" t="n">
        <v>2</v>
      </c>
      <c r="C18" s="185" t="inlineStr">
        <is>
          <t>Затраты труда машинистов</t>
        </is>
      </c>
      <c r="D18" s="186" t="inlineStr">
        <is>
          <t>чел.-ч</t>
        </is>
      </c>
      <c r="E18" s="186" t="n">
        <v>153.49</v>
      </c>
      <c r="F18" s="188" t="n">
        <v>13.47</v>
      </c>
      <c r="G18" s="188">
        <f>ROUND(F18*E18,2)</f>
        <v/>
      </c>
      <c r="H18" s="90" t="n">
        <v>1</v>
      </c>
      <c r="I18" s="188">
        <f>ROUND(F18*Прил.10!$D$10,2)</f>
        <v/>
      </c>
      <c r="J18" s="188">
        <f>ROUND(I18*E18,2)</f>
        <v/>
      </c>
    </row>
    <row r="19" ht="15.6" customFormat="1" customHeight="1" s="168">
      <c r="A19" s="186" t="n"/>
      <c r="B19" s="184" t="inlineStr">
        <is>
          <t>Машины и механизмы</t>
        </is>
      </c>
      <c r="C19" s="205" t="n"/>
      <c r="D19" s="205" t="n"/>
      <c r="E19" s="205" t="n"/>
      <c r="F19" s="205" t="n"/>
      <c r="G19" s="205" t="n"/>
      <c r="H19" s="206" t="n"/>
      <c r="I19" s="188" t="n"/>
      <c r="J19" s="188" t="n"/>
    </row>
    <row r="20" ht="15.6" customFormat="1" customHeight="1" s="168">
      <c r="A20" s="186" t="n"/>
      <c r="B20" s="186" t="inlineStr">
        <is>
          <t>Основные Машины и механизмы</t>
        </is>
      </c>
      <c r="C20" s="205" t="n"/>
      <c r="D20" s="205" t="n"/>
      <c r="E20" s="205" t="n"/>
      <c r="F20" s="205" t="n"/>
      <c r="G20" s="205" t="n"/>
      <c r="H20" s="206" t="n"/>
      <c r="I20" s="188" t="n"/>
      <c r="J20" s="188" t="n"/>
    </row>
    <row r="21" ht="31.15" customFormat="1" customHeight="1" s="168">
      <c r="A21" s="186" t="n">
        <v>5</v>
      </c>
      <c r="B21" s="192" t="inlineStr">
        <is>
          <t>91.05.05-015</t>
        </is>
      </c>
      <c r="C21" s="197" t="inlineStr">
        <is>
          <t>Краны на автомобильном ходу, грузоподъемность 16 т</t>
        </is>
      </c>
      <c r="D21" s="201" t="inlineStr">
        <is>
          <t>маш.час</t>
        </is>
      </c>
      <c r="E21" s="198" t="n">
        <v>81.59</v>
      </c>
      <c r="F21" s="98" t="n">
        <v>115.4</v>
      </c>
      <c r="G21" s="188">
        <f>ROUND(F21*E21,2)</f>
        <v/>
      </c>
      <c r="H21" s="90">
        <f>G21/$G$45</f>
        <v/>
      </c>
      <c r="I21" s="188">
        <f>ROUND(F21*Прил.10!$D$11,2)</f>
        <v/>
      </c>
      <c r="J21" s="188">
        <f>ROUND(I21*E21,2)</f>
        <v/>
      </c>
    </row>
    <row r="22" ht="46.9" customFormat="1" customHeight="1" s="168">
      <c r="A22" s="186" t="n">
        <v>6</v>
      </c>
      <c r="B22" s="192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201" t="inlineStr">
        <is>
          <t>маш.час</t>
        </is>
      </c>
      <c r="E22" s="198" t="n">
        <v>25.38</v>
      </c>
      <c r="F22" s="98" t="n">
        <v>110.86</v>
      </c>
      <c r="G22" s="188">
        <f>ROUND(F22*E22,2)</f>
        <v/>
      </c>
      <c r="H22" s="90">
        <f>G22/$G$45</f>
        <v/>
      </c>
      <c r="I22" s="188">
        <f>ROUND(F22*Прил.10!$D$11,2)</f>
        <v/>
      </c>
      <c r="J22" s="188">
        <f>ROUND(I22*E22,2)</f>
        <v/>
      </c>
    </row>
    <row r="23" ht="31.15" customFormat="1" customHeight="1" s="168">
      <c r="A23" s="186" t="n">
        <v>7</v>
      </c>
      <c r="B23" s="192" t="inlineStr">
        <is>
          <t>91.14.04-001</t>
        </is>
      </c>
      <c r="C23" s="197" t="inlineStr">
        <is>
          <t>Тягачи седельные, грузоподъемность 12 т</t>
        </is>
      </c>
      <c r="D23" s="201" t="inlineStr">
        <is>
          <t>маш.час</t>
        </is>
      </c>
      <c r="E23" s="198" t="n">
        <v>19.78</v>
      </c>
      <c r="F23" s="98" t="n">
        <v>102.84</v>
      </c>
      <c r="G23" s="188">
        <f>ROUND(F23*E23,2)</f>
        <v/>
      </c>
      <c r="H23" s="90">
        <f>G23/$G$45</f>
        <v/>
      </c>
      <c r="I23" s="188">
        <f>ROUND(F23*Прил.10!$D$11,2)</f>
        <v/>
      </c>
      <c r="J23" s="188">
        <f>ROUND(I23*E23,2)</f>
        <v/>
      </c>
    </row>
    <row r="24" ht="31.15" customFormat="1" customHeight="1" s="168">
      <c r="A24" s="186" t="n">
        <v>8</v>
      </c>
      <c r="B24" s="192" t="inlineStr">
        <is>
          <t>91.14.02-001</t>
        </is>
      </c>
      <c r="C24" s="197" t="inlineStr">
        <is>
          <t>Автомобили бортовые, грузоподъемность до 5 т</t>
        </is>
      </c>
      <c r="D24" s="201" t="inlineStr">
        <is>
          <t>маш.час</t>
        </is>
      </c>
      <c r="E24" s="198" t="n">
        <v>23.12</v>
      </c>
      <c r="F24" s="98" t="n">
        <v>65.70999999999999</v>
      </c>
      <c r="G24" s="188">
        <f>ROUND(F24*E24,2)</f>
        <v/>
      </c>
      <c r="H24" s="90">
        <f>G24/$G$45</f>
        <v/>
      </c>
      <c r="I24" s="188">
        <f>ROUND(F24*Прил.10!$D$11,2)</f>
        <v/>
      </c>
      <c r="J24" s="188">
        <f>ROUND(I24*E24,2)</f>
        <v/>
      </c>
    </row>
    <row r="25" ht="15.6" customFormat="1" customHeight="1" s="168">
      <c r="A25" s="186" t="n"/>
      <c r="B25" s="192" t="inlineStr">
        <is>
          <t>Итого основные Машины и механизмы</t>
        </is>
      </c>
      <c r="C25" s="205" t="n"/>
      <c r="D25" s="205" t="n"/>
      <c r="E25" s="205" t="n"/>
      <c r="F25" s="206" t="n"/>
      <c r="G25" s="98">
        <f>SUM(G21:G24)</f>
        <v/>
      </c>
      <c r="H25" s="90">
        <f>SUM(H21:H24)</f>
        <v/>
      </c>
      <c r="I25" s="188" t="n"/>
      <c r="J25" s="188">
        <f>SUM(J21:J24)</f>
        <v/>
      </c>
    </row>
    <row r="26" hidden="1" outlineLevel="1" ht="31.15" customFormat="1" customHeight="1" s="168">
      <c r="A26" s="186" t="n">
        <v>9</v>
      </c>
      <c r="B26" s="192" t="inlineStr">
        <is>
          <t>91.17.04-233</t>
        </is>
      </c>
      <c r="C26" s="197" t="inlineStr">
        <is>
          <t>Установки для сварки ручной дуговой (постоянного тока)</t>
        </is>
      </c>
      <c r="D26" s="201" t="inlineStr">
        <is>
          <t>маш.час</t>
        </is>
      </c>
      <c r="E26" s="198" t="n">
        <v>71.73999999999999</v>
      </c>
      <c r="F26" s="98" t="n">
        <v>8.1</v>
      </c>
      <c r="G26" s="188">
        <f>ROUND(F26*E26,2)</f>
        <v/>
      </c>
      <c r="H26" s="90">
        <f>G26/G45</f>
        <v/>
      </c>
      <c r="I26" s="188">
        <f>ROUND(F26*Прил.10!$D$11,2)</f>
        <v/>
      </c>
      <c r="J26" s="188">
        <f>ROUND(I26*E26,2)</f>
        <v/>
      </c>
    </row>
    <row r="27" hidden="1" outlineLevel="1" ht="31.15" customFormat="1" customHeight="1" s="168">
      <c r="A27" s="186" t="n">
        <v>10</v>
      </c>
      <c r="B27" s="192" t="inlineStr">
        <is>
          <t>91.14.05-011</t>
        </is>
      </c>
      <c r="C27" s="197" t="inlineStr">
        <is>
          <t>Полуприцепы общего назначения, грузоподъемность 12 т</t>
        </is>
      </c>
      <c r="D27" s="201" t="inlineStr">
        <is>
          <t>маш.час</t>
        </is>
      </c>
      <c r="E27" s="198" t="n">
        <v>19.78</v>
      </c>
      <c r="F27" s="98" t="n">
        <v>12</v>
      </c>
      <c r="G27" s="188">
        <f>ROUND(F27*E27,2)</f>
        <v/>
      </c>
      <c r="H27" s="90">
        <f>G27/G45</f>
        <v/>
      </c>
      <c r="I27" s="188">
        <f>ROUND(F27*Прил.10!$D$11,2)</f>
        <v/>
      </c>
      <c r="J27" s="188">
        <f>ROUND(I27*E27,2)</f>
        <v/>
      </c>
    </row>
    <row r="28" hidden="1" outlineLevel="1" ht="31.15" customFormat="1" customHeight="1" s="168">
      <c r="A28" s="186" t="n">
        <v>11</v>
      </c>
      <c r="B28" s="192" t="inlineStr">
        <is>
          <t>91.05.04-006</t>
        </is>
      </c>
      <c r="C28" s="197" t="inlineStr">
        <is>
          <t>Краны мостовые электрические, грузоподъемность 10 т</t>
        </is>
      </c>
      <c r="D28" s="201" t="inlineStr">
        <is>
          <t>маш.час</t>
        </is>
      </c>
      <c r="E28" s="198" t="n">
        <v>3.1</v>
      </c>
      <c r="F28" s="98" t="n">
        <v>73.12</v>
      </c>
      <c r="G28" s="188">
        <f>ROUND(F28*E28,2)</f>
        <v/>
      </c>
      <c r="H28" s="90">
        <f>G28/G45</f>
        <v/>
      </c>
      <c r="I28" s="188">
        <f>ROUND(F28*Прил.10!$D$11,2)</f>
        <v/>
      </c>
      <c r="J28" s="188">
        <f>ROUND(I28*E28,2)</f>
        <v/>
      </c>
    </row>
    <row r="29" hidden="1" outlineLevel="1" ht="46.9" customFormat="1" customHeight="1" s="168">
      <c r="A29" s="186" t="n">
        <v>12</v>
      </c>
      <c r="B29" s="192" t="inlineStr">
        <is>
          <t>91.17.04-161</t>
        </is>
      </c>
      <c r="C29" s="197" t="inlineStr">
        <is>
          <t>Полуавтоматы сварочные номинальным сварочным током 40-500 А</t>
        </is>
      </c>
      <c r="D29" s="201" t="inlineStr">
        <is>
          <t>маш.час</t>
        </is>
      </c>
      <c r="E29" s="198" t="n">
        <v>3.64</v>
      </c>
      <c r="F29" s="98" t="n">
        <v>16.44</v>
      </c>
      <c r="G29" s="188">
        <f>ROUND(F29*E29,2)</f>
        <v/>
      </c>
      <c r="H29" s="90">
        <f>G29/G45</f>
        <v/>
      </c>
      <c r="I29" s="188">
        <f>ROUND(F29*Прил.10!$D$11,2)</f>
        <v/>
      </c>
      <c r="J29" s="188">
        <f>ROUND(I29*E29,2)</f>
        <v/>
      </c>
    </row>
    <row r="30" hidden="1" outlineLevel="1" ht="62.45" customFormat="1" customHeight="1" s="168">
      <c r="A30" s="186" t="n">
        <v>13</v>
      </c>
      <c r="B30" s="192" t="inlineStr">
        <is>
          <t>91.18.01-015</t>
        </is>
      </c>
      <c r="C30" s="197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D30" s="201" t="inlineStr">
        <is>
          <t>маш.час</t>
        </is>
      </c>
      <c r="E30" s="198" t="n">
        <v>0.53</v>
      </c>
      <c r="F30" s="98" t="n">
        <v>100</v>
      </c>
      <c r="G30" s="188">
        <f>ROUND(F30*E30,2)</f>
        <v/>
      </c>
      <c r="H30" s="90">
        <f>G30/G45</f>
        <v/>
      </c>
      <c r="I30" s="188">
        <f>ROUND(F30*Прил.10!$D$11,2)</f>
        <v/>
      </c>
      <c r="J30" s="188">
        <f>ROUND(I30*E30,2)</f>
        <v/>
      </c>
    </row>
    <row r="31" hidden="1" outlineLevel="1" ht="31.15" customFormat="1" customHeight="1" s="168">
      <c r="A31" s="186" t="n">
        <v>14</v>
      </c>
      <c r="B31" s="192" t="inlineStr">
        <is>
          <t>91.06.03-061</t>
        </is>
      </c>
      <c r="C31" s="197" t="inlineStr">
        <is>
          <t>Лебедки электрические тяговым усилием до 12,26 кН (1,25 т)</t>
        </is>
      </c>
      <c r="D31" s="201" t="inlineStr">
        <is>
          <t>маш.час</t>
        </is>
      </c>
      <c r="E31" s="198" t="n">
        <v>15.46</v>
      </c>
      <c r="F31" s="98" t="n">
        <v>3.28</v>
      </c>
      <c r="G31" s="188">
        <f>ROUND(F31*E31,2)</f>
        <v/>
      </c>
      <c r="H31" s="90">
        <f>G31/G45</f>
        <v/>
      </c>
      <c r="I31" s="188">
        <f>ROUND(F31*Прил.10!$D$11,2)</f>
        <v/>
      </c>
      <c r="J31" s="188">
        <f>ROUND(I31*E31,2)</f>
        <v/>
      </c>
    </row>
    <row r="32" hidden="1" outlineLevel="1" ht="15.6" customFormat="1" customHeight="1" s="168">
      <c r="A32" s="186" t="n">
        <v>15</v>
      </c>
      <c r="B32" s="192" t="inlineStr">
        <is>
          <t>91.19.08-007</t>
        </is>
      </c>
      <c r="C32" s="197" t="inlineStr">
        <is>
          <t>Насосы мощностью 7,2 м3/ч</t>
        </is>
      </c>
      <c r="D32" s="201" t="inlineStr">
        <is>
          <t>маш.час</t>
        </is>
      </c>
      <c r="E32" s="198" t="n">
        <v>2.1</v>
      </c>
      <c r="F32" s="98" t="n">
        <v>18.68</v>
      </c>
      <c r="G32" s="188">
        <f>ROUND(F32*E32,2)</f>
        <v/>
      </c>
      <c r="H32" s="90">
        <f>G32/G45</f>
        <v/>
      </c>
      <c r="I32" s="188">
        <f>ROUND(F32*Прил.10!$D$11,2)</f>
        <v/>
      </c>
      <c r="J32" s="188">
        <f>ROUND(I32*E32,2)</f>
        <v/>
      </c>
    </row>
    <row r="33" hidden="1" outlineLevel="1" ht="31.15" customFormat="1" customHeight="1" s="168">
      <c r="A33" s="186" t="n">
        <v>16</v>
      </c>
      <c r="B33" s="192" t="inlineStr">
        <is>
          <t>91.06.01-003</t>
        </is>
      </c>
      <c r="C33" s="197" t="inlineStr">
        <is>
          <t>Домкраты гидравлические, грузоподъемность 63-100 т</t>
        </is>
      </c>
      <c r="D33" s="201" t="inlineStr">
        <is>
          <t>маш.час</t>
        </is>
      </c>
      <c r="E33" s="198" t="n">
        <v>15.46</v>
      </c>
      <c r="F33" s="98" t="n">
        <v>0.9</v>
      </c>
      <c r="G33" s="188">
        <f>ROUND(F33*E33,2)</f>
        <v/>
      </c>
      <c r="H33" s="90">
        <f>G33/G45</f>
        <v/>
      </c>
      <c r="I33" s="188">
        <f>ROUND(F33*Прил.10!$D$11,2)</f>
        <v/>
      </c>
      <c r="J33" s="188">
        <f>ROUND(I33*E33,2)</f>
        <v/>
      </c>
    </row>
    <row r="34" hidden="1" outlineLevel="1" ht="46.9" customFormat="1" customHeight="1" s="168">
      <c r="A34" s="186" t="n">
        <v>17</v>
      </c>
      <c r="B34" s="192" t="inlineStr">
        <is>
          <t>91.17.04-171</t>
        </is>
      </c>
      <c r="C34" s="197" t="inlineStr">
        <is>
          <t>Преобразователи сварочные номинальным сварочным током 315-500 А</t>
        </is>
      </c>
      <c r="D34" s="201" t="inlineStr">
        <is>
          <t>маш.час</t>
        </is>
      </c>
      <c r="E34" s="198" t="n">
        <v>0.37</v>
      </c>
      <c r="F34" s="98" t="n">
        <v>12.31</v>
      </c>
      <c r="G34" s="188">
        <f>ROUND(F34*E34,2)</f>
        <v/>
      </c>
      <c r="H34" s="90">
        <f>G34/G45</f>
        <v/>
      </c>
      <c r="I34" s="188">
        <f>ROUND(F34*Прил.10!$D$11,2)</f>
        <v/>
      </c>
      <c r="J34" s="188">
        <f>ROUND(I34*E34,2)</f>
        <v/>
      </c>
    </row>
    <row r="35" hidden="1" outlineLevel="1" ht="31.15" customFormat="1" customHeight="1" s="168">
      <c r="A35" s="186" t="n">
        <v>18</v>
      </c>
      <c r="B35" s="192" t="inlineStr">
        <is>
          <t>91.06.03-055</t>
        </is>
      </c>
      <c r="C35" s="197" t="inlineStr">
        <is>
          <t>Лебедки электрические тяговым усилием 19,62 кН (2 т)</t>
        </is>
      </c>
      <c r="D35" s="201" t="inlineStr">
        <is>
          <t>маш.час</t>
        </is>
      </c>
      <c r="E35" s="198" t="n">
        <v>0.48</v>
      </c>
      <c r="F35" s="98" t="n">
        <v>6.66</v>
      </c>
      <c r="G35" s="188">
        <f>ROUND(F35*E35,2)</f>
        <v/>
      </c>
      <c r="H35" s="90">
        <f>G35/G45</f>
        <v/>
      </c>
      <c r="I35" s="188">
        <f>ROUND(F35*Прил.10!$D$11,2)</f>
        <v/>
      </c>
      <c r="J35" s="188">
        <f>ROUND(I35*E35,2)</f>
        <v/>
      </c>
    </row>
    <row r="36" hidden="1" outlineLevel="1" ht="31.15" customFormat="1" customHeight="1" s="168">
      <c r="A36" s="186" t="n">
        <v>19</v>
      </c>
      <c r="B36" s="192" t="inlineStr">
        <is>
          <t>91.06.03-062</t>
        </is>
      </c>
      <c r="C36" s="197" t="inlineStr">
        <is>
          <t>Лебедки электрические тяговым усилием до 31,39 кН (3,2 т)</t>
        </is>
      </c>
      <c r="D36" s="201" t="inlineStr">
        <is>
          <t>маш.час</t>
        </is>
      </c>
      <c r="E36" s="198" t="n">
        <v>0.38</v>
      </c>
      <c r="F36" s="98" t="n">
        <v>6.9</v>
      </c>
      <c r="G36" s="188">
        <f>ROUND(F36*E36,2)</f>
        <v/>
      </c>
      <c r="H36" s="90">
        <f>G36/G45</f>
        <v/>
      </c>
      <c r="I36" s="188">
        <f>ROUND(F36*Прил.10!$D$11,2)</f>
        <v/>
      </c>
      <c r="J36" s="188">
        <f>ROUND(I36*E36,2)</f>
        <v/>
      </c>
    </row>
    <row r="37" hidden="1" outlineLevel="1" ht="31.15" customFormat="1" customHeight="1" s="168">
      <c r="A37" s="186" t="n">
        <v>20</v>
      </c>
      <c r="B37" s="192" t="inlineStr">
        <is>
          <t>91.21.12-002</t>
        </is>
      </c>
      <c r="C37" s="197" t="inlineStr">
        <is>
          <t>Ножницы листовые кривошипные гильотинные</t>
        </is>
      </c>
      <c r="D37" s="201" t="inlineStr">
        <is>
          <t>маш.час</t>
        </is>
      </c>
      <c r="E37" s="198" t="n">
        <v>0.03</v>
      </c>
      <c r="F37" s="98" t="n">
        <v>70</v>
      </c>
      <c r="G37" s="188">
        <f>ROUND(F37*E37,2)</f>
        <v/>
      </c>
      <c r="H37" s="90">
        <f>G37/G45</f>
        <v/>
      </c>
      <c r="I37" s="188">
        <f>ROUND(F37*Прил.10!$D$11,2)</f>
        <v/>
      </c>
      <c r="J37" s="188">
        <f>ROUND(I37*E37,2)</f>
        <v/>
      </c>
    </row>
    <row r="38" hidden="1" outlineLevel="1" ht="31.15" customFormat="1" customHeight="1" s="168">
      <c r="A38" s="186" t="n">
        <v>21</v>
      </c>
      <c r="B38" s="192" t="inlineStr">
        <is>
          <t>91.21.16-014</t>
        </is>
      </c>
      <c r="C38" s="197" t="inlineStr">
        <is>
          <t>Прессы листогибочные кривошипные 1000 кН (100 тс)</t>
        </is>
      </c>
      <c r="D38" s="201" t="inlineStr">
        <is>
          <t>маш.час</t>
        </is>
      </c>
      <c r="E38" s="198" t="n">
        <v>0.03</v>
      </c>
      <c r="F38" s="98" t="n">
        <v>56.24</v>
      </c>
      <c r="G38" s="188">
        <f>ROUND(F38*E38,2)</f>
        <v/>
      </c>
      <c r="H38" s="90">
        <f>G38/G45</f>
        <v/>
      </c>
      <c r="I38" s="188">
        <f>ROUND(F38*Прил.10!$D$11,2)</f>
        <v/>
      </c>
      <c r="J38" s="188">
        <f>ROUND(I38*E38,2)</f>
        <v/>
      </c>
    </row>
    <row r="39" hidden="1" outlineLevel="1" ht="15.6" customFormat="1" customHeight="1" s="168">
      <c r="A39" s="186" t="n">
        <v>22</v>
      </c>
      <c r="B39" s="192" t="inlineStr">
        <is>
          <t>91.17.04-042</t>
        </is>
      </c>
      <c r="C39" s="197" t="inlineStr">
        <is>
          <t>Аппараты для газовой сварки и резки</t>
        </is>
      </c>
      <c r="D39" s="201" t="inlineStr">
        <is>
          <t>маш.час</t>
        </is>
      </c>
      <c r="E39" s="198" t="n">
        <v>0.95</v>
      </c>
      <c r="F39" s="98" t="n">
        <v>1.2</v>
      </c>
      <c r="G39" s="188">
        <f>ROUND(F39*E39,2)</f>
        <v/>
      </c>
      <c r="H39" s="90">
        <f>G39/G45</f>
        <v/>
      </c>
      <c r="I39" s="188">
        <f>ROUND(F39*Прил.10!$D$11,2)</f>
        <v/>
      </c>
      <c r="J39" s="188">
        <f>ROUND(I39*E39,2)</f>
        <v/>
      </c>
    </row>
    <row r="40" hidden="1" outlineLevel="1" ht="31.15" customFormat="1" customHeight="1" s="168">
      <c r="A40" s="186" t="n">
        <v>23</v>
      </c>
      <c r="B40" s="192" t="inlineStr">
        <is>
          <t>91.21.16-013</t>
        </is>
      </c>
      <c r="C40" s="197" t="inlineStr">
        <is>
          <t>Прессы кривошипные простого действия 25 кН (2,5 тс)</t>
        </is>
      </c>
      <c r="D40" s="201" t="inlineStr">
        <is>
          <t>маш.час</t>
        </is>
      </c>
      <c r="E40" s="198" t="n">
        <v>0.03</v>
      </c>
      <c r="F40" s="98" t="n">
        <v>16.92</v>
      </c>
      <c r="G40" s="188">
        <f>ROUND(F40*E40,2)</f>
        <v/>
      </c>
      <c r="H40" s="90">
        <f>G40/G45</f>
        <v/>
      </c>
      <c r="I40" s="188">
        <f>ROUND(F40*Прил.10!$D$11,2)</f>
        <v/>
      </c>
      <c r="J40" s="188">
        <f>ROUND(I40*E40,2)</f>
        <v/>
      </c>
    </row>
    <row r="41" hidden="1" outlineLevel="1" ht="46.9" customFormat="1" customHeight="1" s="168">
      <c r="A41" s="186" t="n">
        <v>24</v>
      </c>
      <c r="B41" s="192" t="inlineStr">
        <is>
          <t>91.06.06-048</t>
        </is>
      </c>
      <c r="C41" s="197" t="inlineStr">
        <is>
          <t>Подъемники одномачтовые, грузоподъемность до 500 кг, высота подъема 45 м</t>
        </is>
      </c>
      <c r="D41" s="201" t="inlineStr">
        <is>
          <t>маш.час</t>
        </is>
      </c>
      <c r="E41" s="198" t="n">
        <v>0.01</v>
      </c>
      <c r="F41" s="98" t="n">
        <v>31.26</v>
      </c>
      <c r="G41" s="188">
        <f>ROUND(F41*E41,2)</f>
        <v/>
      </c>
      <c r="H41" s="90">
        <f>G41/G45</f>
        <v/>
      </c>
      <c r="I41" s="188">
        <f>ROUND(F41*Прил.10!$D$11,2)</f>
        <v/>
      </c>
      <c r="J41" s="188">
        <f>ROUND(I41*E41,2)</f>
        <v/>
      </c>
    </row>
    <row r="42" hidden="1" outlineLevel="1" ht="46.9" customFormat="1" customHeight="1" s="168">
      <c r="A42" s="186" t="n">
        <v>25</v>
      </c>
      <c r="B42" s="192" t="inlineStr">
        <is>
          <t>91.21.01-012</t>
        </is>
      </c>
      <c r="C42" s="197" t="inlineStr">
        <is>
          <t>Агрегаты окрасочные высокого давления для окраски поверхностей конструкций, мощность 1 кВт</t>
        </is>
      </c>
      <c r="D42" s="201" t="inlineStr">
        <is>
          <t>маш.час</t>
        </is>
      </c>
      <c r="E42" s="198" t="n">
        <v>0.03</v>
      </c>
      <c r="F42" s="98" t="n">
        <v>6.82</v>
      </c>
      <c r="G42" s="188">
        <f>ROUND(F42*E42,2)</f>
        <v/>
      </c>
      <c r="H42" s="90">
        <f>G42/G45</f>
        <v/>
      </c>
      <c r="I42" s="188">
        <f>ROUND(F42*Прил.10!$D$11,2)</f>
        <v/>
      </c>
      <c r="J42" s="188">
        <f>ROUND(I42*E42,2)</f>
        <v/>
      </c>
    </row>
    <row r="43" hidden="1" outlineLevel="1" ht="15.6" customFormat="1" customHeight="1" s="168">
      <c r="A43" s="186" t="n">
        <v>26</v>
      </c>
      <c r="B43" s="192" t="inlineStr">
        <is>
          <t>91.21.19-031</t>
        </is>
      </c>
      <c r="C43" s="197" t="inlineStr">
        <is>
          <t>Станки сверлильные</t>
        </is>
      </c>
      <c r="D43" s="201" t="inlineStr">
        <is>
          <t>маш.час</t>
        </is>
      </c>
      <c r="E43" s="198" t="n">
        <v>0.03</v>
      </c>
      <c r="F43" s="98" t="n">
        <v>2.36</v>
      </c>
      <c r="G43" s="188">
        <f>ROUND(F43*E43,2)</f>
        <v/>
      </c>
      <c r="H43" s="90">
        <f>G43/G45</f>
        <v/>
      </c>
      <c r="I43" s="188">
        <f>ROUND(F43*Прил.10!$D$11,2)</f>
        <v/>
      </c>
      <c r="J43" s="188">
        <f>ROUND(I43*E43,2)</f>
        <v/>
      </c>
    </row>
    <row r="44" collapsed="1" ht="15.6" customFormat="1" customHeight="1" s="168">
      <c r="A44" s="186" t="n"/>
      <c r="B44" s="186" t="inlineStr">
        <is>
          <t>Итого прочие Машины и механизмы</t>
        </is>
      </c>
      <c r="C44" s="205" t="n"/>
      <c r="D44" s="205" t="n"/>
      <c r="E44" s="205" t="n"/>
      <c r="F44" s="206" t="n"/>
      <c r="G44" s="188">
        <f>SUM(G26:G43)</f>
        <v/>
      </c>
      <c r="H44" s="90">
        <f>SUM(H26:H43)</f>
        <v/>
      </c>
      <c r="I44" s="188" t="n"/>
      <c r="J44" s="188">
        <f>SUM(J26:J43)</f>
        <v/>
      </c>
    </row>
    <row r="45" ht="15.6" customFormat="1" customHeight="1" s="168">
      <c r="A45" s="186" t="n"/>
      <c r="B45" s="186" t="inlineStr">
        <is>
          <t>Итого по разделу "Машины и механизмы"</t>
        </is>
      </c>
      <c r="C45" s="205" t="n"/>
      <c r="D45" s="205" t="n"/>
      <c r="E45" s="205" t="n"/>
      <c r="F45" s="206" t="n"/>
      <c r="G45" s="188">
        <f>G25+G44</f>
        <v/>
      </c>
      <c r="H45" s="90">
        <f>H25+H44</f>
        <v/>
      </c>
      <c r="I45" s="188" t="n"/>
      <c r="J45" s="188">
        <f>J25+J44</f>
        <v/>
      </c>
    </row>
    <row r="46" ht="15.6" customFormat="1" customHeight="1" s="168">
      <c r="A46" s="186" t="n"/>
      <c r="B46" s="189" t="inlineStr">
        <is>
          <t>Оборудование</t>
        </is>
      </c>
      <c r="C46" s="205" t="n"/>
      <c r="D46" s="205" t="n"/>
      <c r="E46" s="205" t="n"/>
      <c r="F46" s="205" t="n"/>
      <c r="G46" s="205" t="n"/>
      <c r="H46" s="205" t="n"/>
      <c r="I46" s="205" t="n"/>
      <c r="J46" s="206" t="n"/>
    </row>
    <row r="47" ht="15.6" customFormat="1" customHeight="1" s="168">
      <c r="A47" s="186" t="n"/>
      <c r="B47" s="191" t="inlineStr">
        <is>
          <t>Основное оборудование</t>
        </is>
      </c>
      <c r="C47" s="205" t="n"/>
      <c r="D47" s="205" t="n"/>
      <c r="E47" s="205" t="n"/>
      <c r="F47" s="205" t="n"/>
      <c r="G47" s="205" t="n"/>
      <c r="H47" s="205" t="n"/>
      <c r="I47" s="205" t="n"/>
      <c r="J47" s="206" t="n"/>
    </row>
    <row r="48" ht="32.25" customFormat="1" customHeight="1" s="168">
      <c r="A48" s="185" t="n">
        <v>27</v>
      </c>
      <c r="B48" s="192" t="inlineStr">
        <is>
          <t>Прайс из СД ОП</t>
        </is>
      </c>
      <c r="C48" s="197" t="inlineStr">
        <is>
          <t>Прибор приемно-контрольный пожарный адресный ППКП-01Ф-20.18</t>
        </is>
      </c>
      <c r="D48" s="201" t="inlineStr">
        <is>
          <t>шт</t>
        </is>
      </c>
      <c r="E48" s="198" t="n">
        <v>1</v>
      </c>
      <c r="F48" s="98" t="n">
        <v>517192.62</v>
      </c>
      <c r="G48" s="188">
        <f>ROUND(F48*E48,2)</f>
        <v/>
      </c>
      <c r="H48" s="90">
        <f>G48/$G$82</f>
        <v/>
      </c>
      <c r="I48" s="188">
        <f>ROUND(F48*Прил.10!$D$13,2)</f>
        <v/>
      </c>
      <c r="J48" s="188">
        <f>ROUND(I48*E48,2)</f>
        <v/>
      </c>
    </row>
    <row r="49" ht="15.6" customFormat="1" customHeight="1" s="168">
      <c r="A49" s="185" t="n">
        <v>28</v>
      </c>
      <c r="B49" s="192" t="inlineStr">
        <is>
          <t>Прайс из СД ОП</t>
        </is>
      </c>
      <c r="C49" s="197" t="inlineStr">
        <is>
          <t>Модуль процессора МП  еф5.105.094</t>
        </is>
      </c>
      <c r="D49" s="201" t="inlineStr">
        <is>
          <t>шт</t>
        </is>
      </c>
      <c r="E49" s="198" t="n">
        <v>1</v>
      </c>
      <c r="F49" s="98" t="n">
        <v>269491.95</v>
      </c>
      <c r="G49" s="188">
        <f>ROUND(F49*E49,2)</f>
        <v/>
      </c>
      <c r="H49" s="90">
        <f>G49/$G$82</f>
        <v/>
      </c>
      <c r="I49" s="188">
        <f>ROUND(F49*Прил.10!$D$13,2)</f>
        <v/>
      </c>
      <c r="J49" s="188">
        <f>ROUND(I49*E49,2)</f>
        <v/>
      </c>
    </row>
    <row r="50" ht="15.6" customFormat="1" customHeight="1" s="168">
      <c r="A50" s="185" t="n">
        <v>29</v>
      </c>
      <c r="B50" s="192" t="inlineStr">
        <is>
          <t>Прайс из СД ОП</t>
        </is>
      </c>
      <c r="C50" s="197" t="inlineStr">
        <is>
          <t>Пульт управления ПУ еф5.104.158</t>
        </is>
      </c>
      <c r="D50" s="201" t="inlineStr">
        <is>
          <t>шт</t>
        </is>
      </c>
      <c r="E50" s="198" t="n">
        <v>1</v>
      </c>
      <c r="F50" s="98" t="n">
        <v>241103.31</v>
      </c>
      <c r="G50" s="188">
        <f>ROUND(F50*E50,2)</f>
        <v/>
      </c>
      <c r="H50" s="90">
        <f>G50/$G$82</f>
        <v/>
      </c>
      <c r="I50" s="188">
        <f>ROUND(F50*Прил.10!$D$13,2)</f>
        <v/>
      </c>
      <c r="J50" s="188">
        <f>ROUND(I50*E50,2)</f>
        <v/>
      </c>
    </row>
    <row r="51" ht="31.15" customFormat="1" customHeight="1" s="168">
      <c r="A51" s="185" t="n">
        <v>30</v>
      </c>
      <c r="B51" s="192" t="inlineStr">
        <is>
          <t>Прайс из СД ОП</t>
        </is>
      </c>
      <c r="C51" s="197" t="inlineStr">
        <is>
          <t>Модуль управления пуском МУП еф5.104.164</t>
        </is>
      </c>
      <c r="D51" s="201" t="inlineStr">
        <is>
          <t>шт</t>
        </is>
      </c>
      <c r="E51" s="198" t="n">
        <v>1</v>
      </c>
      <c r="F51" s="98" t="n">
        <v>197320.88</v>
      </c>
      <c r="G51" s="188">
        <f>ROUND(F51*E51,2)</f>
        <v/>
      </c>
      <c r="H51" s="90">
        <f>G51/$G$82</f>
        <v/>
      </c>
      <c r="I51" s="188">
        <f>ROUND(F51*Прил.10!$D$13,2)</f>
        <v/>
      </c>
      <c r="J51" s="188">
        <f>ROUND(I51*E51,2)</f>
        <v/>
      </c>
    </row>
    <row r="52" ht="31.15" customFormat="1" customHeight="1" s="168">
      <c r="A52" s="185" t="n">
        <v>31</v>
      </c>
      <c r="B52" s="192" t="inlineStr">
        <is>
          <t>Прайс из СД ОП</t>
        </is>
      </c>
      <c r="C52" s="197" t="inlineStr">
        <is>
          <t>Модуль адресного шлейфа МАШ еф5.104.196</t>
        </is>
      </c>
      <c r="D52" s="201" t="inlineStr">
        <is>
          <t>шт</t>
        </is>
      </c>
      <c r="E52" s="198" t="n">
        <v>1</v>
      </c>
      <c r="F52" s="98" t="n">
        <v>196921.03</v>
      </c>
      <c r="G52" s="188">
        <f>ROUND(F52*E52,2)</f>
        <v/>
      </c>
      <c r="H52" s="90">
        <f>G52/$G$82</f>
        <v/>
      </c>
      <c r="I52" s="188">
        <f>ROUND(F52*Прил.10!$D$13,2)</f>
        <v/>
      </c>
      <c r="J52" s="188">
        <f>ROUND(I52*E52,2)</f>
        <v/>
      </c>
    </row>
    <row r="53" ht="31.15" customFormat="1" customHeight="1" s="168">
      <c r="A53" s="185" t="n">
        <v>32</v>
      </c>
      <c r="B53" s="192" t="inlineStr">
        <is>
          <t>Прайс из СД ОП</t>
        </is>
      </c>
      <c r="C53" s="197" t="inlineStr">
        <is>
          <t>Модуль электронных ключей МЭК еф5.104.163</t>
        </is>
      </c>
      <c r="D53" s="201" t="inlineStr">
        <is>
          <t>шт</t>
        </is>
      </c>
      <c r="E53" s="198" t="n">
        <v>1</v>
      </c>
      <c r="F53" s="98" t="n">
        <v>175729.54</v>
      </c>
      <c r="G53" s="188">
        <f>ROUND(F53*E53,2)</f>
        <v/>
      </c>
      <c r="H53" s="90">
        <f>G53/$G$82</f>
        <v/>
      </c>
      <c r="I53" s="188">
        <f>ROUND(F53*Прил.10!$D$13,2)</f>
        <v/>
      </c>
      <c r="J53" s="188">
        <f>ROUND(I53*E53,2)</f>
        <v/>
      </c>
    </row>
    <row r="54" ht="31.15" customFormat="1" customHeight="1" s="168">
      <c r="A54" s="185" t="n">
        <v>33</v>
      </c>
      <c r="B54" s="192" t="inlineStr">
        <is>
          <t>Прайс из СД ОП</t>
        </is>
      </c>
      <c r="C54" s="197" t="inlineStr">
        <is>
          <t>Модуль дискретных сигналов МДС еф5.104.156</t>
        </is>
      </c>
      <c r="D54" s="201" t="inlineStr">
        <is>
          <t>шт</t>
        </is>
      </c>
      <c r="E54" s="198" t="n">
        <v>1</v>
      </c>
      <c r="F54" s="98" t="n">
        <v>170731.54</v>
      </c>
      <c r="G54" s="188">
        <f>ROUND(F54*E54,2)</f>
        <v/>
      </c>
      <c r="H54" s="90">
        <f>G54/$G$82</f>
        <v/>
      </c>
      <c r="I54" s="188">
        <f>ROUND(F54*Прил.10!$D$13,2)</f>
        <v/>
      </c>
      <c r="J54" s="188">
        <f>ROUND(I54*E54,2)</f>
        <v/>
      </c>
    </row>
    <row r="55" ht="31.15" customFormat="1" customHeight="1" s="168">
      <c r="A55" s="185" t="n">
        <v>34</v>
      </c>
      <c r="B55" s="192" t="inlineStr">
        <is>
          <t>Прайс из СД ОП</t>
        </is>
      </c>
      <c r="C55" s="197" t="inlineStr">
        <is>
          <t>Модуль аналоговых сигналов МАС еф5.104.162</t>
        </is>
      </c>
      <c r="D55" s="201" t="inlineStr">
        <is>
          <t>шт</t>
        </is>
      </c>
      <c r="E55" s="198" t="n">
        <v>1</v>
      </c>
      <c r="F55" s="98" t="n">
        <v>166933.06</v>
      </c>
      <c r="G55" s="188">
        <f>ROUND(F55*E55,2)</f>
        <v/>
      </c>
      <c r="H55" s="90">
        <f>G55/$G$82</f>
        <v/>
      </c>
      <c r="I55" s="188">
        <f>ROUND(F55*Прил.10!$D$13,2)</f>
        <v/>
      </c>
      <c r="J55" s="188">
        <f>ROUND(I55*E55,2)</f>
        <v/>
      </c>
    </row>
    <row r="56" ht="31.15" customFormat="1" customHeight="1" s="168">
      <c r="A56" s="185" t="n">
        <v>35</v>
      </c>
      <c r="B56" s="192" t="inlineStr">
        <is>
          <t>Прайс из СД ОП</t>
        </is>
      </c>
      <c r="C56" s="197" t="inlineStr">
        <is>
          <t>Модуль выходных ключей МВК2.1 еф5.104.185-01</t>
        </is>
      </c>
      <c r="D56" s="201" t="inlineStr">
        <is>
          <t>шт</t>
        </is>
      </c>
      <c r="E56" s="198" t="n">
        <v>1</v>
      </c>
      <c r="F56" s="98" t="n">
        <v>153538.44</v>
      </c>
      <c r="G56" s="188">
        <f>ROUND(F56*E56,2)</f>
        <v/>
      </c>
      <c r="H56" s="90">
        <f>G56/$G$82</f>
        <v/>
      </c>
      <c r="I56" s="188">
        <f>ROUND(F56*Прил.10!$D$13,2)</f>
        <v/>
      </c>
      <c r="J56" s="188">
        <f>ROUND(I56*E56,2)</f>
        <v/>
      </c>
    </row>
    <row r="57" ht="15.6" customFormat="1" customHeight="1" s="168">
      <c r="A57" s="185" t="n"/>
      <c r="B57" s="192" t="n"/>
      <c r="C57" s="197" t="inlineStr">
        <is>
          <t>Итого основное оборудование</t>
        </is>
      </c>
      <c r="D57" s="201" t="n"/>
      <c r="E57" s="198" t="n"/>
      <c r="F57" s="98" t="n"/>
      <c r="G57" s="98">
        <f>SUM(G48:G56)</f>
        <v/>
      </c>
      <c r="H57" s="90">
        <f>SUM(H48:H56)</f>
        <v/>
      </c>
      <c r="I57" s="188" t="n"/>
      <c r="J57" s="188">
        <f>SUM(J48:J56)</f>
        <v/>
      </c>
    </row>
    <row r="58" hidden="1" outlineLevel="1" ht="46.9" customFormat="1" customHeight="1" s="168">
      <c r="A58" s="185" t="n">
        <v>36</v>
      </c>
      <c r="B58" s="192" t="inlineStr">
        <is>
          <t>Прайс из СД ОП</t>
        </is>
      </c>
      <c r="C58" s="197" t="inlineStr">
        <is>
          <t>Модуль газового пожаротушения МГПТ-65-100-50-Э-01-А еф5.887.004 ТУ</t>
        </is>
      </c>
      <c r="D58" s="201" t="inlineStr">
        <is>
          <t>шт</t>
        </is>
      </c>
      <c r="E58" s="198" t="n">
        <v>6</v>
      </c>
      <c r="F58" s="98" t="n">
        <v>11186.47</v>
      </c>
      <c r="G58" s="188">
        <f>ROUND(F58*E58,2)</f>
        <v/>
      </c>
      <c r="H58" s="90">
        <f>G58/$G$82</f>
        <v/>
      </c>
      <c r="I58" s="188">
        <f>ROUND(F58*Прил.10!$D$13,2)</f>
        <v/>
      </c>
      <c r="J58" s="188">
        <f>ROUND(I58*E58,2)</f>
        <v/>
      </c>
    </row>
    <row r="59" hidden="1" outlineLevel="1" ht="46.9" customFormat="1" customHeight="1" s="168">
      <c r="A59" s="185" t="n">
        <v>37</v>
      </c>
      <c r="B59" s="192" t="inlineStr">
        <is>
          <t>Прайс из СД ОП</t>
        </is>
      </c>
      <c r="C59" s="197" t="inlineStr">
        <is>
          <t>Извещатель пожарный дымовой адресно-аналоговый ИП212-86 (R2251EM)</t>
        </is>
      </c>
      <c r="D59" s="201" t="inlineStr">
        <is>
          <t>шт</t>
        </is>
      </c>
      <c r="E59" s="198" t="n">
        <v>32</v>
      </c>
      <c r="F59" s="98" t="n">
        <v>1852.42</v>
      </c>
      <c r="G59" s="188">
        <f>ROUND(F59*E59,2)</f>
        <v/>
      </c>
      <c r="H59" s="90">
        <f>G59/$G$82</f>
        <v/>
      </c>
      <c r="I59" s="188">
        <f>ROUND(F59*Прил.10!$D$13,2)</f>
        <v/>
      </c>
      <c r="J59" s="188">
        <f>ROUND(I59*E59,2)</f>
        <v/>
      </c>
    </row>
    <row r="60" hidden="1" outlineLevel="1" ht="15.6" customFormat="1" customHeight="1" s="168">
      <c r="A60" s="185" t="n">
        <v>38</v>
      </c>
      <c r="B60" s="192" t="inlineStr">
        <is>
          <t>Прайс из СД ОП</t>
        </is>
      </c>
      <c r="C60" s="197" t="inlineStr">
        <is>
          <t>Источник питания еф5.087.044</t>
        </is>
      </c>
      <c r="D60" s="201" t="inlineStr">
        <is>
          <t>шт</t>
        </is>
      </c>
      <c r="E60" s="198" t="n">
        <v>1</v>
      </c>
      <c r="F60" s="98" t="n">
        <v>46981.17</v>
      </c>
      <c r="G60" s="188">
        <f>ROUND(F60*E60,2)</f>
        <v/>
      </c>
      <c r="H60" s="90">
        <f>G60/$G$82</f>
        <v/>
      </c>
      <c r="I60" s="188">
        <f>ROUND(F60*Прил.10!$D$13,2)</f>
        <v/>
      </c>
      <c r="J60" s="188">
        <f>ROUND(I60*E60,2)</f>
        <v/>
      </c>
    </row>
    <row r="61" hidden="1" outlineLevel="1" ht="31.15" customFormat="1" customHeight="1" s="168">
      <c r="A61" s="185" t="n">
        <v>39</v>
      </c>
      <c r="B61" s="192" t="inlineStr">
        <is>
          <t>Прайс из СД ОП</t>
        </is>
      </c>
      <c r="C61" s="197" t="inlineStr">
        <is>
          <t>Модуль управления одноканальный М201Е240</t>
        </is>
      </c>
      <c r="D61" s="201" t="inlineStr">
        <is>
          <t>шт</t>
        </is>
      </c>
      <c r="E61" s="198" t="n">
        <v>5</v>
      </c>
      <c r="F61" s="98" t="n">
        <v>7426.12</v>
      </c>
      <c r="G61" s="188">
        <f>ROUND(F61*E61,2)</f>
        <v/>
      </c>
      <c r="H61" s="90">
        <f>G61/$G$82</f>
        <v/>
      </c>
      <c r="I61" s="188">
        <f>ROUND(F61*Прил.10!$D$13,2)</f>
        <v/>
      </c>
      <c r="J61" s="188">
        <f>ROUND(I61*E61,2)</f>
        <v/>
      </c>
    </row>
    <row r="62" hidden="1" outlineLevel="1" ht="31.15" customFormat="1" customHeight="1" s="168">
      <c r="A62" s="185" t="n">
        <v>40</v>
      </c>
      <c r="B62" s="192" t="inlineStr">
        <is>
          <t>Прайс из СД ОП</t>
        </is>
      </c>
      <c r="C62" s="197" t="inlineStr">
        <is>
          <t>Устройство для опрессовки и продувки УОП-01Ф еф5.993.008</t>
        </is>
      </c>
      <c r="D62" s="201" t="inlineStr">
        <is>
          <t>шт</t>
        </is>
      </c>
      <c r="E62" s="198" t="n">
        <v>1</v>
      </c>
      <c r="F62" s="98" t="n">
        <v>20158.17</v>
      </c>
      <c r="G62" s="188">
        <f>ROUND(F62*E62,2)</f>
        <v/>
      </c>
      <c r="H62" s="90">
        <f>G62/$G$82</f>
        <v/>
      </c>
      <c r="I62" s="188">
        <f>ROUND(F62*Прил.10!$D$13,2)</f>
        <v/>
      </c>
      <c r="J62" s="188">
        <f>ROUND(I62*E62,2)</f>
        <v/>
      </c>
    </row>
    <row r="63" hidden="1" outlineLevel="1" ht="15.6" customFormat="1" customHeight="1" s="168">
      <c r="A63" s="185" t="n">
        <v>41</v>
      </c>
      <c r="B63" s="192" t="inlineStr">
        <is>
          <t>Прайс из СД ОП</t>
        </is>
      </c>
      <c r="C63" s="197" t="inlineStr">
        <is>
          <t>Блок оповещателей БОП-03Ф3</t>
        </is>
      </c>
      <c r="D63" s="201" t="inlineStr">
        <is>
          <t>шт</t>
        </is>
      </c>
      <c r="E63" s="198" t="n">
        <v>3</v>
      </c>
      <c r="F63" s="98" t="n">
        <v>4667.8</v>
      </c>
      <c r="G63" s="188">
        <f>ROUND(F63*E63,2)</f>
        <v/>
      </c>
      <c r="H63" s="90">
        <f>G63/$G$82</f>
        <v/>
      </c>
      <c r="I63" s="188">
        <f>ROUND(F63*Прил.10!$D$13,2)</f>
        <v/>
      </c>
      <c r="J63" s="188">
        <f>ROUND(I63*E63,2)</f>
        <v/>
      </c>
    </row>
    <row r="64" hidden="1" outlineLevel="1" ht="31.15" customFormat="1" customHeight="1" s="168">
      <c r="A64" s="185" t="n">
        <v>42</v>
      </c>
      <c r="B64" s="192" t="inlineStr">
        <is>
          <t>Прайс из СД ОП</t>
        </is>
      </c>
      <c r="C64" s="197" t="inlineStr">
        <is>
          <t>Модуль контроля одноканальный М210Е</t>
        </is>
      </c>
      <c r="D64" s="201" t="inlineStr">
        <is>
          <t>шт</t>
        </is>
      </c>
      <c r="E64" s="198" t="n">
        <v>1</v>
      </c>
      <c r="F64" s="98" t="n">
        <v>12243.46</v>
      </c>
      <c r="G64" s="188">
        <f>ROUND(F64*E64,2)</f>
        <v/>
      </c>
      <c r="H64" s="90">
        <f>G64/$G$82</f>
        <v/>
      </c>
      <c r="I64" s="188">
        <f>ROUND(F64*Прил.10!$D$13,2)</f>
        <v/>
      </c>
      <c r="J64" s="188">
        <f>ROUND(I64*E64,2)</f>
        <v/>
      </c>
    </row>
    <row r="65" hidden="1" outlineLevel="1" ht="15.6" customFormat="1" customHeight="1" s="168">
      <c r="A65" s="185" t="n">
        <v>43</v>
      </c>
      <c r="B65" s="192" t="inlineStr">
        <is>
          <t>Прайс из СД ОП</t>
        </is>
      </c>
      <c r="C65" s="197" t="inlineStr">
        <is>
          <t>Блок оповещателей БОП-03Ф2</t>
        </is>
      </c>
      <c r="D65" s="201" t="inlineStr">
        <is>
          <t>шт</t>
        </is>
      </c>
      <c r="E65" s="198" t="n">
        <v>2</v>
      </c>
      <c r="F65" s="98" t="n">
        <v>4667.8</v>
      </c>
      <c r="G65" s="188">
        <f>ROUND(F65*E65,2)</f>
        <v/>
      </c>
      <c r="H65" s="90">
        <f>G65/$G$82</f>
        <v/>
      </c>
      <c r="I65" s="188">
        <f>ROUND(F65*Прил.10!$D$13,2)</f>
        <v/>
      </c>
      <c r="J65" s="188">
        <f>ROUND(I65*E65,2)</f>
        <v/>
      </c>
    </row>
    <row r="66" hidden="1" outlineLevel="1" ht="15.6" customFormat="1" customHeight="1" s="168">
      <c r="A66" s="185" t="n">
        <v>44</v>
      </c>
      <c r="B66" s="192" t="inlineStr">
        <is>
          <t>Прайс из СД ОП</t>
        </is>
      </c>
      <c r="C66" s="197" t="inlineStr">
        <is>
          <t>Блок оповещателей БОП-03Ф4</t>
        </is>
      </c>
      <c r="D66" s="201" t="inlineStr">
        <is>
          <t>шт</t>
        </is>
      </c>
      <c r="E66" s="198" t="n">
        <v>2</v>
      </c>
      <c r="F66" s="98" t="n">
        <v>4667.8</v>
      </c>
      <c r="G66" s="188">
        <f>ROUND(F66*E66,2)</f>
        <v/>
      </c>
      <c r="H66" s="90">
        <f>G66/$G$82</f>
        <v/>
      </c>
      <c r="I66" s="188">
        <f>ROUND(F66*Прил.10!$D$13,2)</f>
        <v/>
      </c>
      <c r="J66" s="188">
        <f>ROUND(I66*E66,2)</f>
        <v/>
      </c>
    </row>
    <row r="67" hidden="1" outlineLevel="1" ht="46.9" customFormat="1" customHeight="1" s="168">
      <c r="A67" s="185" t="n">
        <v>45</v>
      </c>
      <c r="B67" s="192" t="inlineStr">
        <is>
          <t>Прайс из СД ОП</t>
        </is>
      </c>
      <c r="C67" s="197" t="inlineStr">
        <is>
          <t>Устройство дистанционного пуска с защитной крышкой под пломбу МСР5А-RP01FG-01 PS200</t>
        </is>
      </c>
      <c r="D67" s="201" t="inlineStr">
        <is>
          <t>шт</t>
        </is>
      </c>
      <c r="E67" s="198" t="n">
        <v>1</v>
      </c>
      <c r="F67" s="98" t="n">
        <v>8642.34</v>
      </c>
      <c r="G67" s="188">
        <f>ROUND(F67*E67,2)</f>
        <v/>
      </c>
      <c r="H67" s="90">
        <f>G67/$G$82</f>
        <v/>
      </c>
      <c r="I67" s="188">
        <f>ROUND(F67*Прил.10!$D$13,2)</f>
        <v/>
      </c>
      <c r="J67" s="188">
        <f>ROUND(I67*E67,2)</f>
        <v/>
      </c>
    </row>
    <row r="68" hidden="1" outlineLevel="1" ht="31.15" customFormat="1" customHeight="1" s="168">
      <c r="A68" s="185" t="n">
        <v>46</v>
      </c>
      <c r="B68" s="192" t="inlineStr">
        <is>
          <t>Прайс из СД ОП</t>
        </is>
      </c>
      <c r="C68" s="197" t="inlineStr">
        <is>
          <t>Весы товарные ТВ-М-300.2. исполнение А3</t>
        </is>
      </c>
      <c r="D68" s="201" t="inlineStr">
        <is>
          <t>ШТ</t>
        </is>
      </c>
      <c r="E68" s="198" t="n">
        <v>1</v>
      </c>
      <c r="F68" s="98" t="n">
        <v>6422.43</v>
      </c>
      <c r="G68" s="188">
        <f>ROUND(F68*E68,2)</f>
        <v/>
      </c>
      <c r="H68" s="90">
        <f>G68/$G$82</f>
        <v/>
      </c>
      <c r="I68" s="188">
        <f>ROUND(F68*Прил.10!$D$13,2)</f>
        <v/>
      </c>
      <c r="J68" s="188">
        <f>ROUND(I68*E68,2)</f>
        <v/>
      </c>
    </row>
    <row r="69" hidden="1" outlineLevel="1" ht="15.6" customFormat="1" customHeight="1" s="168">
      <c r="A69" s="185" t="n">
        <v>47</v>
      </c>
      <c r="B69" s="192" t="inlineStr">
        <is>
          <t>Прайс из СД ОП</t>
        </is>
      </c>
      <c r="C69" s="197" t="inlineStr">
        <is>
          <t>Электропуск ЭП-1</t>
        </is>
      </c>
      <c r="D69" s="201" t="inlineStr">
        <is>
          <t>шт</t>
        </is>
      </c>
      <c r="E69" s="198" t="n">
        <v>3</v>
      </c>
      <c r="F69" s="98" t="n">
        <v>851.24</v>
      </c>
      <c r="G69" s="188">
        <f>ROUND(F69*E69,2)</f>
        <v/>
      </c>
      <c r="H69" s="90">
        <f>G69/$G$82</f>
        <v/>
      </c>
      <c r="I69" s="188">
        <f>ROUND(F69*Прил.10!$D$13,2)</f>
        <v/>
      </c>
      <c r="J69" s="188">
        <f>ROUND(I69*E69,2)</f>
        <v/>
      </c>
    </row>
    <row r="70" hidden="1" outlineLevel="1" ht="46.9" customFormat="1" customHeight="1" s="168">
      <c r="A70" s="185" t="n">
        <v>48</v>
      </c>
      <c r="B70" s="192" t="inlineStr">
        <is>
          <t>62.1.02.19-0012</t>
        </is>
      </c>
      <c r="C70" s="197" t="inlineStr">
        <is>
          <t>Щиты автоматического переключения на резерв ЩАП-23, трехфазные на ток 25 А</t>
        </is>
      </c>
      <c r="D70" s="201" t="inlineStr">
        <is>
          <t>шт</t>
        </is>
      </c>
      <c r="E70" s="198" t="n">
        <v>1</v>
      </c>
      <c r="F70" s="98" t="n">
        <v>2412.38</v>
      </c>
      <c r="G70" s="188">
        <f>ROUND(F70*E70,2)</f>
        <v/>
      </c>
      <c r="H70" s="90">
        <f>G70/$G$82</f>
        <v/>
      </c>
      <c r="I70" s="188">
        <f>ROUND(F70*Прил.10!$D$13,2)</f>
        <v/>
      </c>
      <c r="J70" s="188">
        <f>ROUND(I70*E70,2)</f>
        <v/>
      </c>
    </row>
    <row r="71" hidden="1" outlineLevel="1" ht="31.15" customFormat="1" customHeight="1" s="168">
      <c r="A71" s="185" t="n">
        <v>49</v>
      </c>
      <c r="B71" s="192" t="inlineStr">
        <is>
          <t>Прайс из СД ОП</t>
        </is>
      </c>
      <c r="C71" s="197" t="inlineStr">
        <is>
          <t>Модуль контроля одноканальный М210Е</t>
        </is>
      </c>
      <c r="D71" s="201" t="inlineStr">
        <is>
          <t>шт</t>
        </is>
      </c>
      <c r="E71" s="198" t="n">
        <v>1</v>
      </c>
      <c r="F71" s="98" t="n">
        <v>1691.09</v>
      </c>
      <c r="G71" s="188">
        <f>ROUND(F71*E71,2)</f>
        <v/>
      </c>
      <c r="H71" s="90">
        <f>G71/$G$82</f>
        <v/>
      </c>
      <c r="I71" s="188">
        <f>ROUND(F71*Прил.10!$D$13,2)</f>
        <v/>
      </c>
      <c r="J71" s="188">
        <f>ROUND(I71*E71,2)</f>
        <v/>
      </c>
    </row>
    <row r="72" hidden="1" outlineLevel="1" ht="46.9" customFormat="1" customHeight="1" s="168">
      <c r="A72" s="185" t="n">
        <v>50</v>
      </c>
      <c r="B72" s="192" t="inlineStr">
        <is>
          <t>Прайс из СД ОП</t>
        </is>
      </c>
      <c r="C72" s="197" t="inlineStr">
        <is>
          <t>Устройство дистанционного пуска с защитной крышкой под пломбу МСР5А-RP01FG-01 PS200</t>
        </is>
      </c>
      <c r="D72" s="201" t="inlineStr">
        <is>
          <t>шт</t>
        </is>
      </c>
      <c r="E72" s="198" t="n">
        <v>1</v>
      </c>
      <c r="F72" s="98" t="n">
        <v>1193.7</v>
      </c>
      <c r="G72" s="188">
        <f>ROUND(F72*E72,2)</f>
        <v/>
      </c>
      <c r="H72" s="90">
        <f>G72/$G$82</f>
        <v/>
      </c>
      <c r="I72" s="188">
        <f>ROUND(F72*Прил.10!$D$13,2)</f>
        <v/>
      </c>
      <c r="J72" s="188">
        <f>ROUND(I72*E72,2)</f>
        <v/>
      </c>
    </row>
    <row r="73" hidden="1" outlineLevel="1" ht="31.15" customFormat="1" customHeight="1" s="168">
      <c r="A73" s="185" t="n">
        <v>51</v>
      </c>
      <c r="B73" s="192" t="inlineStr">
        <is>
          <t>Прайс из СД ОП</t>
        </is>
      </c>
      <c r="C73" s="197" t="inlineStr">
        <is>
          <t>Автоматизированное рабочее место АРМ-01Ф</t>
        </is>
      </c>
      <c r="D73" s="201" t="inlineStr">
        <is>
          <t>шт</t>
        </is>
      </c>
      <c r="E73" s="198" t="n">
        <v>1</v>
      </c>
      <c r="F73" s="98" t="n">
        <v>1025.71</v>
      </c>
      <c r="G73" s="188">
        <f>ROUND(F73*E73,2)</f>
        <v/>
      </c>
      <c r="H73" s="90">
        <f>G73/$G$82</f>
        <v/>
      </c>
      <c r="I73" s="188">
        <f>ROUND(F73*Прил.10!$D$13,2)</f>
        <v/>
      </c>
      <c r="J73" s="188">
        <f>ROUND(I73*E73,2)</f>
        <v/>
      </c>
    </row>
    <row r="74" hidden="1" outlineLevel="1" ht="31.15" customFormat="1" customHeight="1" s="168">
      <c r="A74" s="185" t="n">
        <v>52</v>
      </c>
      <c r="B74" s="192" t="inlineStr">
        <is>
          <t>Прайс из СД ОП</t>
        </is>
      </c>
      <c r="C74" s="197" t="inlineStr">
        <is>
          <t>Модуль управления одноканальный м201е-240</t>
        </is>
      </c>
      <c r="D74" s="201" t="inlineStr">
        <is>
          <t>шт</t>
        </is>
      </c>
      <c r="E74" s="198" t="n">
        <v>1</v>
      </c>
      <c r="F74" s="98" t="n">
        <v>1025.71</v>
      </c>
      <c r="G74" s="188">
        <f>ROUND(F74*E74,2)</f>
        <v/>
      </c>
      <c r="H74" s="90">
        <f>G74/$G$82</f>
        <v/>
      </c>
      <c r="I74" s="188">
        <f>ROUND(F74*Прил.10!$D$13,2)</f>
        <v/>
      </c>
      <c r="J74" s="188">
        <f>ROUND(I74*E74,2)</f>
        <v/>
      </c>
    </row>
    <row r="75" hidden="1" outlineLevel="1" ht="15.6" customFormat="1" customHeight="1" s="168">
      <c r="A75" s="185" t="n">
        <v>53</v>
      </c>
      <c r="B75" s="192" t="inlineStr">
        <is>
          <t>Прайс из СД ОП</t>
        </is>
      </c>
      <c r="C75" s="197" t="inlineStr">
        <is>
          <t>Пневмопуск ПП-1</t>
        </is>
      </c>
      <c r="D75" s="201" t="inlineStr">
        <is>
          <t>шт</t>
        </is>
      </c>
      <c r="E75" s="198" t="n">
        <v>1</v>
      </c>
      <c r="F75" s="98" t="n">
        <v>851.24</v>
      </c>
      <c r="G75" s="188">
        <f>ROUND(F75*E75,2)</f>
        <v/>
      </c>
      <c r="H75" s="90">
        <f>G75/$G$82</f>
        <v/>
      </c>
      <c r="I75" s="188">
        <f>ROUND(F75*Прил.10!$D$13,2)</f>
        <v/>
      </c>
      <c r="J75" s="188">
        <f>ROUND(I75*E75,2)</f>
        <v/>
      </c>
    </row>
    <row r="76" hidden="1" outlineLevel="1" ht="46.9" customFormat="1" customHeight="1" s="168">
      <c r="A76" s="185" t="n">
        <v>54</v>
      </c>
      <c r="B76" s="192" t="inlineStr">
        <is>
          <t>Прайс из СД ОП</t>
        </is>
      </c>
      <c r="C76" s="197" t="inlineStr">
        <is>
          <t>Извещатель пожарный дымовой адресно-аналоговый ИП212-86 (R2251EM)</t>
        </is>
      </c>
      <c r="D76" s="201" t="inlineStr">
        <is>
          <t>шт</t>
        </is>
      </c>
      <c r="E76" s="198" t="n">
        <v>3</v>
      </c>
      <c r="F76" s="98" t="n">
        <v>255.86</v>
      </c>
      <c r="G76" s="188">
        <f>ROUND(F76*E76,2)</f>
        <v/>
      </c>
      <c r="H76" s="90">
        <f>G76/$G$82</f>
        <v/>
      </c>
      <c r="I76" s="188">
        <f>ROUND(F76*Прил.10!$D$13,2)</f>
        <v/>
      </c>
      <c r="J76" s="188">
        <f>ROUND(I76*E76,2)</f>
        <v/>
      </c>
    </row>
    <row r="77" hidden="1" outlineLevel="1" ht="46.9" customFormat="1" customHeight="1" s="168">
      <c r="A77" s="185" t="n">
        <v>55</v>
      </c>
      <c r="B77" s="192" t="inlineStr">
        <is>
          <t>Прайс из СД ОП</t>
        </is>
      </c>
      <c r="C77" s="197" t="inlineStr">
        <is>
          <t>Извещатель охранный магнитоконтактный ИО102-26-01 ПАШК 425119.008-01</t>
        </is>
      </c>
      <c r="D77" s="201" t="inlineStr">
        <is>
          <t>шт</t>
        </is>
      </c>
      <c r="E77" s="198" t="n">
        <v>2</v>
      </c>
      <c r="F77" s="98" t="n">
        <v>354.41</v>
      </c>
      <c r="G77" s="188">
        <f>ROUND(F77*E77,2)</f>
        <v/>
      </c>
      <c r="H77" s="90">
        <f>G77/$G$82</f>
        <v/>
      </c>
      <c r="I77" s="188">
        <f>ROUND(F77*Прил.10!$D$13,2)</f>
        <v/>
      </c>
      <c r="J77" s="188">
        <f>ROUND(I77*E77,2)</f>
        <v/>
      </c>
    </row>
    <row r="78" hidden="1" outlineLevel="1" ht="15.6" customFormat="1" customHeight="1" s="168">
      <c r="A78" s="185" t="n">
        <v>56</v>
      </c>
      <c r="B78" s="192" t="inlineStr">
        <is>
          <t>Прайс из СД ОП</t>
        </is>
      </c>
      <c r="C78" s="197" t="inlineStr">
        <is>
          <t>Сигнализатор давления СДУ-М</t>
        </is>
      </c>
      <c r="D78" s="201" t="inlineStr">
        <is>
          <t>шт</t>
        </is>
      </c>
      <c r="E78" s="198" t="n">
        <v>3</v>
      </c>
      <c r="F78" s="98" t="n">
        <v>218.34</v>
      </c>
      <c r="G78" s="188">
        <f>ROUND(F78*E78,2)</f>
        <v/>
      </c>
      <c r="H78" s="90">
        <f>G78/$G$82</f>
        <v/>
      </c>
      <c r="I78" s="188">
        <f>ROUND(F78*Прил.10!$D$13,2)</f>
        <v/>
      </c>
      <c r="J78" s="188">
        <f>ROUND(I78*E78,2)</f>
        <v/>
      </c>
    </row>
    <row r="79" hidden="1" outlineLevel="1" ht="15.6" customFormat="1" customHeight="1" s="168">
      <c r="A79" s="185" t="n">
        <v>57</v>
      </c>
      <c r="B79" s="192" t="inlineStr">
        <is>
          <t>Прайс из СД ОП</t>
        </is>
      </c>
      <c r="C79" s="197" t="inlineStr">
        <is>
          <t>Манометр ТМ-110Т.00</t>
        </is>
      </c>
      <c r="D79" s="201" t="inlineStr">
        <is>
          <t>шт</t>
        </is>
      </c>
      <c r="E79" s="198" t="n">
        <v>3</v>
      </c>
      <c r="F79" s="98" t="n">
        <v>93.36</v>
      </c>
      <c r="G79" s="188">
        <f>ROUND(F79*E79,2)</f>
        <v/>
      </c>
      <c r="H79" s="90">
        <f>G79/$G$82</f>
        <v/>
      </c>
      <c r="I79" s="188">
        <f>ROUND(F79*Прил.10!$D$13,2)</f>
        <v/>
      </c>
      <c r="J79" s="188">
        <f>ROUND(I79*E79,2)</f>
        <v/>
      </c>
    </row>
    <row r="80" hidden="1" outlineLevel="1" ht="31.15" customFormat="1" customHeight="1" s="168">
      <c r="A80" s="185" t="n">
        <v>58</v>
      </c>
      <c r="B80" s="192" t="inlineStr">
        <is>
          <t>Прайс из СД ОП</t>
        </is>
      </c>
      <c r="C80" s="197" t="inlineStr">
        <is>
          <t>Резистор С2-33Н-0.125-47кОМ ОЖО.467.093 ТУ</t>
        </is>
      </c>
      <c r="D80" s="201" t="inlineStr">
        <is>
          <t>ШТ</t>
        </is>
      </c>
      <c r="E80" s="198" t="n">
        <v>2</v>
      </c>
      <c r="F80" s="98" t="n">
        <v>0.6</v>
      </c>
      <c r="G80" s="188">
        <f>ROUND(F80*E80,2)</f>
        <v/>
      </c>
      <c r="H80" s="90">
        <f>G80/$G$82</f>
        <v/>
      </c>
      <c r="I80" s="188">
        <f>ROUND(F80*Прил.10!$D$13,2)</f>
        <v/>
      </c>
      <c r="J80" s="188">
        <f>ROUND(I80*E80,2)</f>
        <v/>
      </c>
    </row>
    <row r="81" collapsed="1" ht="15.6" customFormat="1" customHeight="1" s="168">
      <c r="A81" s="185" t="n"/>
      <c r="B81" s="192" t="n"/>
      <c r="C81" s="197" t="inlineStr">
        <is>
          <t>Итого прочее оборудование</t>
        </is>
      </c>
      <c r="D81" s="201" t="n"/>
      <c r="E81" s="198" t="n"/>
      <c r="F81" s="98" t="n"/>
      <c r="G81" s="98">
        <f>SUM(G58:G80)</f>
        <v/>
      </c>
      <c r="H81" s="90">
        <f>SUM(H58:H80)</f>
        <v/>
      </c>
      <c r="I81" s="188" t="n"/>
      <c r="J81" s="188" t="n">
        <v>1901883.6528</v>
      </c>
    </row>
    <row r="82" ht="15.6" customFormat="1" customHeight="1" s="168">
      <c r="A82" s="185" t="n"/>
      <c r="B82" s="191" t="n"/>
      <c r="C82" s="191" t="inlineStr">
        <is>
          <t>Итого по разделу «Оборудование»</t>
        </is>
      </c>
      <c r="D82" s="191" t="n"/>
      <c r="E82" s="191" t="n"/>
      <c r="F82" s="194" t="n"/>
      <c r="G82" s="194">
        <f>G57+G81</f>
        <v/>
      </c>
      <c r="H82" s="95">
        <f>H57+H81</f>
        <v/>
      </c>
      <c r="I82" s="194" t="n"/>
      <c r="J82" s="194">
        <f>J57+J81</f>
        <v/>
      </c>
    </row>
    <row r="83" ht="15.6" customFormat="1" customHeight="1" s="168">
      <c r="A83" s="185" t="n"/>
      <c r="B83" s="191" t="n"/>
      <c r="C83" s="191" t="inlineStr">
        <is>
          <t>в том числе технологическое оборудование</t>
        </is>
      </c>
      <c r="D83" s="191" t="n"/>
      <c r="E83" s="191" t="n"/>
      <c r="F83" s="194" t="n"/>
      <c r="G83" s="194">
        <f>G82</f>
        <v/>
      </c>
      <c r="H83" s="95">
        <f>H82</f>
        <v/>
      </c>
      <c r="I83" s="194" t="n"/>
      <c r="J83" s="194">
        <f>J82</f>
        <v/>
      </c>
    </row>
    <row r="84" ht="15.6" customFormat="1" customHeight="1" s="168">
      <c r="A84" s="185" t="n"/>
      <c r="B84" s="184" t="inlineStr">
        <is>
          <t>Материалы</t>
        </is>
      </c>
      <c r="C84" s="205" t="n"/>
      <c r="D84" s="205" t="n"/>
      <c r="E84" s="205" t="n"/>
      <c r="F84" s="205" t="n"/>
      <c r="G84" s="205" t="n"/>
      <c r="H84" s="206" t="n"/>
      <c r="I84" s="188" t="n"/>
      <c r="J84" s="188" t="n"/>
    </row>
    <row r="85" ht="15.6" customFormat="1" customHeight="1" s="168">
      <c r="A85" s="185" t="n"/>
      <c r="B85" s="186" t="inlineStr">
        <is>
          <t>Основные Материалы</t>
        </is>
      </c>
      <c r="C85" s="205" t="n"/>
      <c r="D85" s="205" t="n"/>
      <c r="E85" s="205" t="n"/>
      <c r="F85" s="205" t="n"/>
      <c r="G85" s="205" t="n"/>
      <c r="H85" s="206" t="n"/>
      <c r="I85" s="188" t="n"/>
      <c r="J85" s="188" t="n"/>
    </row>
    <row r="86" ht="46.9" customFormat="1" customHeight="1" s="168">
      <c r="A86" s="186" t="n">
        <v>59</v>
      </c>
      <c r="B86" s="192" t="inlineStr">
        <is>
          <t>22.1.02.05-0011</t>
        </is>
      </c>
      <c r="C86" s="197" t="inlineStr">
        <is>
          <t>Базовое основание марки B401LI, база 2-х проводная со встроенным изолятором на 24 В</t>
        </is>
      </c>
      <c r="D86" s="201" t="inlineStr">
        <is>
          <t>шт</t>
        </is>
      </c>
      <c r="E86" s="198" t="n">
        <v>29</v>
      </c>
      <c r="F86" s="98">
        <f>1276.3/10</f>
        <v/>
      </c>
      <c r="G86" s="188">
        <f>ROUND(F86*E86,2)</f>
        <v/>
      </c>
      <c r="H86" s="90">
        <f>G86/$G$231</f>
        <v/>
      </c>
      <c r="I86" s="188">
        <f>ROUND(F86*Прил.10!$D$12,2)</f>
        <v/>
      </c>
      <c r="J86" s="188">
        <f>ROUND(I86*E86,2)</f>
        <v/>
      </c>
    </row>
    <row r="87" ht="31.15" customFormat="1" customHeight="1" s="168">
      <c r="A87" s="186" t="n">
        <v>60</v>
      </c>
      <c r="B87" s="192" t="inlineStr">
        <is>
          <t>Прайс из СД ОП</t>
        </is>
      </c>
      <c r="C87" s="197" t="inlineStr">
        <is>
          <t>Газовое огнетушащее вещество Хладон 125 ХП</t>
        </is>
      </c>
      <c r="D87" s="201" t="inlineStr">
        <is>
          <t>кг</t>
        </is>
      </c>
      <c r="E87" s="198" t="n">
        <v>350</v>
      </c>
      <c r="F87" s="98" t="n">
        <v>144.15</v>
      </c>
      <c r="G87" s="188">
        <f>ROUND(F87*E87,2)</f>
        <v/>
      </c>
      <c r="H87" s="90">
        <f>G87/$G$231</f>
        <v/>
      </c>
      <c r="I87" s="188">
        <f>ROUND(F87*Прил.10!$D$12,2)</f>
        <v/>
      </c>
      <c r="J87" s="188">
        <f>ROUND(I87*E87,2)</f>
        <v/>
      </c>
    </row>
    <row r="88" ht="109.15" customFormat="1" customHeight="1" s="168">
      <c r="A88" s="186" t="n">
        <v>61</v>
      </c>
      <c r="B88" s="192" t="inlineStr">
        <is>
          <t>21.1.08.03-0594</t>
        </is>
      </c>
      <c r="C88" s="197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19х1,5</t>
        </is>
      </c>
      <c r="D88" s="201" t="inlineStr">
        <is>
          <t>1000 м</t>
        </is>
      </c>
      <c r="E88" s="198" t="n">
        <v>0.27</v>
      </c>
      <c r="F88" s="98" t="n">
        <v>83256.13</v>
      </c>
      <c r="G88" s="188">
        <f>ROUND(F88*E88,2)</f>
        <v/>
      </c>
      <c r="H88" s="90">
        <f>G88/$G$231</f>
        <v/>
      </c>
      <c r="I88" s="188">
        <f>ROUND(F88*Прил.10!$D$12,2)</f>
        <v/>
      </c>
      <c r="J88" s="188">
        <f>ROUND(I88*E88,2)</f>
        <v/>
      </c>
    </row>
    <row r="89" ht="31.15" customFormat="1" customHeight="1" s="168">
      <c r="A89" s="186" t="n">
        <v>62</v>
      </c>
      <c r="B89" s="192" t="inlineStr">
        <is>
          <t>01.7.15.01-0033</t>
        </is>
      </c>
      <c r="C89" s="197" t="inlineStr">
        <is>
          <t>Анкер высокопрочный резьбовой, марка АВР-25/1.0</t>
        </is>
      </c>
      <c r="D89" s="201" t="inlineStr">
        <is>
          <t>шт</t>
        </is>
      </c>
      <c r="E89" s="198" t="n">
        <v>20</v>
      </c>
      <c r="F89" s="98" t="n">
        <v>862.45</v>
      </c>
      <c r="G89" s="188">
        <f>ROUND(F89*E89,2)</f>
        <v/>
      </c>
      <c r="H89" s="90">
        <f>G89/$G$231</f>
        <v/>
      </c>
      <c r="I89" s="188">
        <f>ROUND(F89*Прил.10!$D$12,2)</f>
        <v/>
      </c>
      <c r="J89" s="188">
        <f>ROUND(I89*E89,2)</f>
        <v/>
      </c>
    </row>
    <row r="90" ht="109.15" customFormat="1" customHeight="1" s="168">
      <c r="A90" s="186" t="n">
        <v>63</v>
      </c>
      <c r="B90" s="192" t="inlineStr">
        <is>
          <t>21.1.08.03-0586</t>
        </is>
      </c>
      <c r="C90" s="197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10х1,5</t>
        </is>
      </c>
      <c r="D90" s="201" t="inlineStr">
        <is>
          <t>1000 м</t>
        </is>
      </c>
      <c r="E90" s="198" t="n">
        <v>0.32</v>
      </c>
      <c r="F90" s="98" t="n">
        <v>50351.14</v>
      </c>
      <c r="G90" s="188">
        <f>ROUND(F90*E90,2)</f>
        <v/>
      </c>
      <c r="H90" s="90">
        <f>G90/$G$231</f>
        <v/>
      </c>
      <c r="I90" s="188">
        <f>ROUND(F90*Прил.10!$D$12,2)</f>
        <v/>
      </c>
      <c r="J90" s="188">
        <f>ROUND(I90*E90,2)</f>
        <v/>
      </c>
    </row>
    <row r="91" ht="15.6" customFormat="1" customHeight="1" s="168">
      <c r="A91" s="186" t="n">
        <v>64</v>
      </c>
      <c r="B91" s="192" t="inlineStr">
        <is>
          <t>20.2.05.04-0013</t>
        </is>
      </c>
      <c r="C91" s="197" t="inlineStr">
        <is>
          <t>Кабель-канал (короб) 20х12,5 мм</t>
        </is>
      </c>
      <c r="D91" s="201" t="inlineStr">
        <is>
          <t>м</t>
        </is>
      </c>
      <c r="E91" s="198" t="n">
        <v>500</v>
      </c>
      <c r="F91" s="98" t="n">
        <v>28.61</v>
      </c>
      <c r="G91" s="188">
        <f>ROUND(F91*E91,2)</f>
        <v/>
      </c>
      <c r="H91" s="90">
        <f>G91/$G$231</f>
        <v/>
      </c>
      <c r="I91" s="188">
        <f>ROUND(F91*Прил.10!$D$12,2)</f>
        <v/>
      </c>
      <c r="J91" s="188">
        <f>ROUND(I91*E91,2)</f>
        <v/>
      </c>
    </row>
    <row r="92" ht="31.15" customFormat="1" customHeight="1" s="168">
      <c r="A92" s="186" t="n">
        <v>65</v>
      </c>
      <c r="B92" s="192" t="inlineStr">
        <is>
          <t>Прайс из СД ОП</t>
        </is>
      </c>
      <c r="C92" s="197" t="inlineStr">
        <is>
          <t>Рукав высокого давления РВД-50-80-01 еф6.450.005</t>
        </is>
      </c>
      <c r="D92" s="201" t="inlineStr">
        <is>
          <t>шт</t>
        </is>
      </c>
      <c r="E92" s="198" t="n">
        <v>6</v>
      </c>
      <c r="F92" s="98" t="n">
        <v>1474.97</v>
      </c>
      <c r="G92" s="188">
        <f>ROUND(F92*E92,2)</f>
        <v/>
      </c>
      <c r="H92" s="90">
        <f>G92/$G$231</f>
        <v/>
      </c>
      <c r="I92" s="188">
        <f>ROUND(F92*Прил.10!$D$12,2)</f>
        <v/>
      </c>
      <c r="J92" s="188">
        <f>ROUND(I92*E92,2)</f>
        <v/>
      </c>
    </row>
    <row r="93" ht="62.45" customFormat="1" customHeight="1" s="168">
      <c r="A93" s="186" t="n">
        <v>66</v>
      </c>
      <c r="B93" s="192" t="inlineStr">
        <is>
          <t>22.1.01.01-0051</t>
        </is>
      </c>
      <c r="C93" s="197" t="inlineStr">
        <is>
          <t>Боксы кабельные междугородные, корпус из алюминия, пар проводов 30, трубок 2, плинтов 3, пар гнезд для высокочастотных кабелей 10</t>
        </is>
      </c>
      <c r="D93" s="201" t="inlineStr">
        <is>
          <t>шт</t>
        </is>
      </c>
      <c r="E93" s="198" t="n">
        <v>6</v>
      </c>
      <c r="F93" s="98" t="n">
        <v>1123.79</v>
      </c>
      <c r="G93" s="188">
        <f>ROUND(F93*E93,2)</f>
        <v/>
      </c>
      <c r="H93" s="90">
        <f>G93/$G$231</f>
        <v/>
      </c>
      <c r="I93" s="188">
        <f>ROUND(F93*Прил.10!$D$12,2)</f>
        <v/>
      </c>
      <c r="J93" s="188">
        <f>ROUND(I93*E93,2)</f>
        <v/>
      </c>
    </row>
    <row r="94" ht="140.45" customFormat="1" customHeight="1" s="168">
      <c r="A94" s="186" t="n">
        <v>67</v>
      </c>
      <c r="B94" s="192" t="inlineStr">
        <is>
          <t>21.1.08.01-0113</t>
        </is>
      </c>
      <c r="C94" s="197" t="inlineStr">
        <is>
          <t>Кабели парной скрутки для систем пожарной сигнализации с однопроволочными медными жилами, изоляцией и оболочкой из ПВХ, с экраном из алюмолавсановой ленты, не распространяющей горение, с низким дымо- и газовыделением, марки КПСВЭВнг-LS 1х2х1,0 прим.(1х2х1.5)</t>
        </is>
      </c>
      <c r="D94" s="201" t="inlineStr">
        <is>
          <t>1000 м</t>
        </is>
      </c>
      <c r="E94" s="198" t="n">
        <v>1.3</v>
      </c>
      <c r="F94" s="98" t="n">
        <v>4907.19</v>
      </c>
      <c r="G94" s="188">
        <f>ROUND(F94*E94,2)</f>
        <v/>
      </c>
      <c r="H94" s="90">
        <f>G94/$G$231</f>
        <v/>
      </c>
      <c r="I94" s="188">
        <f>ROUND(F94*Прил.10!$D$12,2)</f>
        <v/>
      </c>
      <c r="J94" s="188">
        <f>ROUND(I94*E94,2)</f>
        <v/>
      </c>
    </row>
    <row r="95" ht="46.9" customFormat="1" customHeight="1" s="168">
      <c r="A95" s="186" t="n">
        <v>68</v>
      </c>
      <c r="B95" s="192" t="inlineStr">
        <is>
          <t>22.1.02.05-0011</t>
        </is>
      </c>
      <c r="C95" s="197" t="inlineStr">
        <is>
          <t>Базовое основание марки B401LI, база 2-х проводная со встроенным изолятором на 24 В</t>
        </is>
      </c>
      <c r="D95" s="201" t="inlineStr">
        <is>
          <t>шт</t>
        </is>
      </c>
      <c r="E95" s="198" t="n">
        <v>29</v>
      </c>
      <c r="F95" s="98">
        <f>1276.3/10</f>
        <v/>
      </c>
      <c r="G95" s="188">
        <f>ROUND(F95*E95,2)</f>
        <v/>
      </c>
      <c r="H95" s="90">
        <f>G95/$G$231</f>
        <v/>
      </c>
      <c r="I95" s="188">
        <f>ROUND(F95*Прил.10!$D$12,2)</f>
        <v/>
      </c>
      <c r="J95" s="188">
        <f>ROUND(I95*E95,2)</f>
        <v/>
      </c>
    </row>
    <row r="96" ht="78" customFormat="1" customHeight="1" s="168">
      <c r="A96" s="186" t="n">
        <v>69</v>
      </c>
      <c r="B96" s="192" t="inlineStr">
        <is>
          <t>23.3.05.02-0073</t>
        </is>
      </c>
      <c r="C96" s="197" t="inlineStr">
        <is>
          <t>Трубы стальные бесшовные, холоднодеформированные из стали марок 10, 20, 30, 45 (ГОСТ 8734-75, 8733-74), наружным диаметром 45 мм, толщина стенки 3,0 мм</t>
        </is>
      </c>
      <c r="D96" s="201" t="inlineStr">
        <is>
          <t>м</t>
        </is>
      </c>
      <c r="E96" s="198" t="n">
        <v>124</v>
      </c>
      <c r="F96" s="98" t="n">
        <v>43.58</v>
      </c>
      <c r="G96" s="188">
        <f>ROUND(F96*E96,2)</f>
        <v/>
      </c>
      <c r="H96" s="90">
        <f>G96/$G$231</f>
        <v/>
      </c>
      <c r="I96" s="188">
        <f>ROUND(F96*Прил.10!$D$12,2)</f>
        <v/>
      </c>
      <c r="J96" s="188">
        <f>ROUND(I96*E96,2)</f>
        <v/>
      </c>
    </row>
    <row r="97" ht="31.15" customFormat="1" customHeight="1" s="168">
      <c r="A97" s="186" t="n">
        <v>70</v>
      </c>
      <c r="B97" s="192" t="inlineStr">
        <is>
          <t>Прайс из СД ОП</t>
        </is>
      </c>
      <c r="C97" s="197" t="inlineStr">
        <is>
          <t>Монтажный бокс для настенной установки М200Е-SMB</t>
        </is>
      </c>
      <c r="D97" s="201" t="inlineStr">
        <is>
          <t>шт</t>
        </is>
      </c>
      <c r="E97" s="198" t="n">
        <v>6</v>
      </c>
      <c r="F97" s="98" t="n">
        <v>771.05</v>
      </c>
      <c r="G97" s="188">
        <f>ROUND(F97*E97,2)</f>
        <v/>
      </c>
      <c r="H97" s="90">
        <f>G97/$G$231</f>
        <v/>
      </c>
      <c r="I97" s="188">
        <f>ROUND(F97*Прил.10!$D$12,2)</f>
        <v/>
      </c>
      <c r="J97" s="188">
        <f>ROUND(I97*E97,2)</f>
        <v/>
      </c>
    </row>
    <row r="98" ht="22.5" customFormat="1" customHeight="1" s="168">
      <c r="A98" s="186" t="n">
        <v>71</v>
      </c>
      <c r="B98" s="192" t="inlineStr">
        <is>
          <t>Прайс из СД ОП</t>
        </is>
      </c>
      <c r="C98" s="197" t="inlineStr">
        <is>
          <t>Ручное дозировочное устройство DSC</t>
        </is>
      </c>
      <c r="D98" s="201" t="inlineStr">
        <is>
          <t>ШТ</t>
        </is>
      </c>
      <c r="E98" s="198" t="n">
        <v>2</v>
      </c>
      <c r="F98" s="98" t="n">
        <v>1946.11</v>
      </c>
      <c r="G98" s="188">
        <f>ROUND(F98*E98,2)</f>
        <v/>
      </c>
      <c r="H98" s="90">
        <f>G98/$G$231</f>
        <v/>
      </c>
      <c r="I98" s="188">
        <f>ROUND(F98*Прил.10!$D$12,2)</f>
        <v/>
      </c>
      <c r="J98" s="188">
        <f>ROUND(I98*E98,2)</f>
        <v/>
      </c>
    </row>
    <row r="99" ht="46.9" customFormat="1" customHeight="1" s="168">
      <c r="A99" s="186" t="n">
        <v>72</v>
      </c>
      <c r="B99" s="192" t="inlineStr">
        <is>
          <t>24.1.02.01-0025</t>
        </is>
      </c>
      <c r="C99" s="197" t="inlineStr">
        <is>
          <t>Хомуты двухболтовые с быстродействующим замком для крепления труб размером 121-127 мм</t>
        </is>
      </c>
      <c r="D99" s="201" t="inlineStr">
        <is>
          <t>шт</t>
        </is>
      </c>
      <c r="E99" s="198">
        <f>65</f>
        <v/>
      </c>
      <c r="F99" s="98" t="n">
        <v>54.22</v>
      </c>
      <c r="G99" s="188">
        <f>ROUND(F99*E99,2)</f>
        <v/>
      </c>
      <c r="H99" s="90">
        <f>G99/$G$231</f>
        <v/>
      </c>
      <c r="I99" s="188">
        <f>ROUND(F99*Прил.10!$D$12,2)</f>
        <v/>
      </c>
      <c r="J99" s="188">
        <f>ROUND(I99*E99,2)</f>
        <v/>
      </c>
    </row>
    <row r="100" ht="31.15" customFormat="1" customHeight="1" s="168">
      <c r="A100" s="186" t="n">
        <v>73</v>
      </c>
      <c r="B100" s="192" t="inlineStr">
        <is>
          <t>20.2.08.03-0013</t>
        </is>
      </c>
      <c r="C100" s="197" t="inlineStr">
        <is>
          <t>Комплект монтажный IPO 500 WALL MNTG KIT</t>
        </is>
      </c>
      <c r="D100" s="201" t="inlineStr">
        <is>
          <t>шт</t>
        </is>
      </c>
      <c r="E100" s="198" t="n">
        <v>32</v>
      </c>
      <c r="F100" s="98" t="n">
        <v>110.94</v>
      </c>
      <c r="G100" s="188">
        <f>ROUND(F100*E100,2)</f>
        <v/>
      </c>
      <c r="H100" s="90">
        <f>G100/$G$231</f>
        <v/>
      </c>
      <c r="I100" s="188">
        <f>ROUND(F100*Прил.10!$D$12,2)</f>
        <v/>
      </c>
      <c r="J100" s="188">
        <f>ROUND(I100*E100,2)</f>
        <v/>
      </c>
    </row>
    <row r="101" ht="31.15" customFormat="1" customHeight="1" s="168">
      <c r="A101" s="186" t="n">
        <v>74</v>
      </c>
      <c r="B101" s="192" t="inlineStr">
        <is>
          <t>Прайс из СД ОП</t>
        </is>
      </c>
      <c r="C101" s="197" t="inlineStr">
        <is>
          <t>Патрубок переходной под насадок ППН G2"-50/76-60 еф9.300.015-06</t>
        </is>
      </c>
      <c r="D101" s="201" t="inlineStr">
        <is>
          <t>шт</t>
        </is>
      </c>
      <c r="E101" s="198" t="n">
        <v>23</v>
      </c>
      <c r="F101" s="98" t="n">
        <v>113.75</v>
      </c>
      <c r="G101" s="188">
        <f>ROUND(F101*E101,2)</f>
        <v/>
      </c>
      <c r="H101" s="90">
        <f>G101/$G$231</f>
        <v/>
      </c>
      <c r="I101" s="188">
        <f>ROUND(F101*Прил.10!$D$12,2)</f>
        <v/>
      </c>
      <c r="J101" s="188">
        <f>ROUND(I101*E101,2)</f>
        <v/>
      </c>
    </row>
    <row r="102" ht="78" customFormat="1" customHeight="1" s="168">
      <c r="A102" s="186" t="n">
        <v>75</v>
      </c>
      <c r="B102" s="192" t="inlineStr">
        <is>
          <t>23.8.04.12-0045</t>
        </is>
      </c>
      <c r="C102" s="197" t="inlineStr">
        <is>
          <t>Тройники переходные на Ру до 16 МПа (160 кгс/см2) диаметром условного прохода 50х40 мм, наружным диаметром и толщиной стенки 57х5- 45х4 мм</t>
        </is>
      </c>
      <c r="D102" s="201" t="inlineStr">
        <is>
          <t>шт</t>
        </is>
      </c>
      <c r="E102" s="198" t="n">
        <v>20</v>
      </c>
      <c r="F102" s="98" t="n">
        <v>117.14</v>
      </c>
      <c r="G102" s="188">
        <f>ROUND(F102*E102,2)</f>
        <v/>
      </c>
      <c r="H102" s="90">
        <f>G102/$G$231</f>
        <v/>
      </c>
      <c r="I102" s="188">
        <f>ROUND(F102*Прил.10!$D$12,2)</f>
        <v/>
      </c>
      <c r="J102" s="188">
        <f>ROUND(I102*E102,2)</f>
        <v/>
      </c>
    </row>
    <row r="103" ht="31.15" customFormat="1" customHeight="1" s="168">
      <c r="A103" s="186" t="n">
        <v>76</v>
      </c>
      <c r="B103" s="192" t="inlineStr">
        <is>
          <t>01.1.02.04-0011</t>
        </is>
      </c>
      <c r="C103" s="197" t="inlineStr">
        <is>
          <t>Картон асбестовый общего назначения марка КАОН-1, толщина 3 мм</t>
        </is>
      </c>
      <c r="D103" s="201" t="inlineStr">
        <is>
          <t>т</t>
        </is>
      </c>
      <c r="E103" s="198" t="n">
        <v>0.25198</v>
      </c>
      <c r="F103" s="98" t="n">
        <v>8892</v>
      </c>
      <c r="G103" s="188">
        <f>ROUND(F103*E103,2)</f>
        <v/>
      </c>
      <c r="H103" s="90">
        <f>G103/$G$231</f>
        <v/>
      </c>
      <c r="I103" s="188">
        <f>ROUND(F103*Прил.10!$D$12,2)</f>
        <v/>
      </c>
      <c r="J103" s="188">
        <f>ROUND(I103*E103,2)</f>
        <v/>
      </c>
    </row>
    <row r="104" ht="31.15" customFormat="1" customHeight="1" s="168">
      <c r="A104" s="186" t="n">
        <v>77</v>
      </c>
      <c r="B104" s="192" t="inlineStr">
        <is>
          <t>Прайс из СД ОП</t>
        </is>
      </c>
      <c r="C104" s="197" t="inlineStr">
        <is>
          <t>ХР-4 Набор из 3-х штанг по 1.5м для съемников XR-2. XR-5</t>
        </is>
      </c>
      <c r="D104" s="201" t="inlineStr">
        <is>
          <t>к-т</t>
        </is>
      </c>
      <c r="E104" s="198" t="n">
        <v>1</v>
      </c>
      <c r="F104" s="98" t="n">
        <v>1891.19</v>
      </c>
      <c r="G104" s="188">
        <f>ROUND(F104*E104,2)</f>
        <v/>
      </c>
      <c r="H104" s="90">
        <f>G104/$G$231</f>
        <v/>
      </c>
      <c r="I104" s="188">
        <f>ROUND(F104*Прил.10!$D$12,2)</f>
        <v/>
      </c>
      <c r="J104" s="188">
        <f>ROUND(I104*E104,2)</f>
        <v/>
      </c>
    </row>
    <row r="105" ht="15.6" customFormat="1" customHeight="1" s="168">
      <c r="A105" s="186" t="n"/>
      <c r="B105" s="192" t="inlineStr">
        <is>
          <t>Итого основные Материалы</t>
        </is>
      </c>
      <c r="C105" s="205" t="n"/>
      <c r="D105" s="205" t="n"/>
      <c r="E105" s="205" t="n"/>
      <c r="F105" s="206" t="n"/>
      <c r="G105" s="98">
        <f>SUM(G86:G104)</f>
        <v/>
      </c>
      <c r="H105" s="90">
        <f>SUM(H86:H104)</f>
        <v/>
      </c>
      <c r="I105" s="188" t="n"/>
      <c r="J105" s="188">
        <f>SUM(J86:J104)</f>
        <v/>
      </c>
    </row>
    <row r="106" hidden="1" outlineLevel="1" ht="31.15" customFormat="1" customHeight="1" s="168">
      <c r="A106" s="186" t="n">
        <v>78</v>
      </c>
      <c r="B106" s="192" t="inlineStr">
        <is>
          <t>20.2.05.02-0012</t>
        </is>
      </c>
      <c r="C106" s="197" t="inlineStr">
        <is>
          <t>Держатель с защелкой DKC для труб диаметром 32 мм</t>
        </is>
      </c>
      <c r="D106" s="201" t="inlineStr">
        <is>
          <t>100 шт</t>
        </is>
      </c>
      <c r="E106" s="198" t="n">
        <v>27</v>
      </c>
      <c r="F106" s="98" t="n">
        <v>62</v>
      </c>
      <c r="G106" s="188">
        <f>ROUND(F106*E106,2)</f>
        <v/>
      </c>
      <c r="H106" s="90">
        <f>G106/$G$231</f>
        <v/>
      </c>
      <c r="I106" s="188">
        <f>ROUND(F106*Прил.10!$D$12,2)</f>
        <v/>
      </c>
      <c r="J106" s="188">
        <f>ROUND(I106*E106,2)</f>
        <v/>
      </c>
    </row>
    <row r="107" hidden="1" outlineLevel="1" ht="15.6" customFormat="1" customHeight="1" s="168">
      <c r="A107" s="186" t="n">
        <v>79</v>
      </c>
      <c r="B107" s="192" t="inlineStr">
        <is>
          <t>20.2.05.04-0028</t>
        </is>
      </c>
      <c r="C107" s="197" t="inlineStr">
        <is>
          <t>Кабель-канал (короб) 40х25 мм</t>
        </is>
      </c>
      <c r="D107" s="201" t="inlineStr">
        <is>
          <t>м</t>
        </is>
      </c>
      <c r="E107" s="198" t="n">
        <v>500</v>
      </c>
      <c r="F107" s="98" t="n">
        <v>3.3</v>
      </c>
      <c r="G107" s="188">
        <f>ROUND(F107*E107,2)</f>
        <v/>
      </c>
      <c r="H107" s="90">
        <f>G107/$G$231</f>
        <v/>
      </c>
      <c r="I107" s="188">
        <f>ROUND(F107*Прил.10!$D$12,2)</f>
        <v/>
      </c>
      <c r="J107" s="188">
        <f>ROUND(I107*E107,2)</f>
        <v/>
      </c>
    </row>
    <row r="108" hidden="1" outlineLevel="1" ht="31.15" customFormat="1" customHeight="1" s="168">
      <c r="A108" s="186" t="n">
        <v>80</v>
      </c>
      <c r="B108" s="192" t="inlineStr">
        <is>
          <t>01.1.02.09-0021</t>
        </is>
      </c>
      <c r="C108" s="197" t="inlineStr">
        <is>
          <t>Ткань асбестовая со стеклонитью АСТ-1, толщина 1,8 мм</t>
        </is>
      </c>
      <c r="D108" s="201" t="inlineStr">
        <is>
          <t>т</t>
        </is>
      </c>
      <c r="E108" s="198" t="n">
        <v>0.02408</v>
      </c>
      <c r="F108" s="98" t="n">
        <v>66860</v>
      </c>
      <c r="G108" s="188">
        <f>ROUND(F108*E108,2)</f>
        <v/>
      </c>
      <c r="H108" s="90">
        <f>G108/$G$231</f>
        <v/>
      </c>
      <c r="I108" s="188">
        <f>ROUND(F108*Прил.10!$D$12,2)</f>
        <v/>
      </c>
      <c r="J108" s="188">
        <f>ROUND(I108*E108,2)</f>
        <v/>
      </c>
    </row>
    <row r="109" hidden="1" outlineLevel="1" ht="31.15" customFormat="1" customHeight="1" s="168">
      <c r="A109" s="186" t="n">
        <v>81</v>
      </c>
      <c r="B109" s="192" t="inlineStr">
        <is>
          <t>20.2.05.02-0011</t>
        </is>
      </c>
      <c r="C109" s="197" t="inlineStr">
        <is>
          <t>Держатель с защелкой DKC для труб диаметром 25 мм</t>
        </is>
      </c>
      <c r="D109" s="201" t="inlineStr">
        <is>
          <t>100 шт</t>
        </is>
      </c>
      <c r="E109" s="198" t="n">
        <v>40</v>
      </c>
      <c r="F109" s="98" t="n">
        <v>38</v>
      </c>
      <c r="G109" s="188">
        <f>ROUND(F109*E109,2)</f>
        <v/>
      </c>
      <c r="H109" s="90">
        <f>G109/$G$231</f>
        <v/>
      </c>
      <c r="I109" s="188">
        <f>ROUND(F109*Прил.10!$D$12,2)</f>
        <v/>
      </c>
      <c r="J109" s="188">
        <f>ROUND(I109*E109,2)</f>
        <v/>
      </c>
    </row>
    <row r="110" hidden="1" outlineLevel="1" ht="78" customFormat="1" customHeight="1" s="168">
      <c r="A110" s="186" t="n">
        <v>82</v>
      </c>
      <c r="B110" s="192" t="inlineStr">
        <is>
          <t>23.8.04.08-0052</t>
        </is>
      </c>
      <c r="C110" s="197" t="inlineStr">
        <is>
          <t>Переходы концентрические на Ру до 16 МПа (160 кгс/см2) диаметром условного прохода 50х40 мм, наружным диаметром и толщиной стенки 57х5- 45х4 мм</t>
        </is>
      </c>
      <c r="D110" s="201" t="inlineStr">
        <is>
          <t>шт</t>
        </is>
      </c>
      <c r="E110" s="198" t="n">
        <v>34</v>
      </c>
      <c r="F110" s="98" t="n">
        <v>44.49</v>
      </c>
      <c r="G110" s="188">
        <f>ROUND(F110*E110,2)</f>
        <v/>
      </c>
      <c r="H110" s="90">
        <f>G110/$G$231</f>
        <v/>
      </c>
      <c r="I110" s="188">
        <f>ROUND(F110*Прил.10!$D$12,2)</f>
        <v/>
      </c>
      <c r="J110" s="188">
        <f>ROUND(I110*E110,2)</f>
        <v/>
      </c>
    </row>
    <row r="111" hidden="1" outlineLevel="1" ht="31.15" customFormat="1" customHeight="1" s="168">
      <c r="A111" s="186" t="n">
        <v>83</v>
      </c>
      <c r="B111" s="192" t="inlineStr">
        <is>
          <t>21.1.06.10-0016</t>
        </is>
      </c>
      <c r="C111" s="197" t="inlineStr">
        <is>
          <t>Кабель силовой с медными жилами СБГУ 3х50-1000</t>
        </is>
      </c>
      <c r="D111" s="201" t="inlineStr">
        <is>
          <t>1000 м</t>
        </is>
      </c>
      <c r="E111" s="198" t="n">
        <v>0.00946</v>
      </c>
      <c r="F111" s="98" t="n">
        <v>144655.32</v>
      </c>
      <c r="G111" s="188">
        <f>ROUND(F111*E111,2)</f>
        <v/>
      </c>
      <c r="H111" s="90">
        <f>G111/$G$231</f>
        <v/>
      </c>
      <c r="I111" s="188">
        <f>ROUND(F111*Прил.10!$D$12,2)</f>
        <v/>
      </c>
      <c r="J111" s="188">
        <f>ROUND(I111*E111,2)</f>
        <v/>
      </c>
    </row>
    <row r="112" hidden="1" outlineLevel="1" ht="15.6" customFormat="1" customHeight="1" s="168">
      <c r="A112" s="186" t="n">
        <v>84</v>
      </c>
      <c r="B112" s="192" t="inlineStr">
        <is>
          <t>01.7.15.01-0061</t>
        </is>
      </c>
      <c r="C112" s="197" t="inlineStr">
        <is>
          <t>Дозаторы Hilti MD</t>
        </is>
      </c>
      <c r="D112" s="201" t="inlineStr">
        <is>
          <t>шт</t>
        </is>
      </c>
      <c r="E112" s="198" t="n">
        <v>2</v>
      </c>
      <c r="F112" s="98" t="n">
        <v>626.51</v>
      </c>
      <c r="G112" s="188">
        <f>ROUND(F112*E112,2)</f>
        <v/>
      </c>
      <c r="H112" s="90">
        <f>G112/$G$231</f>
        <v/>
      </c>
      <c r="I112" s="188">
        <f>ROUND(F112*Прил.10!$D$12,2)</f>
        <v/>
      </c>
      <c r="J112" s="188">
        <f>ROUND(I112*E112,2)</f>
        <v/>
      </c>
    </row>
    <row r="113" hidden="1" outlineLevel="1" ht="15.6" customFormat="1" customHeight="1" s="168">
      <c r="A113" s="186" t="n">
        <v>85</v>
      </c>
      <c r="B113" s="192" t="inlineStr">
        <is>
          <t>Прайс из СД ОП</t>
        </is>
      </c>
      <c r="C113" s="197" t="inlineStr">
        <is>
          <t>Опора нижняя еф8.060.013</t>
        </is>
      </c>
      <c r="D113" s="201" t="inlineStr">
        <is>
          <t>шт</t>
        </is>
      </c>
      <c r="E113" s="198" t="n">
        <v>1</v>
      </c>
      <c r="F113" s="98" t="n">
        <v>1252.13</v>
      </c>
      <c r="G113" s="188">
        <f>ROUND(F113*E113,2)</f>
        <v/>
      </c>
      <c r="H113" s="90">
        <f>G113/$G$231</f>
        <v/>
      </c>
      <c r="I113" s="188">
        <f>ROUND(F113*Прил.10!$D$12,2)</f>
        <v/>
      </c>
      <c r="J113" s="188">
        <f>ROUND(I113*E113,2)</f>
        <v/>
      </c>
    </row>
    <row r="114" hidden="1" outlineLevel="1" ht="62.45" customFormat="1" customHeight="1" s="168">
      <c r="A114" s="186" t="n">
        <v>86</v>
      </c>
      <c r="B114" s="192" t="inlineStr">
        <is>
          <t>21.2.03.05-0070</t>
        </is>
      </c>
      <c r="C114" s="197" t="inlineStr">
        <is>
          <t>Провода силовые для электрических установок на напряжение до 450 В с медной жилой марки ПВ3, сечением 6 мм2</t>
        </is>
      </c>
      <c r="D114" s="201" t="inlineStr">
        <is>
          <t>1000 м</t>
        </is>
      </c>
      <c r="E114" s="198" t="n">
        <v>0.25</v>
      </c>
      <c r="F114" s="98" t="n">
        <v>4999.13</v>
      </c>
      <c r="G114" s="188">
        <f>ROUND(F114*E114,2)</f>
        <v/>
      </c>
      <c r="H114" s="90">
        <f>G114/$G$231</f>
        <v/>
      </c>
      <c r="I114" s="188">
        <f>ROUND(F114*Прил.10!$D$12,2)</f>
        <v/>
      </c>
      <c r="J114" s="188">
        <f>ROUND(I114*E114,2)</f>
        <v/>
      </c>
    </row>
    <row r="115" hidden="1" outlineLevel="1" ht="15.6" customFormat="1" customHeight="1" s="168">
      <c r="A115" s="186" t="n">
        <v>87</v>
      </c>
      <c r="B115" s="192" t="inlineStr">
        <is>
          <t>07.2.07.13-0171</t>
        </is>
      </c>
      <c r="C115" s="197" t="inlineStr">
        <is>
          <t>Подкладки металлические</t>
        </is>
      </c>
      <c r="D115" s="201" t="inlineStr">
        <is>
          <t>кг</t>
        </is>
      </c>
      <c r="E115" s="198" t="n">
        <v>91.2</v>
      </c>
      <c r="F115" s="98" t="n">
        <v>12.6</v>
      </c>
      <c r="G115" s="188">
        <f>ROUND(F115*E115,2)</f>
        <v/>
      </c>
      <c r="H115" s="90">
        <f>G115/$G$231</f>
        <v/>
      </c>
      <c r="I115" s="188">
        <f>ROUND(F115*Прил.10!$D$12,2)</f>
        <v/>
      </c>
      <c r="J115" s="188">
        <f>ROUND(I115*E115,2)</f>
        <v/>
      </c>
    </row>
    <row r="116" hidden="1" outlineLevel="1" ht="93.59999999999999" customFormat="1" customHeight="1" s="168">
      <c r="A116" s="186" t="n">
        <v>88</v>
      </c>
      <c r="B116" s="192" t="inlineStr">
        <is>
          <t>21.1.06.09-0178</t>
        </is>
      </c>
      <c r="C116" s="197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16" s="201" t="inlineStr">
        <is>
          <t>1000 м</t>
        </is>
      </c>
      <c r="E116" s="198" t="n">
        <v>0.04</v>
      </c>
      <c r="F116" s="98" t="n">
        <v>25431.81</v>
      </c>
      <c r="G116" s="188">
        <f>ROUND(F116*E116,2)</f>
        <v/>
      </c>
      <c r="H116" s="90">
        <f>G116/$G$231</f>
        <v/>
      </c>
      <c r="I116" s="188">
        <f>ROUND(F116*Прил.10!$D$12,2)</f>
        <v/>
      </c>
      <c r="J116" s="188">
        <f>ROUND(I116*E116,2)</f>
        <v/>
      </c>
    </row>
    <row r="117" hidden="1" outlineLevel="1" ht="15.6" customFormat="1" customHeight="1" s="168">
      <c r="A117" s="186" t="n">
        <v>89</v>
      </c>
      <c r="B117" s="192" t="inlineStr">
        <is>
          <t>Прайс из СД ОП</t>
        </is>
      </c>
      <c r="C117" s="197" t="inlineStr">
        <is>
          <t>Шпилька резьбовая GST М10Х1000</t>
        </is>
      </c>
      <c r="D117" s="201" t="inlineStr">
        <is>
          <t>шт</t>
        </is>
      </c>
      <c r="E117" s="198" t="n">
        <v>15</v>
      </c>
      <c r="F117" s="98" t="n">
        <v>63.32</v>
      </c>
      <c r="G117" s="188">
        <f>ROUND(F117*E117,2)</f>
        <v/>
      </c>
      <c r="H117" s="90">
        <f>G117/$G$231</f>
        <v/>
      </c>
      <c r="I117" s="188">
        <f>ROUND(F117*Прил.10!$D$12,2)</f>
        <v/>
      </c>
      <c r="J117" s="188">
        <f>ROUND(I117*E117,2)</f>
        <v/>
      </c>
    </row>
    <row r="118" hidden="1" outlineLevel="1" ht="31.15" customFormat="1" customHeight="1" s="168">
      <c r="A118" s="186" t="n">
        <v>90</v>
      </c>
      <c r="B118" s="192" t="inlineStr">
        <is>
          <t>Прайс из СД ОП</t>
        </is>
      </c>
      <c r="C118" s="197" t="inlineStr">
        <is>
          <t>Ниппель переходной НП-001-50-50/57 еф8.652.068-06</t>
        </is>
      </c>
      <c r="D118" s="201" t="inlineStr">
        <is>
          <t>шт</t>
        </is>
      </c>
      <c r="E118" s="198" t="n">
        <v>5</v>
      </c>
      <c r="F118" s="98" t="n">
        <v>158.93</v>
      </c>
      <c r="G118" s="188">
        <f>ROUND(F118*E118,2)</f>
        <v/>
      </c>
      <c r="H118" s="90">
        <f>G118/$G$231</f>
        <v/>
      </c>
      <c r="I118" s="188">
        <f>ROUND(F118*Прил.10!$D$12,2)</f>
        <v/>
      </c>
      <c r="J118" s="188">
        <f>ROUND(I118*E118,2)</f>
        <v/>
      </c>
    </row>
    <row r="119" hidden="1" outlineLevel="1" ht="31.15" customFormat="1" customHeight="1" s="168">
      <c r="A119" s="186" t="n">
        <v>91</v>
      </c>
      <c r="B119" s="192" t="inlineStr">
        <is>
          <t>Мб2017-14.1.06.05-0001</t>
        </is>
      </c>
      <c r="C119" s="197" t="inlineStr">
        <is>
          <t>Анкер химический (капсула с клеевым составом) Hilti HIT-HY 150/330</t>
        </is>
      </c>
      <c r="D119" s="201" t="inlineStr">
        <is>
          <t>шт</t>
        </is>
      </c>
      <c r="E119" s="198" t="n">
        <v>2</v>
      </c>
      <c r="F119" s="98" t="n">
        <v>391.34</v>
      </c>
      <c r="G119" s="188">
        <f>ROUND(F119*E119,2)</f>
        <v/>
      </c>
      <c r="H119" s="90">
        <f>G119/$G$231</f>
        <v/>
      </c>
      <c r="I119" s="188">
        <f>ROUND(F119*Прил.10!$D$12,2)</f>
        <v/>
      </c>
      <c r="J119" s="188">
        <f>ROUND(I119*E119,2)</f>
        <v/>
      </c>
    </row>
    <row r="120" hidden="1" outlineLevel="1" ht="15.6" customFormat="1" customHeight="1" s="168">
      <c r="A120" s="186" t="n">
        <v>92</v>
      </c>
      <c r="B120" s="192" t="inlineStr">
        <is>
          <t>Прайс из СД ОП</t>
        </is>
      </c>
      <c r="C120" s="197" t="inlineStr">
        <is>
          <t>База под извещатель В501DG</t>
        </is>
      </c>
      <c r="D120" s="201" t="inlineStr">
        <is>
          <t>шт</t>
        </is>
      </c>
      <c r="E120" s="198" t="n">
        <v>3</v>
      </c>
      <c r="F120" s="98" t="n">
        <v>254.07</v>
      </c>
      <c r="G120" s="188">
        <f>ROUND(F120*E120,2)</f>
        <v/>
      </c>
      <c r="H120" s="90">
        <f>G120/$G$231</f>
        <v/>
      </c>
      <c r="I120" s="188">
        <f>ROUND(F120*Прил.10!$D$12,2)</f>
        <v/>
      </c>
      <c r="J120" s="188">
        <f>ROUND(I120*E120,2)</f>
        <v/>
      </c>
    </row>
    <row r="121" hidden="1" outlineLevel="1" ht="15.6" customFormat="1" customHeight="1" s="168">
      <c r="A121" s="186" t="n">
        <v>93</v>
      </c>
      <c r="B121" s="192" t="inlineStr">
        <is>
          <t>Прайс из СД ОП</t>
        </is>
      </c>
      <c r="C121" s="197" t="inlineStr">
        <is>
          <t>Хомут  MPN-QRC (D54-60)</t>
        </is>
      </c>
      <c r="D121" s="201" t="inlineStr">
        <is>
          <t>шт</t>
        </is>
      </c>
      <c r="E121" s="198" t="n">
        <v>13</v>
      </c>
      <c r="F121" s="98" t="n">
        <v>55.31</v>
      </c>
      <c r="G121" s="188">
        <f>ROUND(F121*E121,2)</f>
        <v/>
      </c>
      <c r="H121" s="90">
        <f>G121/$G$231</f>
        <v/>
      </c>
      <c r="I121" s="188">
        <f>ROUND(F121*Прил.10!$D$12,2)</f>
        <v/>
      </c>
      <c r="J121" s="188">
        <f>ROUND(I121*E121,2)</f>
        <v/>
      </c>
    </row>
    <row r="122" hidden="1" outlineLevel="1" ht="78" customFormat="1" customHeight="1" s="168">
      <c r="A122" s="186" t="n">
        <v>94</v>
      </c>
      <c r="B122" s="192" t="inlineStr">
        <is>
          <t>23.3.05.02-0062</t>
        </is>
      </c>
      <c r="C122" s="197" t="inlineStr">
        <is>
          <t>Трубы стальные бесшовные, холоднодеформированные из стали марок 10, 20, 30, 45 (ГОСТ 8734-75, 8733-74), наружным диаметром 38 мм, толщина стенки 4,0 мм</t>
        </is>
      </c>
      <c r="D122" s="201" t="inlineStr">
        <is>
          <t>м</t>
        </is>
      </c>
      <c r="E122" s="198" t="n">
        <v>14</v>
      </c>
      <c r="F122" s="98" t="n">
        <v>51.29</v>
      </c>
      <c r="G122" s="188">
        <f>ROUND(F122*E122,2)</f>
        <v/>
      </c>
      <c r="H122" s="90">
        <f>G122/$G$231</f>
        <v/>
      </c>
      <c r="I122" s="188">
        <f>ROUND(F122*Прил.10!$D$12,2)</f>
        <v/>
      </c>
      <c r="J122" s="188">
        <f>ROUND(I122*E122,2)</f>
        <v/>
      </c>
    </row>
    <row r="123" hidden="1" outlineLevel="1" ht="31.15" customFormat="1" customHeight="1" s="168">
      <c r="A123" s="186" t="n">
        <v>95</v>
      </c>
      <c r="B123" s="192" t="inlineStr">
        <is>
          <t>Прайс из СД ОП</t>
        </is>
      </c>
      <c r="C123" s="197" t="inlineStr">
        <is>
          <t>Монтажная коробка с 1 контактом для настенной установки SR1T</t>
        </is>
      </c>
      <c r="D123" s="201" t="inlineStr">
        <is>
          <t>шт</t>
        </is>
      </c>
      <c r="E123" s="198" t="n">
        <v>1</v>
      </c>
      <c r="F123" s="98" t="n">
        <v>665.59</v>
      </c>
      <c r="G123" s="188">
        <f>ROUND(F123*E123,2)</f>
        <v/>
      </c>
      <c r="H123" s="90">
        <f>G123/$G$231</f>
        <v/>
      </c>
      <c r="I123" s="188">
        <f>ROUND(F123*Прил.10!$D$12,2)</f>
        <v/>
      </c>
      <c r="J123" s="188">
        <f>ROUND(I123*E123,2)</f>
        <v/>
      </c>
    </row>
    <row r="124" hidden="1" outlineLevel="1" ht="31.15" customFormat="1" customHeight="1" s="168">
      <c r="A124" s="186" t="n">
        <v>96</v>
      </c>
      <c r="B124" s="192" t="inlineStr">
        <is>
          <t>Прайс из СД ОП</t>
        </is>
      </c>
      <c r="C124" s="197" t="inlineStr">
        <is>
          <t>XR Сьемник для извещателей 100 и 200 серий</t>
        </is>
      </c>
      <c r="D124" s="201" t="inlineStr">
        <is>
          <t>шт</t>
        </is>
      </c>
      <c r="E124" s="198" t="n">
        <v>1</v>
      </c>
      <c r="F124" s="98" t="n">
        <v>653.09</v>
      </c>
      <c r="G124" s="188">
        <f>ROUND(F124*E124,2)</f>
        <v/>
      </c>
      <c r="H124" s="90">
        <f>G124/$G$231</f>
        <v/>
      </c>
      <c r="I124" s="188">
        <f>ROUND(F124*Прил.10!$D$12,2)</f>
        <v/>
      </c>
      <c r="J124" s="188">
        <f>ROUND(I124*E124,2)</f>
        <v/>
      </c>
    </row>
    <row r="125" hidden="1" outlineLevel="1" ht="78" customFormat="1" customHeight="1" s="168">
      <c r="A125" s="186" t="n">
        <v>97</v>
      </c>
      <c r="B125" s="192" t="inlineStr">
        <is>
          <t>23.8.04.06-0062</t>
        </is>
      </c>
      <c r="C125" s="197" t="inlineStr">
        <is>
          <t>Отводы 90 град. с радиусом кривизны R=1,5 Ду на Ру до 16 МПа (160 кгс/см2), диаметром условного прохода 40 мм, наружным диаметром 45 мм, толщиной стенки 4 мм</t>
        </is>
      </c>
      <c r="D125" s="201" t="inlineStr">
        <is>
          <t>шт</t>
        </is>
      </c>
      <c r="E125" s="198" t="n">
        <v>27</v>
      </c>
      <c r="F125" s="98" t="n">
        <v>22.44</v>
      </c>
      <c r="G125" s="188">
        <f>ROUND(F125*E125,2)</f>
        <v/>
      </c>
      <c r="H125" s="90">
        <f>G125/$G$231</f>
        <v/>
      </c>
      <c r="I125" s="188">
        <f>ROUND(F125*Прил.10!$D$12,2)</f>
        <v/>
      </c>
      <c r="J125" s="188">
        <f>ROUND(I125*E125,2)</f>
        <v/>
      </c>
    </row>
    <row r="126" hidden="1" outlineLevel="1" ht="46.9" customFormat="1" customHeight="1" s="168">
      <c r="A126" s="186" t="n">
        <v>98</v>
      </c>
      <c r="B126" s="192" t="inlineStr">
        <is>
          <t>24.3.03.05-0014</t>
        </is>
      </c>
      <c r="C126" s="197" t="inlineStr">
        <is>
          <t>Трубы гибкие гофрированные легкие из ПНД, серии BL, с зондом, диаметром 32 мм</t>
        </is>
      </c>
      <c r="D126" s="201" t="inlineStr">
        <is>
          <t>м</t>
        </is>
      </c>
      <c r="E126" s="198" t="n">
        <v>80</v>
      </c>
      <c r="F126" s="98" t="n">
        <v>7.51</v>
      </c>
      <c r="G126" s="188">
        <f>ROUND(F126*E126,2)</f>
        <v/>
      </c>
      <c r="H126" s="90">
        <f>G126/$G$231</f>
        <v/>
      </c>
      <c r="I126" s="188">
        <f>ROUND(F126*Прил.10!$D$12,2)</f>
        <v/>
      </c>
      <c r="J126" s="188">
        <f>ROUND(I126*E126,2)</f>
        <v/>
      </c>
    </row>
    <row r="127" hidden="1" outlineLevel="1" ht="46.9" customFormat="1" customHeight="1" s="168">
      <c r="A127" s="186" t="n">
        <v>99</v>
      </c>
      <c r="B127" s="192" t="inlineStr">
        <is>
          <t>24.3.03.05-0013</t>
        </is>
      </c>
      <c r="C127" s="197" t="inlineStr">
        <is>
          <t>Трубы гибкие гофрированные легкие из ПНД, серии BL, с зондом, диаметром 25 мм</t>
        </is>
      </c>
      <c r="D127" s="201" t="inlineStr">
        <is>
          <t>м</t>
        </is>
      </c>
      <c r="E127" s="198" t="n">
        <v>120</v>
      </c>
      <c r="F127" s="98" t="n">
        <v>4.9</v>
      </c>
      <c r="G127" s="188">
        <f>ROUND(F127*E127,2)</f>
        <v/>
      </c>
      <c r="H127" s="90">
        <f>G127/$G$231</f>
        <v/>
      </c>
      <c r="I127" s="188">
        <f>ROUND(F127*Прил.10!$D$12,2)</f>
        <v/>
      </c>
      <c r="J127" s="188">
        <f>ROUND(I127*E127,2)</f>
        <v/>
      </c>
    </row>
    <row r="128" hidden="1" outlineLevel="1" ht="15.6" customFormat="1" customHeight="1" s="168">
      <c r="A128" s="186" t="n">
        <v>100</v>
      </c>
      <c r="B128" s="192" t="inlineStr">
        <is>
          <t>Прайс из СД ОП</t>
        </is>
      </c>
      <c r="C128" s="197" t="inlineStr">
        <is>
          <t>Упаковка МПА</t>
        </is>
      </c>
      <c r="D128" s="201" t="inlineStr">
        <is>
          <t>шт</t>
        </is>
      </c>
      <c r="E128" s="198" t="n">
        <v>6</v>
      </c>
      <c r="F128" s="98" t="n">
        <v>79.55</v>
      </c>
      <c r="G128" s="188">
        <f>ROUND(F128*E128,2)</f>
        <v/>
      </c>
      <c r="H128" s="90">
        <f>G128/$G$231</f>
        <v/>
      </c>
      <c r="I128" s="188">
        <f>ROUND(F128*Прил.10!$D$12,2)</f>
        <v/>
      </c>
      <c r="J128" s="188">
        <f>ROUND(I128*E128,2)</f>
        <v/>
      </c>
    </row>
    <row r="129" hidden="1" outlineLevel="1" ht="15.6" customFormat="1" customHeight="1" s="168">
      <c r="A129" s="186" t="n">
        <v>101</v>
      </c>
      <c r="B129" s="192" t="inlineStr">
        <is>
          <t>Прайс из СД ОП</t>
        </is>
      </c>
      <c r="C129" s="197" t="inlineStr">
        <is>
          <t>Хомут  MPN-QRC (D37-41)</t>
        </is>
      </c>
      <c r="D129" s="201" t="inlineStr">
        <is>
          <t>шт</t>
        </is>
      </c>
      <c r="E129" s="198" t="n">
        <v>8</v>
      </c>
      <c r="F129" s="98" t="n">
        <v>55.31</v>
      </c>
      <c r="G129" s="188">
        <f>ROUND(F129*E129,2)</f>
        <v/>
      </c>
      <c r="H129" s="90">
        <f>G129/$G$231</f>
        <v/>
      </c>
      <c r="I129" s="188">
        <f>ROUND(F129*Прил.10!$D$12,2)</f>
        <v/>
      </c>
      <c r="J129" s="188">
        <f>ROUND(I129*E129,2)</f>
        <v/>
      </c>
    </row>
    <row r="130" hidden="1" outlineLevel="1" ht="31.15" customFormat="1" customHeight="1" s="168">
      <c r="A130" s="186" t="n">
        <v>102</v>
      </c>
      <c r="B130" s="192" t="inlineStr">
        <is>
          <t>01.7.15.07-0014</t>
        </is>
      </c>
      <c r="C130" s="197" t="inlineStr">
        <is>
          <t>Дюбели распорные полипропиленовые</t>
        </is>
      </c>
      <c r="D130" s="201" t="inlineStr">
        <is>
          <t>100 шт</t>
        </is>
      </c>
      <c r="E130" s="198" t="n">
        <v>5.1</v>
      </c>
      <c r="F130" s="98" t="n">
        <v>86</v>
      </c>
      <c r="G130" s="188">
        <f>ROUND(F130*E130,2)</f>
        <v/>
      </c>
      <c r="H130" s="90">
        <f>G130/$G$231</f>
        <v/>
      </c>
      <c r="I130" s="188">
        <f>ROUND(F130*Прил.10!$D$12,2)</f>
        <v/>
      </c>
      <c r="J130" s="188">
        <f>ROUND(I130*E130,2)</f>
        <v/>
      </c>
    </row>
    <row r="131" hidden="1" outlineLevel="1" ht="93.59999999999999" customFormat="1" customHeight="1" s="168">
      <c r="A131" s="186" t="n">
        <v>103</v>
      </c>
      <c r="B131" s="192" t="inlineStr">
        <is>
          <t>23.3.05.01-0028</t>
        </is>
      </c>
      <c r="C131" s="197" t="inlineStr">
        <is>
          <t>Трубы бесшовные холоднодеформированные из коррозионностойкой стали марки 12Х18Н10Т(8443) наружным диаметром 57 мм, толщиной стенки 4,0 мм</t>
        </is>
      </c>
      <c r="D131" s="201" t="inlineStr">
        <is>
          <t>м</t>
        </is>
      </c>
      <c r="E131" s="198" t="n">
        <v>1.6</v>
      </c>
      <c r="F131" s="98" t="n">
        <v>273.92</v>
      </c>
      <c r="G131" s="188">
        <f>ROUND(F131*E131,2)</f>
        <v/>
      </c>
      <c r="H131" s="90">
        <f>G131/$G$231</f>
        <v/>
      </c>
      <c r="I131" s="188">
        <f>ROUND(F131*Прил.10!$D$12,2)</f>
        <v/>
      </c>
      <c r="J131" s="188">
        <f>ROUND(I131*E131,2)</f>
        <v/>
      </c>
    </row>
    <row r="132" hidden="1" outlineLevel="1" ht="31.15" customFormat="1" customHeight="1" s="168">
      <c r="A132" s="186" t="n">
        <v>104</v>
      </c>
      <c r="B132" s="192" t="inlineStr">
        <is>
          <t>Прайс из СД ОП</t>
        </is>
      </c>
      <c r="C132" s="197" t="inlineStr">
        <is>
          <t>Коробка коммутационная ASU-ВC-PI-16</t>
        </is>
      </c>
      <c r="D132" s="201" t="inlineStr">
        <is>
          <t>шт</t>
        </is>
      </c>
      <c r="E132" s="198" t="n">
        <v>1</v>
      </c>
      <c r="F132" s="98" t="n">
        <v>414.54</v>
      </c>
      <c r="G132" s="188">
        <f>ROUND(F132*E132,2)</f>
        <v/>
      </c>
      <c r="H132" s="90">
        <f>G132/$G$231</f>
        <v/>
      </c>
      <c r="I132" s="188">
        <f>ROUND(F132*Прил.10!$D$12,2)</f>
        <v/>
      </c>
      <c r="J132" s="188">
        <f>ROUND(I132*E132,2)</f>
        <v/>
      </c>
    </row>
    <row r="133" hidden="1" outlineLevel="1" ht="31.15" customFormat="1" customHeight="1" s="168">
      <c r="A133" s="186" t="n">
        <v>105</v>
      </c>
      <c r="B133" s="192" t="inlineStr">
        <is>
          <t>Прайс из СД ОП</t>
        </is>
      </c>
      <c r="C133" s="197" t="inlineStr">
        <is>
          <t>Коробка коммутационная ASU-ВC-PI-32</t>
        </is>
      </c>
      <c r="D133" s="201" t="inlineStr">
        <is>
          <t>шт</t>
        </is>
      </c>
      <c r="E133" s="198" t="n">
        <v>1</v>
      </c>
      <c r="F133" s="98" t="n">
        <v>414.54</v>
      </c>
      <c r="G133" s="188">
        <f>ROUND(F133*E133,2)</f>
        <v/>
      </c>
      <c r="H133" s="90">
        <f>G133/$G$231</f>
        <v/>
      </c>
      <c r="I133" s="188">
        <f>ROUND(F133*Прил.10!$D$12,2)</f>
        <v/>
      </c>
      <c r="J133" s="188">
        <f>ROUND(I133*E133,2)</f>
        <v/>
      </c>
    </row>
    <row r="134" hidden="1" outlineLevel="1" ht="15.6" customFormat="1" customHeight="1" s="168">
      <c r="A134" s="186" t="n">
        <v>106</v>
      </c>
      <c r="B134" s="192" t="inlineStr">
        <is>
          <t>01.7.03.04-0001</t>
        </is>
      </c>
      <c r="C134" s="197" t="inlineStr">
        <is>
          <t>Электроэнергия</t>
        </is>
      </c>
      <c r="D134" s="201" t="inlineStr">
        <is>
          <t>кВт-ч</t>
        </is>
      </c>
      <c r="E134" s="198" t="n">
        <v>1010.38</v>
      </c>
      <c r="F134" s="98" t="n">
        <v>0.4</v>
      </c>
      <c r="G134" s="188">
        <f>ROUND(F134*E134,2)</f>
        <v/>
      </c>
      <c r="H134" s="90">
        <f>G134/$G$231</f>
        <v/>
      </c>
      <c r="I134" s="188">
        <f>ROUND(F134*Прил.10!$D$12,2)</f>
        <v/>
      </c>
      <c r="J134" s="188">
        <f>ROUND(I134*E134,2)</f>
        <v/>
      </c>
    </row>
    <row r="135" hidden="1" outlineLevel="1" ht="31.15" customFormat="1" customHeight="1" s="168">
      <c r="A135" s="186" t="n">
        <v>107</v>
      </c>
      <c r="B135" s="192" t="inlineStr">
        <is>
          <t>01.1.01.09-0023</t>
        </is>
      </c>
      <c r="C135" s="197" t="inlineStr">
        <is>
          <t>Шнур асбестовый общего назначения ШАОН, диаметр 2,0-2,5 мм</t>
        </is>
      </c>
      <c r="D135" s="201" t="inlineStr">
        <is>
          <t>т</t>
        </is>
      </c>
      <c r="E135" s="198" t="n">
        <v>0.01462</v>
      </c>
      <c r="F135" s="98" t="n">
        <v>27300</v>
      </c>
      <c r="G135" s="188">
        <f>ROUND(F135*E135,2)</f>
        <v/>
      </c>
      <c r="H135" s="90">
        <f>G135/$G$231</f>
        <v/>
      </c>
      <c r="I135" s="188">
        <f>ROUND(F135*Прил.10!$D$12,2)</f>
        <v/>
      </c>
      <c r="J135" s="188">
        <f>ROUND(I135*E135,2)</f>
        <v/>
      </c>
    </row>
    <row r="136" hidden="1" outlineLevel="1" ht="31.15" customFormat="1" customHeight="1" s="168">
      <c r="A136" s="186" t="n">
        <v>108</v>
      </c>
      <c r="B136" s="192" t="inlineStr">
        <is>
          <t>Прайс из СД ОП</t>
        </is>
      </c>
      <c r="C136" s="197" t="inlineStr">
        <is>
          <t>База под извещатель с изолятором В524IEFT</t>
        </is>
      </c>
      <c r="D136" s="201" t="inlineStr">
        <is>
          <t>шт</t>
        </is>
      </c>
      <c r="E136" s="198" t="n">
        <v>1</v>
      </c>
      <c r="F136" s="98" t="n">
        <v>254.79</v>
      </c>
      <c r="G136" s="188">
        <f>ROUND(F136*E136,2)</f>
        <v/>
      </c>
      <c r="H136" s="90">
        <f>G136/$G$231</f>
        <v/>
      </c>
      <c r="I136" s="188">
        <f>ROUND(F136*Прил.10!$D$12,2)</f>
        <v/>
      </c>
      <c r="J136" s="188">
        <f>ROUND(I136*E136,2)</f>
        <v/>
      </c>
    </row>
    <row r="137" hidden="1" outlineLevel="1" ht="46.9" customFormat="1" customHeight="1" s="168">
      <c r="A137" s="186" t="n">
        <v>109</v>
      </c>
      <c r="B137" s="192" t="inlineStr">
        <is>
          <t>21.2.01.02-0141</t>
        </is>
      </c>
      <c r="C137" s="197" t="inlineStr">
        <is>
          <t>Провод неизолированный для воздушных линий электропередачи медные, марка М, сечение 4 мм2</t>
        </is>
      </c>
      <c r="D137" s="201" t="inlineStr">
        <is>
          <t>т</t>
        </is>
      </c>
      <c r="E137" s="198" t="n">
        <v>0.00264</v>
      </c>
      <c r="F137" s="98" t="n">
        <v>96440</v>
      </c>
      <c r="G137" s="188">
        <f>ROUND(F137*E137,2)</f>
        <v/>
      </c>
      <c r="H137" s="90">
        <f>G137/$G$231</f>
        <v/>
      </c>
      <c r="I137" s="188">
        <f>ROUND(F137*Прил.10!$D$12,2)</f>
        <v/>
      </c>
      <c r="J137" s="188">
        <f>ROUND(I137*E137,2)</f>
        <v/>
      </c>
    </row>
    <row r="138" hidden="1" outlineLevel="1" ht="31.15" customFormat="1" customHeight="1" s="168">
      <c r="A138" s="186" t="n">
        <v>110</v>
      </c>
      <c r="B138" s="192" t="inlineStr">
        <is>
          <t>10.3.02.03-0011</t>
        </is>
      </c>
      <c r="C138" s="197" t="inlineStr">
        <is>
          <t>Припои оловянно-свинцовые бессурьмянистые, марка ПОС30</t>
        </is>
      </c>
      <c r="D138" s="201" t="inlineStr">
        <is>
          <t>т</t>
        </is>
      </c>
      <c r="E138" s="198" t="n">
        <v>0.0037295</v>
      </c>
      <c r="F138" s="98" t="n">
        <v>68050</v>
      </c>
      <c r="G138" s="188">
        <f>ROUND(F138*E138,2)</f>
        <v/>
      </c>
      <c r="H138" s="90">
        <f>G138/$G$231</f>
        <v/>
      </c>
      <c r="I138" s="188">
        <f>ROUND(F138*Прил.10!$D$12,2)</f>
        <v/>
      </c>
      <c r="J138" s="188">
        <f>ROUND(I138*E138,2)</f>
        <v/>
      </c>
    </row>
    <row r="139" hidden="1" outlineLevel="1" ht="140.45" customFormat="1" customHeight="1" s="168">
      <c r="A139" s="186" t="n">
        <v>111</v>
      </c>
      <c r="B139" s="192" t="inlineStr">
        <is>
          <t>21.1.08.01-0113</t>
        </is>
      </c>
      <c r="C139" s="197" t="inlineStr">
        <is>
          <t>Кабели парной скрутки для систем пожарной сигнализации с однопроволочными медными жилами, изоляцией и оболочкой из ПВХ, с экраном из алюмолавсановой ленты, не распространяющей горение, с низким дымо- и газовыделением, марки КПСВЭВнг-LS 1х2х1,0 прим.(КИПвЭВнг-LS 1х2х0.78)</t>
        </is>
      </c>
      <c r="D139" s="201" t="inlineStr">
        <is>
          <t>1000 м</t>
        </is>
      </c>
      <c r="E139" s="198" t="n">
        <v>0.05</v>
      </c>
      <c r="F139" s="98" t="n">
        <v>4907.19</v>
      </c>
      <c r="G139" s="188">
        <f>ROUND(F139*E139,2)</f>
        <v/>
      </c>
      <c r="H139" s="90">
        <f>G139/$G$231</f>
        <v/>
      </c>
      <c r="I139" s="188">
        <f>ROUND(F139*Прил.10!$D$12,2)</f>
        <v/>
      </c>
      <c r="J139" s="188">
        <f>ROUND(I139*E139,2)</f>
        <v/>
      </c>
    </row>
    <row r="140" hidden="1" outlineLevel="1" ht="31.15" customFormat="1" customHeight="1" s="168">
      <c r="A140" s="186" t="n">
        <v>112</v>
      </c>
      <c r="B140" s="192" t="inlineStr">
        <is>
          <t>01.7.11.07-0040</t>
        </is>
      </c>
      <c r="C140" s="197" t="inlineStr">
        <is>
          <t>Электроды сварочные Э50А, диаметр 4 мм</t>
        </is>
      </c>
      <c r="D140" s="201" t="inlineStr">
        <is>
          <t>т</t>
        </is>
      </c>
      <c r="E140" s="198" t="n">
        <v>0.02112</v>
      </c>
      <c r="F140" s="98" t="n">
        <v>11524</v>
      </c>
      <c r="G140" s="188">
        <f>ROUND(F140*E140,2)</f>
        <v/>
      </c>
      <c r="H140" s="90">
        <f>G140/$G$231</f>
        <v/>
      </c>
      <c r="I140" s="188">
        <f>ROUND(F140*Прил.10!$D$12,2)</f>
        <v/>
      </c>
      <c r="J140" s="188">
        <f>ROUND(I140*E140,2)</f>
        <v/>
      </c>
    </row>
    <row r="141" hidden="1" outlineLevel="1" ht="78" customFormat="1" customHeight="1" s="168">
      <c r="A141" s="186" t="n">
        <v>113</v>
      </c>
      <c r="B141" s="192" t="inlineStr">
        <is>
          <t>23.8.04.06-0065</t>
        </is>
      </c>
      <c r="C141" s="197" t="inlineStr">
        <is>
          <t>Отводы 90 град. с радиусом кривизны R=1,5 Ду на Ру до 16 МПа (160 кгс/см2), диаметром условного прохода 50 мм, наружным диаметром 57 мм, толщиной стенки 5 мм</t>
        </is>
      </c>
      <c r="D141" s="201" t="inlineStr">
        <is>
          <t>шт</t>
        </is>
      </c>
      <c r="E141" s="198" t="n">
        <v>8</v>
      </c>
      <c r="F141" s="98" t="n">
        <v>29.53</v>
      </c>
      <c r="G141" s="188">
        <f>ROUND(F141*E141,2)</f>
        <v/>
      </c>
      <c r="H141" s="90">
        <f>G141/$G$231</f>
        <v/>
      </c>
      <c r="I141" s="188">
        <f>ROUND(F141*Прил.10!$D$12,2)</f>
        <v/>
      </c>
      <c r="J141" s="188">
        <f>ROUND(I141*E141,2)</f>
        <v/>
      </c>
    </row>
    <row r="142" hidden="1" outlineLevel="1" ht="46.9" customFormat="1" customHeight="1" s="168">
      <c r="A142" s="186" t="n">
        <v>114</v>
      </c>
      <c r="B142" s="192" t="inlineStr">
        <is>
          <t>07.2.07.04-0004</t>
        </is>
      </c>
      <c r="C142" s="197" t="inlineStr">
        <is>
          <t>Конструкции стальные индивидуальные решетчатые сварные, масса 0,5-1 т</t>
        </is>
      </c>
      <c r="D142" s="201" t="inlineStr">
        <is>
          <t>т</t>
        </is>
      </c>
      <c r="E142" s="198" t="n">
        <v>0.02247</v>
      </c>
      <c r="F142" s="98" t="n">
        <v>10480</v>
      </c>
      <c r="G142" s="188">
        <f>ROUND(F142*E142,2)</f>
        <v/>
      </c>
      <c r="H142" s="90">
        <f>G142/$G$231</f>
        <v/>
      </c>
      <c r="I142" s="188">
        <f>ROUND(F142*Прил.10!$D$12,2)</f>
        <v/>
      </c>
      <c r="J142" s="188">
        <f>ROUND(I142*E142,2)</f>
        <v/>
      </c>
    </row>
    <row r="143" hidden="1" outlineLevel="1" ht="15.6" customFormat="1" customHeight="1" s="168">
      <c r="A143" s="186" t="n">
        <v>115</v>
      </c>
      <c r="B143" s="192" t="inlineStr">
        <is>
          <t>Прайс из СД ОП</t>
        </is>
      </c>
      <c r="C143" s="197" t="inlineStr">
        <is>
          <t>Пена для изоляции 125-225мм СР-620</t>
        </is>
      </c>
      <c r="D143" s="201" t="inlineStr">
        <is>
          <t>шт</t>
        </is>
      </c>
      <c r="E143" s="198" t="n">
        <v>5</v>
      </c>
      <c r="F143" s="98" t="n">
        <v>40.07</v>
      </c>
      <c r="G143" s="188">
        <f>ROUND(F143*E143,2)</f>
        <v/>
      </c>
      <c r="H143" s="90">
        <f>G143/$G$231</f>
        <v/>
      </c>
      <c r="I143" s="188">
        <f>ROUND(F143*Прил.10!$D$12,2)</f>
        <v/>
      </c>
      <c r="J143" s="188">
        <f>ROUND(I143*E143,2)</f>
        <v/>
      </c>
    </row>
    <row r="144" hidden="1" outlineLevel="1" ht="15.6" customFormat="1" customHeight="1" s="168">
      <c r="A144" s="186" t="n">
        <v>116</v>
      </c>
      <c r="B144" s="192" t="inlineStr">
        <is>
          <t>01.7.11.07-0065</t>
        </is>
      </c>
      <c r="C144" s="197" t="inlineStr">
        <is>
          <t>Электроды диаметром 8 мм Э42А</t>
        </is>
      </c>
      <c r="D144" s="201" t="inlineStr">
        <is>
          <t>т</t>
        </is>
      </c>
      <c r="E144" s="198" t="n">
        <v>0.02</v>
      </c>
      <c r="F144" s="98" t="n">
        <v>9342</v>
      </c>
      <c r="G144" s="188">
        <f>ROUND(F144*E144,2)</f>
        <v/>
      </c>
      <c r="H144" s="90">
        <f>G144/$G$231</f>
        <v/>
      </c>
      <c r="I144" s="188">
        <f>ROUND(F144*Прил.10!$D$12,2)</f>
        <v/>
      </c>
      <c r="J144" s="188">
        <f>ROUND(I144*E144,2)</f>
        <v/>
      </c>
    </row>
    <row r="145" hidden="1" outlineLevel="1" ht="31.15" customFormat="1" customHeight="1" s="168">
      <c r="A145" s="186" t="n">
        <v>117</v>
      </c>
      <c r="B145" s="192" t="inlineStr">
        <is>
          <t>Прайс из СД ОП</t>
        </is>
      </c>
      <c r="C145" s="197" t="inlineStr">
        <is>
          <t>Монтажная коробка с 1 контактом для настенной установки SR1T</t>
        </is>
      </c>
      <c r="D145" s="201" t="inlineStr">
        <is>
          <t>шт</t>
        </is>
      </c>
      <c r="E145" s="198" t="n">
        <v>2</v>
      </c>
      <c r="F145" s="98" t="n">
        <v>91.93000000000001</v>
      </c>
      <c r="G145" s="188">
        <f>ROUND(F145*E145,2)</f>
        <v/>
      </c>
      <c r="H145" s="90">
        <f>G145/$G$231</f>
        <v/>
      </c>
      <c r="I145" s="188">
        <f>ROUND(F145*Прил.10!$D$12,2)</f>
        <v/>
      </c>
      <c r="J145" s="188">
        <f>ROUND(I145*E145,2)</f>
        <v/>
      </c>
    </row>
    <row r="146" hidden="1" outlineLevel="1" ht="46.9" customFormat="1" customHeight="1" s="168">
      <c r="A146" s="186" t="n">
        <v>118</v>
      </c>
      <c r="B146" s="192" t="inlineStr">
        <is>
          <t>07.2.07.04-0007</t>
        </is>
      </c>
      <c r="C146" s="197" t="inlineStr">
        <is>
          <t>Конструкции стальные индивидуальные решетчатые сварные, масса до 0,1 т</t>
        </is>
      </c>
      <c r="D146" s="201" t="inlineStr">
        <is>
          <t>т</t>
        </is>
      </c>
      <c r="E146" s="198" t="n">
        <v>0.015</v>
      </c>
      <c r="F146" s="98" t="n">
        <v>11500</v>
      </c>
      <c r="G146" s="188">
        <f>ROUND(F146*E146,2)</f>
        <v/>
      </c>
      <c r="H146" s="90">
        <f>G146/$G$231</f>
        <v/>
      </c>
      <c r="I146" s="188">
        <f>ROUND(F146*Прил.10!$D$12,2)</f>
        <v/>
      </c>
      <c r="J146" s="188">
        <f>ROUND(I146*E146,2)</f>
        <v/>
      </c>
    </row>
    <row r="147" hidden="1" outlineLevel="1" ht="31.15" customFormat="1" customHeight="1" s="168">
      <c r="A147" s="186" t="n">
        <v>119</v>
      </c>
      <c r="B147" s="192" t="inlineStr">
        <is>
          <t>Прайс из СД ОП</t>
        </is>
      </c>
      <c r="C147" s="197" t="inlineStr">
        <is>
          <t>Заглушка испытательная с внутренней резьбой ЗИ-В g 1 1/4" еф6.433.076-04</t>
        </is>
      </c>
      <c r="D147" s="201" t="inlineStr">
        <is>
          <t>шт</t>
        </is>
      </c>
      <c r="E147" s="198" t="n">
        <v>6</v>
      </c>
      <c r="F147" s="98" t="n">
        <v>26.92</v>
      </c>
      <c r="G147" s="188">
        <f>ROUND(F147*E147,2)</f>
        <v/>
      </c>
      <c r="H147" s="90">
        <f>G147/$G$231</f>
        <v/>
      </c>
      <c r="I147" s="188">
        <f>ROUND(F147*Прил.10!$D$12,2)</f>
        <v/>
      </c>
      <c r="J147" s="188">
        <f>ROUND(I147*E147,2)</f>
        <v/>
      </c>
    </row>
    <row r="148" hidden="1" outlineLevel="1" ht="31.15" customFormat="1" customHeight="1" s="168">
      <c r="A148" s="186" t="n">
        <v>120</v>
      </c>
      <c r="B148" s="192" t="inlineStr">
        <is>
          <t>01.7.11.07-0041</t>
        </is>
      </c>
      <c r="C148" s="197" t="inlineStr">
        <is>
          <t>Электроды сварочные Э55, диаметр 4 мм</t>
        </is>
      </c>
      <c r="D148" s="201" t="inlineStr">
        <is>
          <t>т</t>
        </is>
      </c>
      <c r="E148" s="198" t="n">
        <v>0.012286</v>
      </c>
      <c r="F148" s="98" t="n">
        <v>12650</v>
      </c>
      <c r="G148" s="188">
        <f>ROUND(F148*E148,2)</f>
        <v/>
      </c>
      <c r="H148" s="90">
        <f>G148/$G$231</f>
        <v/>
      </c>
      <c r="I148" s="188">
        <f>ROUND(F148*Прил.10!$D$12,2)</f>
        <v/>
      </c>
      <c r="J148" s="188">
        <f>ROUND(I148*E148,2)</f>
        <v/>
      </c>
    </row>
    <row r="149" hidden="1" outlineLevel="1" ht="93.59999999999999" customFormat="1" customHeight="1" s="168">
      <c r="A149" s="186" t="n">
        <v>121</v>
      </c>
      <c r="B149" s="192" t="inlineStr">
        <is>
          <t>21.1.06.09-0153</t>
        </is>
      </c>
      <c r="C149" s="197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D149" s="201" t="inlineStr">
        <is>
          <t>1000 м</t>
        </is>
      </c>
      <c r="E149" s="198" t="n">
        <v>0.015</v>
      </c>
      <c r="F149" s="98" t="n">
        <v>10296.33</v>
      </c>
      <c r="G149" s="188">
        <f>ROUND(F149*E149,2)</f>
        <v/>
      </c>
      <c r="H149" s="90">
        <f>G149/$G$231</f>
        <v/>
      </c>
      <c r="I149" s="188">
        <f>ROUND(F149*Прил.10!$D$12,2)</f>
        <v/>
      </c>
      <c r="J149" s="188">
        <f>ROUND(I149*E149,2)</f>
        <v/>
      </c>
    </row>
    <row r="150" hidden="1" outlineLevel="1" ht="15.6" customFormat="1" customHeight="1" s="168">
      <c r="A150" s="186" t="n">
        <v>122</v>
      </c>
      <c r="B150" s="192" t="inlineStr">
        <is>
          <t>Прайс из СД ОП</t>
        </is>
      </c>
      <c r="C150" s="197" t="inlineStr">
        <is>
          <t>Очиститель CFR 1</t>
        </is>
      </c>
      <c r="D150" s="201" t="inlineStr">
        <is>
          <t>ШТ</t>
        </is>
      </c>
      <c r="E150" s="198" t="n">
        <v>1</v>
      </c>
      <c r="F150" s="98" t="n">
        <v>147.45</v>
      </c>
      <c r="G150" s="188">
        <f>ROUND(F150*E150,2)</f>
        <v/>
      </c>
      <c r="H150" s="90">
        <f>G150/$G$231</f>
        <v/>
      </c>
      <c r="I150" s="188">
        <f>ROUND(F150*Прил.10!$D$12,2)</f>
        <v/>
      </c>
      <c r="J150" s="188">
        <f>ROUND(I150*E150,2)</f>
        <v/>
      </c>
    </row>
    <row r="151" hidden="1" outlineLevel="1" ht="93.59999999999999" customFormat="1" customHeight="1" s="168">
      <c r="A151" s="186" t="n">
        <v>123</v>
      </c>
      <c r="B151" s="192" t="inlineStr">
        <is>
          <t>21.2.03.03-0016</t>
        </is>
      </c>
      <c r="C151" s="197" t="inlineStr">
        <is>
          <t>Провод силовой гибкий, напряжение с изоляцией из стеклоткани и дельта-асбеста, пропитанный кремнийорганическим лаком, марка ПСУ-180, сечение 6 мм2, напряжение до 380 В</t>
        </is>
      </c>
      <c r="D151" s="201" t="inlineStr">
        <is>
          <t>1000 м</t>
        </is>
      </c>
      <c r="E151" s="198" t="n">
        <v>0.0086</v>
      </c>
      <c r="F151" s="98" t="n">
        <v>13980.31</v>
      </c>
      <c r="G151" s="188">
        <f>ROUND(F151*E151,2)</f>
        <v/>
      </c>
      <c r="H151" s="90">
        <f>G151/$G$231</f>
        <v/>
      </c>
      <c r="I151" s="188">
        <f>ROUND(F151*Прил.10!$D$12,2)</f>
        <v/>
      </c>
      <c r="J151" s="188">
        <f>ROUND(I151*E151,2)</f>
        <v/>
      </c>
    </row>
    <row r="152" hidden="1" outlineLevel="1" ht="31.15" customFormat="1" customHeight="1" s="168">
      <c r="A152" s="186" t="n">
        <v>124</v>
      </c>
      <c r="B152" s="192" t="inlineStr">
        <is>
          <t>10.3.02.03-0036</t>
        </is>
      </c>
      <c r="C152" s="197" t="inlineStr">
        <is>
          <t>Припои оловянно-свинцовые сурьмянистые, марка ПОССу 30-2</t>
        </is>
      </c>
      <c r="D152" s="201" t="inlineStr">
        <is>
          <t>т</t>
        </is>
      </c>
      <c r="E152" s="198" t="n">
        <v>0.00168</v>
      </c>
      <c r="F152" s="98" t="n">
        <v>63598.66</v>
      </c>
      <c r="G152" s="188">
        <f>ROUND(F152*E152,2)</f>
        <v/>
      </c>
      <c r="H152" s="90">
        <f>G152/$G$231</f>
        <v/>
      </c>
      <c r="I152" s="188">
        <f>ROUND(F152*Прил.10!$D$12,2)</f>
        <v/>
      </c>
      <c r="J152" s="188">
        <f>ROUND(I152*E152,2)</f>
        <v/>
      </c>
    </row>
    <row r="153" hidden="1" outlineLevel="1" ht="15.6" customFormat="1" customHeight="1" s="168">
      <c r="A153" s="186" t="n">
        <v>125</v>
      </c>
      <c r="B153" s="192" t="inlineStr">
        <is>
          <t>01.7.02.07-0011</t>
        </is>
      </c>
      <c r="C153" s="197" t="inlineStr">
        <is>
          <t>Прессшпан листовой, марка А</t>
        </is>
      </c>
      <c r="D153" s="201" t="inlineStr">
        <is>
          <t>кг</t>
        </is>
      </c>
      <c r="E153" s="198" t="n">
        <v>2.05</v>
      </c>
      <c r="F153" s="98" t="n">
        <v>47.57</v>
      </c>
      <c r="G153" s="188">
        <f>ROUND(F153*E153,2)</f>
        <v/>
      </c>
      <c r="H153" s="90">
        <f>G153/$G$231</f>
        <v/>
      </c>
      <c r="I153" s="188">
        <f>ROUND(F153*Прил.10!$D$12,2)</f>
        <v/>
      </c>
      <c r="J153" s="188">
        <f>ROUND(I153*E153,2)</f>
        <v/>
      </c>
    </row>
    <row r="154" hidden="1" outlineLevel="1" ht="15.6" customFormat="1" customHeight="1" s="168">
      <c r="A154" s="186" t="n">
        <v>126</v>
      </c>
      <c r="B154" s="192" t="inlineStr">
        <is>
          <t>Прайс из СД ОП</t>
        </is>
      </c>
      <c r="C154" s="197" t="inlineStr">
        <is>
          <t>Муфта приварная МП-СДУ-G1/2-А</t>
        </is>
      </c>
      <c r="D154" s="201" t="inlineStr">
        <is>
          <t>шт</t>
        </is>
      </c>
      <c r="E154" s="198" t="n">
        <v>3</v>
      </c>
      <c r="F154" s="98" t="n">
        <v>31.65</v>
      </c>
      <c r="G154" s="188">
        <f>ROUND(F154*E154,2)</f>
        <v/>
      </c>
      <c r="H154" s="90">
        <f>G154/$G$231</f>
        <v/>
      </c>
      <c r="I154" s="188">
        <f>ROUND(F154*Прил.10!$D$12,2)</f>
        <v/>
      </c>
      <c r="J154" s="188">
        <f>ROUND(I154*E154,2)</f>
        <v/>
      </c>
    </row>
    <row r="155" hidden="1" outlineLevel="1" ht="31.15" customFormat="1" customHeight="1" s="168">
      <c r="A155" s="186" t="n">
        <v>127</v>
      </c>
      <c r="B155" s="192" t="inlineStr">
        <is>
          <t>01.7.15.07-0012</t>
        </is>
      </c>
      <c r="C155" s="197" t="inlineStr">
        <is>
          <t>Дюбели пластмассовые с шурупами, размер 12х70 мм</t>
        </is>
      </c>
      <c r="D155" s="201" t="inlineStr">
        <is>
          <t>100 шт</t>
        </is>
      </c>
      <c r="E155" s="198" t="n">
        <v>1.06</v>
      </c>
      <c r="F155" s="98" t="n">
        <v>83</v>
      </c>
      <c r="G155" s="188">
        <f>ROUND(F155*E155,2)</f>
        <v/>
      </c>
      <c r="H155" s="90">
        <f>G155/$G$231</f>
        <v/>
      </c>
      <c r="I155" s="188">
        <f>ROUND(F155*Прил.10!$D$12,2)</f>
        <v/>
      </c>
      <c r="J155" s="188">
        <f>ROUND(I155*E155,2)</f>
        <v/>
      </c>
    </row>
    <row r="156" hidden="1" outlineLevel="1" ht="15.6" customFormat="1" customHeight="1" s="168">
      <c r="A156" s="186" t="n">
        <v>128</v>
      </c>
      <c r="B156" s="192" t="inlineStr">
        <is>
          <t>01.3.02.08-0001</t>
        </is>
      </c>
      <c r="C156" s="197" t="inlineStr">
        <is>
          <t>Кислород газообразный технический</t>
        </is>
      </c>
      <c r="D156" s="201" t="inlineStr">
        <is>
          <t>м3</t>
        </is>
      </c>
      <c r="E156" s="198" t="n">
        <v>13.7818165</v>
      </c>
      <c r="F156" s="98" t="n">
        <v>6.22</v>
      </c>
      <c r="G156" s="188">
        <f>ROUND(F156*E156,2)</f>
        <v/>
      </c>
      <c r="H156" s="90">
        <f>G156/$G$231</f>
        <v/>
      </c>
      <c r="I156" s="188">
        <f>ROUND(F156*Прил.10!$D$12,2)</f>
        <v/>
      </c>
      <c r="J156" s="188">
        <f>ROUND(I156*E156,2)</f>
        <v/>
      </c>
    </row>
    <row r="157" hidden="1" outlineLevel="1" ht="46.9" customFormat="1" customHeight="1" s="168">
      <c r="A157" s="186" t="n">
        <v>129</v>
      </c>
      <c r="B157" s="192" t="inlineStr">
        <is>
          <t>01.7.06.05-0041</t>
        </is>
      </c>
      <c r="C157" s="197" t="inlineStr">
        <is>
          <t>Лента изоляционная прорезиненная односторонняя, ширина 20 мм, толщина 0,25-0,35 мм</t>
        </is>
      </c>
      <c r="D157" s="201" t="inlineStr">
        <is>
          <t>кг</t>
        </is>
      </c>
      <c r="E157" s="198" t="n">
        <v>2.64</v>
      </c>
      <c r="F157" s="98" t="n">
        <v>30.4</v>
      </c>
      <c r="G157" s="188">
        <f>ROUND(F157*E157,2)</f>
        <v/>
      </c>
      <c r="H157" s="90">
        <f>G157/$G$231</f>
        <v/>
      </c>
      <c r="I157" s="188">
        <f>ROUND(F157*Прил.10!$D$12,2)</f>
        <v/>
      </c>
      <c r="J157" s="188">
        <f>ROUND(I157*E157,2)</f>
        <v/>
      </c>
    </row>
    <row r="158" hidden="1" outlineLevel="1" ht="15.6" customFormat="1" customHeight="1" s="168">
      <c r="A158" s="186" t="n">
        <v>130</v>
      </c>
      <c r="B158" s="192" t="inlineStr">
        <is>
          <t>17.1.02.03-0001</t>
        </is>
      </c>
      <c r="C158" s="197" t="inlineStr">
        <is>
          <t>Маты высокотемпературные МВТ-20</t>
        </is>
      </c>
      <c r="D158" s="201" t="inlineStr">
        <is>
          <t>м</t>
        </is>
      </c>
      <c r="E158" s="198" t="n">
        <v>8.6</v>
      </c>
      <c r="F158" s="98" t="n">
        <v>8.9</v>
      </c>
      <c r="G158" s="188">
        <f>ROUND(F158*E158,2)</f>
        <v/>
      </c>
      <c r="H158" s="90">
        <f>G158/$G$231</f>
        <v/>
      </c>
      <c r="I158" s="188">
        <f>ROUND(F158*Прил.10!$D$12,2)</f>
        <v/>
      </c>
      <c r="J158" s="188">
        <f>ROUND(I158*E158,2)</f>
        <v/>
      </c>
    </row>
    <row r="159" hidden="1" outlineLevel="1" ht="15.6" customFormat="1" customHeight="1" s="168">
      <c r="A159" s="186" t="n">
        <v>131</v>
      </c>
      <c r="B159" s="192" t="inlineStr">
        <is>
          <t>25.2.01.01-0017</t>
        </is>
      </c>
      <c r="C159" s="197" t="inlineStr">
        <is>
          <t>Бирки маркировочные пластмассовые</t>
        </is>
      </c>
      <c r="D159" s="201" t="inlineStr">
        <is>
          <t>100 шт</t>
        </is>
      </c>
      <c r="E159" s="198" t="n">
        <v>2.39</v>
      </c>
      <c r="F159" s="98" t="n">
        <v>30.74</v>
      </c>
      <c r="G159" s="188">
        <f>ROUND(F159*E159,2)</f>
        <v/>
      </c>
      <c r="H159" s="90">
        <f>G159/$G$231</f>
        <v/>
      </c>
      <c r="I159" s="188">
        <f>ROUND(F159*Прил.10!$D$12,2)</f>
        <v/>
      </c>
      <c r="J159" s="188">
        <f>ROUND(I159*E159,2)</f>
        <v/>
      </c>
    </row>
    <row r="160" hidden="1" outlineLevel="1" ht="15.6" customFormat="1" customHeight="1" s="168">
      <c r="A160" s="186" t="n">
        <v>132</v>
      </c>
      <c r="B160" s="192" t="inlineStr">
        <is>
          <t>20.2.01.05-0003</t>
        </is>
      </c>
      <c r="C160" s="197" t="inlineStr">
        <is>
          <t>Гильзы кабельные медные ГМ 6</t>
        </is>
      </c>
      <c r="D160" s="201" t="inlineStr">
        <is>
          <t>100 шт</t>
        </is>
      </c>
      <c r="E160" s="198" t="n">
        <v>0.65</v>
      </c>
      <c r="F160" s="98" t="n">
        <v>110</v>
      </c>
      <c r="G160" s="188">
        <f>ROUND(F160*E160,2)</f>
        <v/>
      </c>
      <c r="H160" s="90">
        <f>G160/$G$231</f>
        <v/>
      </c>
      <c r="I160" s="188">
        <f>ROUND(F160*Прил.10!$D$12,2)</f>
        <v/>
      </c>
      <c r="J160" s="188">
        <f>ROUND(I160*E160,2)</f>
        <v/>
      </c>
    </row>
    <row r="161" hidden="1" outlineLevel="1" ht="15.6" customFormat="1" customHeight="1" s="168">
      <c r="A161" s="186" t="n">
        <v>133</v>
      </c>
      <c r="B161" s="192" t="inlineStr">
        <is>
          <t>01.7.20.04-0003</t>
        </is>
      </c>
      <c r="C161" s="197" t="inlineStr">
        <is>
          <t>Нитки суровые</t>
        </is>
      </c>
      <c r="D161" s="201" t="inlineStr">
        <is>
          <t>кг</t>
        </is>
      </c>
      <c r="E161" s="198" t="n">
        <v>0.414</v>
      </c>
      <c r="F161" s="98" t="n">
        <v>155</v>
      </c>
      <c r="G161" s="188">
        <f>ROUND(F161*E161,2)</f>
        <v/>
      </c>
      <c r="H161" s="90">
        <f>G161/$G$231</f>
        <v/>
      </c>
      <c r="I161" s="188">
        <f>ROUND(F161*Прил.10!$D$12,2)</f>
        <v/>
      </c>
      <c r="J161" s="188">
        <f>ROUND(I161*E161,2)</f>
        <v/>
      </c>
    </row>
    <row r="162" hidden="1" outlineLevel="1" ht="15.6" customFormat="1" customHeight="1" s="168">
      <c r="A162" s="186" t="n">
        <v>134</v>
      </c>
      <c r="B162" s="192" t="inlineStr">
        <is>
          <t>01.7.07.29-0221</t>
        </is>
      </c>
      <c r="C162" s="197" t="inlineStr">
        <is>
          <t>Состав уплотнительный</t>
        </is>
      </c>
      <c r="D162" s="201" t="inlineStr">
        <is>
          <t>кг</t>
        </is>
      </c>
      <c r="E162" s="198" t="n">
        <v>3.6</v>
      </c>
      <c r="F162" s="98" t="n">
        <v>16.7</v>
      </c>
      <c r="G162" s="188">
        <f>ROUND(F162*E162,2)</f>
        <v/>
      </c>
      <c r="H162" s="90">
        <f>G162/$G$231</f>
        <v/>
      </c>
      <c r="I162" s="188">
        <f>ROUND(F162*Прил.10!$D$12,2)</f>
        <v/>
      </c>
      <c r="J162" s="188">
        <f>ROUND(I162*E162,2)</f>
        <v/>
      </c>
    </row>
    <row r="163" hidden="1" outlineLevel="1" ht="15.6" customFormat="1" customHeight="1" s="168">
      <c r="A163" s="186" t="n">
        <v>135</v>
      </c>
      <c r="B163" s="192" t="inlineStr">
        <is>
          <t>01.3.01.01-0001</t>
        </is>
      </c>
      <c r="C163" s="197" t="inlineStr">
        <is>
          <t>Бензин авиационный Б-70</t>
        </is>
      </c>
      <c r="D163" s="201" t="inlineStr">
        <is>
          <t>т</t>
        </is>
      </c>
      <c r="E163" s="198" t="n">
        <v>0.0129</v>
      </c>
      <c r="F163" s="98" t="n">
        <v>4488.4</v>
      </c>
      <c r="G163" s="188">
        <f>ROUND(F163*E163,2)</f>
        <v/>
      </c>
      <c r="H163" s="90">
        <f>G163/$G$231</f>
        <v/>
      </c>
      <c r="I163" s="188">
        <f>ROUND(F163*Прил.10!$D$12,2)</f>
        <v/>
      </c>
      <c r="J163" s="188">
        <f>ROUND(I163*E163,2)</f>
        <v/>
      </c>
    </row>
    <row r="164" hidden="1" outlineLevel="1" ht="15.6" customFormat="1" customHeight="1" s="168">
      <c r="A164" s="186" t="n">
        <v>136</v>
      </c>
      <c r="B164" s="192" t="inlineStr">
        <is>
          <t>01.7.07.29-0101</t>
        </is>
      </c>
      <c r="C164" s="197" t="inlineStr">
        <is>
          <t>Очес льняной</t>
        </is>
      </c>
      <c r="D164" s="201" t="inlineStr">
        <is>
          <t>кг</t>
        </is>
      </c>
      <c r="E164" s="198" t="n">
        <v>1.428</v>
      </c>
      <c r="F164" s="98" t="n">
        <v>37.29</v>
      </c>
      <c r="G164" s="188">
        <f>ROUND(F164*E164,2)</f>
        <v/>
      </c>
      <c r="H164" s="90">
        <f>G164/$G$231</f>
        <v/>
      </c>
      <c r="I164" s="188">
        <f>ROUND(F164*Прил.10!$D$12,2)</f>
        <v/>
      </c>
      <c r="J164" s="188">
        <f>ROUND(I164*E164,2)</f>
        <v/>
      </c>
    </row>
    <row r="165" hidden="1" outlineLevel="1" ht="15.6" customFormat="1" customHeight="1" s="168">
      <c r="A165" s="186" t="n">
        <v>137</v>
      </c>
      <c r="B165" s="192" t="inlineStr">
        <is>
          <t>14.5.05.02-0001</t>
        </is>
      </c>
      <c r="C165" s="197" t="inlineStr">
        <is>
          <t>Олифа натуральная</t>
        </is>
      </c>
      <c r="D165" s="201" t="inlineStr">
        <is>
          <t>кг</t>
        </is>
      </c>
      <c r="E165" s="198" t="n">
        <v>1.54</v>
      </c>
      <c r="F165" s="98" t="n">
        <v>32.6</v>
      </c>
      <c r="G165" s="188">
        <f>ROUND(F165*E165,2)</f>
        <v/>
      </c>
      <c r="H165" s="90">
        <f>G165/$G$231</f>
        <v/>
      </c>
      <c r="I165" s="188">
        <f>ROUND(F165*Прил.10!$D$12,2)</f>
        <v/>
      </c>
      <c r="J165" s="188">
        <f>ROUND(I165*E165,2)</f>
        <v/>
      </c>
    </row>
    <row r="166" hidden="1" outlineLevel="1" ht="15.6" customFormat="1" customHeight="1" s="168">
      <c r="A166" s="186" t="n">
        <v>138</v>
      </c>
      <c r="B166" s="192" t="inlineStr">
        <is>
          <t>20.1.02.06-0001</t>
        </is>
      </c>
      <c r="C166" s="197" t="inlineStr">
        <is>
          <t>Жир паяльный</t>
        </is>
      </c>
      <c r="D166" s="201" t="inlineStr">
        <is>
          <t>кг</t>
        </is>
      </c>
      <c r="E166" s="198" t="n">
        <v>0.48</v>
      </c>
      <c r="F166" s="98" t="n">
        <v>100.8</v>
      </c>
      <c r="G166" s="188">
        <f>ROUND(F166*E166,2)</f>
        <v/>
      </c>
      <c r="H166" s="90">
        <f>G166/$G$231</f>
        <v/>
      </c>
      <c r="I166" s="188">
        <f>ROUND(F166*Прил.10!$D$12,2)</f>
        <v/>
      </c>
      <c r="J166" s="188">
        <f>ROUND(I166*E166,2)</f>
        <v/>
      </c>
    </row>
    <row r="167" hidden="1" outlineLevel="1" ht="31.15" customFormat="1" customHeight="1" s="168">
      <c r="A167" s="186" t="n">
        <v>139</v>
      </c>
      <c r="B167" s="192" t="inlineStr">
        <is>
          <t>01.7.11.04-0071</t>
        </is>
      </c>
      <c r="C167" s="197" t="inlineStr">
        <is>
          <t>Проволока сварочная легированная, диаметр 2 мм</t>
        </is>
      </c>
      <c r="D167" s="201" t="inlineStr">
        <is>
          <t>т</t>
        </is>
      </c>
      <c r="E167" s="198" t="n">
        <v>0.002976</v>
      </c>
      <c r="F167" s="98" t="n">
        <v>16136</v>
      </c>
      <c r="G167" s="188">
        <f>ROUND(F167*E167,2)</f>
        <v/>
      </c>
      <c r="H167" s="90">
        <f>G167/$G$231</f>
        <v/>
      </c>
      <c r="I167" s="188">
        <f>ROUND(F167*Прил.10!$D$12,2)</f>
        <v/>
      </c>
      <c r="J167" s="188">
        <f>ROUND(I167*E167,2)</f>
        <v/>
      </c>
    </row>
    <row r="168" hidden="1" outlineLevel="1" ht="46.9" customFormat="1" customHeight="1" s="168">
      <c r="A168" s="186" t="n">
        <v>140</v>
      </c>
      <c r="B168" s="192" t="inlineStr">
        <is>
          <t>01.7.06.05-0042</t>
        </is>
      </c>
      <c r="C168" s="197" t="inlineStr">
        <is>
          <t>Лента липкая изоляционная на поликасиновом компаунде, ширина 20-30 мм, толщина от 0,14 до 0,19 мм</t>
        </is>
      </c>
      <c r="D168" s="201" t="inlineStr">
        <is>
          <t>кг</t>
        </is>
      </c>
      <c r="E168" s="198" t="n">
        <v>0.52</v>
      </c>
      <c r="F168" s="98" t="n">
        <v>91.29000000000001</v>
      </c>
      <c r="G168" s="188">
        <f>ROUND(F168*E168,2)</f>
        <v/>
      </c>
      <c r="H168" s="90">
        <f>G168/$G$231</f>
        <v/>
      </c>
      <c r="I168" s="188">
        <f>ROUND(F168*Прил.10!$D$12,2)</f>
        <v/>
      </c>
      <c r="J168" s="188">
        <f>ROUND(I168*E168,2)</f>
        <v/>
      </c>
    </row>
    <row r="169" hidden="1" outlineLevel="1" ht="31.15" customFormat="1" customHeight="1" s="168">
      <c r="A169" s="186" t="n">
        <v>141</v>
      </c>
      <c r="B169" s="192" t="inlineStr">
        <is>
          <t>14.4.02.04-0142</t>
        </is>
      </c>
      <c r="C169" s="197" t="inlineStr">
        <is>
          <t>Краска масляная земляная МА-0115, мумия, сурик железный</t>
        </is>
      </c>
      <c r="D169" s="201" t="inlineStr">
        <is>
          <t>кг</t>
        </is>
      </c>
      <c r="E169" s="198" t="n">
        <v>2.856</v>
      </c>
      <c r="F169" s="98" t="n">
        <v>15.12</v>
      </c>
      <c r="G169" s="188">
        <f>ROUND(F169*E169,2)</f>
        <v/>
      </c>
      <c r="H169" s="90">
        <f>G169/$G$231</f>
        <v/>
      </c>
      <c r="I169" s="188">
        <f>ROUND(F169*Прил.10!$D$12,2)</f>
        <v/>
      </c>
      <c r="J169" s="188">
        <f>ROUND(I169*E169,2)</f>
        <v/>
      </c>
    </row>
    <row r="170" hidden="1" outlineLevel="1" ht="31.15" customFormat="1" customHeight="1" s="168">
      <c r="A170" s="186" t="n">
        <v>142</v>
      </c>
      <c r="B170" s="192" t="inlineStr">
        <is>
          <t>01.7.11.07-0044</t>
        </is>
      </c>
      <c r="C170" s="197" t="inlineStr">
        <is>
          <t>Электроды сварочные Э42, диаметр 5 мм</t>
        </is>
      </c>
      <c r="D170" s="201" t="inlineStr">
        <is>
          <t>т</t>
        </is>
      </c>
      <c r="E170" s="198" t="n">
        <v>0.0040768</v>
      </c>
      <c r="F170" s="98" t="n">
        <v>9765</v>
      </c>
      <c r="G170" s="188">
        <f>ROUND(F170*E170,2)</f>
        <v/>
      </c>
      <c r="H170" s="90">
        <f>G170/$G$231</f>
        <v/>
      </c>
      <c r="I170" s="188">
        <f>ROUND(F170*Прил.10!$D$12,2)</f>
        <v/>
      </c>
      <c r="J170" s="188">
        <f>ROUND(I170*E170,2)</f>
        <v/>
      </c>
    </row>
    <row r="171" hidden="1" outlineLevel="1" ht="31.15" customFormat="1" customHeight="1" s="168">
      <c r="A171" s="186" t="n">
        <v>143</v>
      </c>
      <c r="B171" s="192" t="inlineStr">
        <is>
          <t>10.3.02.03-0012</t>
        </is>
      </c>
      <c r="C171" s="197" t="inlineStr">
        <is>
          <t>Припои оловянно-свинцовые бессурьмянистые, марка ПОС40</t>
        </is>
      </c>
      <c r="D171" s="201" t="inlineStr">
        <is>
          <t>т</t>
        </is>
      </c>
      <c r="E171" s="198" t="n">
        <v>0.000578</v>
      </c>
      <c r="F171" s="98" t="n">
        <v>65750</v>
      </c>
      <c r="G171" s="188">
        <f>ROUND(F171*E171,2)</f>
        <v/>
      </c>
      <c r="H171" s="90">
        <f>G171/$G$231</f>
        <v/>
      </c>
      <c r="I171" s="188">
        <f>ROUND(F171*Прил.10!$D$12,2)</f>
        <v/>
      </c>
      <c r="J171" s="188">
        <f>ROUND(I171*E171,2)</f>
        <v/>
      </c>
    </row>
    <row r="172" hidden="1" outlineLevel="1" ht="31.15" customFormat="1" customHeight="1" s="168">
      <c r="A172" s="186" t="n">
        <v>144</v>
      </c>
      <c r="B172" s="192" t="inlineStr">
        <is>
          <t>01.7.15.07-0022</t>
        </is>
      </c>
      <c r="C172" s="197" t="inlineStr">
        <is>
          <t>Дюбели распорные полиэтиленовые, размер 6х40 мм</t>
        </is>
      </c>
      <c r="D172" s="201" t="inlineStr">
        <is>
          <t>1000 шт</t>
        </is>
      </c>
      <c r="E172" s="198" t="n">
        <v>0.2</v>
      </c>
      <c r="F172" s="98" t="n">
        <v>180</v>
      </c>
      <c r="G172" s="188">
        <f>ROUND(F172*E172,2)</f>
        <v/>
      </c>
      <c r="H172" s="90">
        <f>G172/$G$231</f>
        <v/>
      </c>
      <c r="I172" s="188">
        <f>ROUND(F172*Прил.10!$D$12,2)</f>
        <v/>
      </c>
      <c r="J172" s="188">
        <f>ROUND(I172*E172,2)</f>
        <v/>
      </c>
    </row>
    <row r="173" hidden="1" outlineLevel="1" ht="31.15" customFormat="1" customHeight="1" s="168">
      <c r="A173" s="186" t="n">
        <v>145</v>
      </c>
      <c r="B173" s="192" t="inlineStr">
        <is>
          <t>01.7.15.02-0086</t>
        </is>
      </c>
      <c r="C173" s="197" t="inlineStr">
        <is>
          <t>Болты с шестигранной головкой, диаметр 20 (22) мм</t>
        </is>
      </c>
      <c r="D173" s="201" t="inlineStr">
        <is>
          <t>т</t>
        </is>
      </c>
      <c r="E173" s="198" t="n">
        <v>0.0028</v>
      </c>
      <c r="F173" s="98" t="n">
        <v>9800</v>
      </c>
      <c r="G173" s="188">
        <f>ROUND(F173*E173,2)</f>
        <v/>
      </c>
      <c r="H173" s="90">
        <f>G173/$G$231</f>
        <v/>
      </c>
      <c r="I173" s="188">
        <f>ROUND(F173*Прил.10!$D$12,2)</f>
        <v/>
      </c>
      <c r="J173" s="188">
        <f>ROUND(I173*E173,2)</f>
        <v/>
      </c>
    </row>
    <row r="174" hidden="1" outlineLevel="1" ht="31.15" customFormat="1" customHeight="1" s="168">
      <c r="A174" s="186" t="n">
        <v>146</v>
      </c>
      <c r="B174" s="192" t="inlineStr">
        <is>
          <t>01.7.02.04-0001</t>
        </is>
      </c>
      <c r="C174" s="197" t="inlineStr">
        <is>
          <t>Бумага кабельная электроизоляционная, двухслойная</t>
        </is>
      </c>
      <c r="D174" s="201" t="inlineStr">
        <is>
          <t>кг</t>
        </is>
      </c>
      <c r="E174" s="198" t="n">
        <v>1.2</v>
      </c>
      <c r="F174" s="98" t="n">
        <v>21.32</v>
      </c>
      <c r="G174" s="188">
        <f>ROUND(F174*E174,2)</f>
        <v/>
      </c>
      <c r="H174" s="90">
        <f>G174/$G$231</f>
        <v/>
      </c>
      <c r="I174" s="188">
        <f>ROUND(F174*Прил.10!$D$12,2)</f>
        <v/>
      </c>
      <c r="J174" s="188">
        <f>ROUND(I174*E174,2)</f>
        <v/>
      </c>
    </row>
    <row r="175" hidden="1" outlineLevel="1" ht="15.6" customFormat="1" customHeight="1" s="168">
      <c r="A175" s="186" t="n">
        <v>147</v>
      </c>
      <c r="B175" s="192" t="inlineStr">
        <is>
          <t>20.1.02.23-0082</t>
        </is>
      </c>
      <c r="C175" s="197" t="inlineStr">
        <is>
          <t>Перемычки гибкие, тип ПГС-50</t>
        </is>
      </c>
      <c r="D175" s="201" t="inlineStr">
        <is>
          <t>10 шт</t>
        </is>
      </c>
      <c r="E175" s="198" t="n">
        <v>0.6</v>
      </c>
      <c r="F175" s="98" t="n">
        <v>39</v>
      </c>
      <c r="G175" s="188">
        <f>ROUND(F175*E175,2)</f>
        <v/>
      </c>
      <c r="H175" s="90">
        <f>G175/$G$231</f>
        <v/>
      </c>
      <c r="I175" s="188">
        <f>ROUND(F175*Прил.10!$D$12,2)</f>
        <v/>
      </c>
      <c r="J175" s="188">
        <f>ROUND(I175*E175,2)</f>
        <v/>
      </c>
    </row>
    <row r="176" hidden="1" outlineLevel="1" ht="15.6" customFormat="1" customHeight="1" s="168">
      <c r="A176" s="186" t="n">
        <v>148</v>
      </c>
      <c r="B176" s="192" t="inlineStr">
        <is>
          <t>01.3.02.09-0022</t>
        </is>
      </c>
      <c r="C176" s="197" t="inlineStr">
        <is>
          <t>Пропан-бутан смесь техническая</t>
        </is>
      </c>
      <c r="D176" s="201" t="inlineStr">
        <is>
          <t>кг</t>
        </is>
      </c>
      <c r="E176" s="198" t="n">
        <v>3.6335573</v>
      </c>
      <c r="F176" s="98" t="n">
        <v>6.09</v>
      </c>
      <c r="G176" s="188">
        <f>ROUND(F176*E176,2)</f>
        <v/>
      </c>
      <c r="H176" s="90">
        <f>G176/$G$231</f>
        <v/>
      </c>
      <c r="I176" s="188">
        <f>ROUND(F176*Прил.10!$D$12,2)</f>
        <v/>
      </c>
      <c r="J176" s="188">
        <f>ROUND(I176*E176,2)</f>
        <v/>
      </c>
    </row>
    <row r="177" hidden="1" outlineLevel="1" ht="31.15" customFormat="1" customHeight="1" s="168">
      <c r="A177" s="186" t="n">
        <v>149</v>
      </c>
      <c r="B177" s="192" t="inlineStr">
        <is>
          <t>01.7.19.02-0011</t>
        </is>
      </c>
      <c r="C177" s="197" t="inlineStr">
        <is>
          <t>Кольца резиновые двухлепестковые диаметром 50 мм</t>
        </is>
      </c>
      <c r="D177" s="201" t="inlineStr">
        <is>
          <t>100 шт</t>
        </is>
      </c>
      <c r="E177" s="198" t="n">
        <v>0.1</v>
      </c>
      <c r="F177" s="98" t="n">
        <v>204</v>
      </c>
      <c r="G177" s="188">
        <f>ROUND(F177*E177,2)</f>
        <v/>
      </c>
      <c r="H177" s="90">
        <f>G177/$G$231</f>
        <v/>
      </c>
      <c r="I177" s="188">
        <f>ROUND(F177*Прил.10!$D$12,2)</f>
        <v/>
      </c>
      <c r="J177" s="188">
        <f>ROUND(I177*E177,2)</f>
        <v/>
      </c>
    </row>
    <row r="178" hidden="1" outlineLevel="1" ht="31.15" customFormat="1" customHeight="1" s="168">
      <c r="A178" s="186" t="n">
        <v>150</v>
      </c>
      <c r="B178" s="192" t="inlineStr">
        <is>
          <t>01.7.15.14-0165</t>
        </is>
      </c>
      <c r="C178" s="197" t="inlineStr">
        <is>
          <t>Шурупы с полукруглой головкой 4х40 мм</t>
        </is>
      </c>
      <c r="D178" s="201" t="inlineStr">
        <is>
          <t>т</t>
        </is>
      </c>
      <c r="E178" s="198" t="n">
        <v>0.001638</v>
      </c>
      <c r="F178" s="98" t="n">
        <v>12430</v>
      </c>
      <c r="G178" s="188">
        <f>ROUND(F178*E178,2)</f>
        <v/>
      </c>
      <c r="H178" s="90">
        <f>G178/$G$231</f>
        <v/>
      </c>
      <c r="I178" s="188">
        <f>ROUND(F178*Прил.10!$D$12,2)</f>
        <v/>
      </c>
      <c r="J178" s="188">
        <f>ROUND(I178*E178,2)</f>
        <v/>
      </c>
    </row>
    <row r="179" hidden="1" outlineLevel="1" ht="15.6" customFormat="1" customHeight="1" s="168">
      <c r="A179" s="186" t="n">
        <v>151</v>
      </c>
      <c r="B179" s="192" t="inlineStr">
        <is>
          <t>14.4.03.03-0002</t>
        </is>
      </c>
      <c r="C179" s="197" t="inlineStr">
        <is>
          <t>Лак битумный БТ-123</t>
        </is>
      </c>
      <c r="D179" s="201" t="inlineStr">
        <is>
          <t>т</t>
        </is>
      </c>
      <c r="E179" s="198" t="n">
        <v>0.002532</v>
      </c>
      <c r="F179" s="98" t="n">
        <v>7826.9</v>
      </c>
      <c r="G179" s="188">
        <f>ROUND(F179*E179,2)</f>
        <v/>
      </c>
      <c r="H179" s="90">
        <f>G179/$G$231</f>
        <v/>
      </c>
      <c r="I179" s="188">
        <f>ROUND(F179*Прил.10!$D$12,2)</f>
        <v/>
      </c>
      <c r="J179" s="188">
        <f>ROUND(I179*E179,2)</f>
        <v/>
      </c>
    </row>
    <row r="180" hidden="1" outlineLevel="1" ht="31.15" customFormat="1" customHeight="1" s="168">
      <c r="A180" s="186" t="n">
        <v>152</v>
      </c>
      <c r="B180" s="192" t="inlineStr">
        <is>
          <t>01.7.07.10-0001</t>
        </is>
      </c>
      <c r="C180" s="197" t="inlineStr">
        <is>
          <t>Патроны для строительно-монтажного пистолета</t>
        </is>
      </c>
      <c r="D180" s="201" t="inlineStr">
        <is>
          <t>1000 шт</t>
        </is>
      </c>
      <c r="E180" s="198" t="n">
        <v>0.07675999999999999</v>
      </c>
      <c r="F180" s="98" t="n">
        <v>253.8</v>
      </c>
      <c r="G180" s="188">
        <f>ROUND(F180*E180,2)</f>
        <v/>
      </c>
      <c r="H180" s="90">
        <f>G180/$G$231</f>
        <v/>
      </c>
      <c r="I180" s="188">
        <f>ROUND(F180*Прил.10!$D$12,2)</f>
        <v/>
      </c>
      <c r="J180" s="188">
        <f>ROUND(I180*E180,2)</f>
        <v/>
      </c>
    </row>
    <row r="181" hidden="1" outlineLevel="1" ht="15.6" customFormat="1" customHeight="1" s="168">
      <c r="A181" s="186" t="n">
        <v>153</v>
      </c>
      <c r="B181" s="192" t="inlineStr">
        <is>
          <t>20.2.02.01-0012</t>
        </is>
      </c>
      <c r="C181" s="197" t="inlineStr">
        <is>
          <t>Втулки, диаметр 22 мм</t>
        </is>
      </c>
      <c r="D181" s="201" t="inlineStr">
        <is>
          <t>1000 шт</t>
        </is>
      </c>
      <c r="E181" s="198" t="n">
        <v>0.1586</v>
      </c>
      <c r="F181" s="98" t="n">
        <v>119</v>
      </c>
      <c r="G181" s="188">
        <f>ROUND(F181*E181,2)</f>
        <v/>
      </c>
      <c r="H181" s="90">
        <f>G181/$G$231</f>
        <v/>
      </c>
      <c r="I181" s="188">
        <f>ROUND(F181*Прил.10!$D$12,2)</f>
        <v/>
      </c>
      <c r="J181" s="188">
        <f>ROUND(I181*E181,2)</f>
        <v/>
      </c>
    </row>
    <row r="182" hidden="1" outlineLevel="1" ht="31.15" customFormat="1" customHeight="1" s="168">
      <c r="A182" s="186" t="n">
        <v>154</v>
      </c>
      <c r="B182" s="192" t="inlineStr">
        <is>
          <t>14.5.05.01-0011</t>
        </is>
      </c>
      <c r="C182" s="197" t="inlineStr">
        <is>
          <t>Олифа комбинированная для отделочных работ внутри помещений</t>
        </is>
      </c>
      <c r="D182" s="201" t="inlineStr">
        <is>
          <t>т</t>
        </is>
      </c>
      <c r="E182" s="198" t="n">
        <v>0.000855</v>
      </c>
      <c r="F182" s="98" t="n">
        <v>20775</v>
      </c>
      <c r="G182" s="188">
        <f>ROUND(F182*E182,2)</f>
        <v/>
      </c>
      <c r="H182" s="90">
        <f>G182/$G$231</f>
        <v/>
      </c>
      <c r="I182" s="188">
        <f>ROUND(F182*Прил.10!$D$12,2)</f>
        <v/>
      </c>
      <c r="J182" s="188">
        <f>ROUND(I182*E182,2)</f>
        <v/>
      </c>
    </row>
    <row r="183" hidden="1" outlineLevel="1" ht="62.45" customFormat="1" customHeight="1" s="168">
      <c r="A183" s="186" t="n">
        <v>155</v>
      </c>
      <c r="B183" s="192" t="inlineStr">
        <is>
          <t>01.7.15.07-0052</t>
        </is>
      </c>
      <c r="C183" s="197" t="inlineStr">
        <is>
          <t>Дюбели с калиброванной головкой (в обоймах) с цинковым хроматированным покрытием, размер 3х58,5 мм</t>
        </is>
      </c>
      <c r="D183" s="201" t="inlineStr">
        <is>
          <t>т</t>
        </is>
      </c>
      <c r="E183" s="198" t="n">
        <v>0.00068</v>
      </c>
      <c r="F183" s="98" t="n">
        <v>22558</v>
      </c>
      <c r="G183" s="188">
        <f>ROUND(F183*E183,2)</f>
        <v/>
      </c>
      <c r="H183" s="90">
        <f>G183/$G$231</f>
        <v/>
      </c>
      <c r="I183" s="188">
        <f>ROUND(F183*Прил.10!$D$12,2)</f>
        <v/>
      </c>
      <c r="J183" s="188">
        <f>ROUND(I183*E183,2)</f>
        <v/>
      </c>
    </row>
    <row r="184" hidden="1" outlineLevel="1" ht="15.6" customFormat="1" customHeight="1" s="168">
      <c r="A184" s="186" t="n">
        <v>156</v>
      </c>
      <c r="B184" s="192" t="inlineStr">
        <is>
          <t>01.7.07.20-0002</t>
        </is>
      </c>
      <c r="C184" s="197" t="inlineStr">
        <is>
          <t>Тальк молотый, сорт I</t>
        </is>
      </c>
      <c r="D184" s="201" t="inlineStr">
        <is>
          <t>т</t>
        </is>
      </c>
      <c r="E184" s="198" t="n">
        <v>0.008015</v>
      </c>
      <c r="F184" s="98" t="n">
        <v>1820</v>
      </c>
      <c r="G184" s="188">
        <f>ROUND(F184*E184,2)</f>
        <v/>
      </c>
      <c r="H184" s="90">
        <f>G184/$G$231</f>
        <v/>
      </c>
      <c r="I184" s="188">
        <f>ROUND(F184*Прил.10!$D$12,2)</f>
        <v/>
      </c>
      <c r="J184" s="188">
        <f>ROUND(I184*E184,2)</f>
        <v/>
      </c>
    </row>
    <row r="185" hidden="1" outlineLevel="1" ht="31.15" customFormat="1" customHeight="1" s="168">
      <c r="A185" s="186" t="n">
        <v>157</v>
      </c>
      <c r="B185" s="192" t="inlineStr">
        <is>
          <t>08.3.08.02-0091</t>
        </is>
      </c>
      <c r="C185" s="197" t="inlineStr">
        <is>
          <t>Уголок перфорированный, марка стали Ст3, размер 35х35 мм</t>
        </is>
      </c>
      <c r="D185" s="201" t="inlineStr">
        <is>
          <t>м</t>
        </is>
      </c>
      <c r="E185" s="198" t="n">
        <v>0.95</v>
      </c>
      <c r="F185" s="98" t="n">
        <v>15.13</v>
      </c>
      <c r="G185" s="188">
        <f>ROUND(F185*E185,2)</f>
        <v/>
      </c>
      <c r="H185" s="90">
        <f>G185/$G$231</f>
        <v/>
      </c>
      <c r="I185" s="188">
        <f>ROUND(F185*Прил.10!$D$12,2)</f>
        <v/>
      </c>
      <c r="J185" s="188">
        <f>ROUND(I185*E185,2)</f>
        <v/>
      </c>
    </row>
    <row r="186" hidden="1" outlineLevel="1" ht="15.6" customFormat="1" customHeight="1" s="168">
      <c r="A186" s="186" t="n">
        <v>158</v>
      </c>
      <c r="B186" s="192" t="inlineStr">
        <is>
          <t>14.4.03.17-0011</t>
        </is>
      </c>
      <c r="C186" s="197" t="inlineStr">
        <is>
          <t>Лак электроизоляционный 318</t>
        </is>
      </c>
      <c r="D186" s="201" t="inlineStr">
        <is>
          <t>кг</t>
        </is>
      </c>
      <c r="E186" s="198" t="n">
        <v>0.382</v>
      </c>
      <c r="F186" s="98" t="n">
        <v>35.63</v>
      </c>
      <c r="G186" s="188">
        <f>ROUND(F186*E186,2)</f>
        <v/>
      </c>
      <c r="H186" s="90">
        <f>G186/$G$231</f>
        <v/>
      </c>
      <c r="I186" s="188">
        <f>ROUND(F186*Прил.10!$D$12,2)</f>
        <v/>
      </c>
      <c r="J186" s="188">
        <f>ROUND(I186*E186,2)</f>
        <v/>
      </c>
    </row>
    <row r="187" hidden="1" outlineLevel="1" ht="31.15" customFormat="1" customHeight="1" s="168">
      <c r="A187" s="186" t="n">
        <v>159</v>
      </c>
      <c r="B187" s="192" t="inlineStr">
        <is>
          <t>18.5.08.18-0061</t>
        </is>
      </c>
      <c r="C187" s="197" t="inlineStr">
        <is>
          <t>Колпачки изоляции места соединения однопроволочных жил</t>
        </is>
      </c>
      <c r="D187" s="201" t="inlineStr">
        <is>
          <t>1000 шт</t>
        </is>
      </c>
      <c r="E187" s="198" t="n">
        <v>0.07675999999999999</v>
      </c>
      <c r="F187" s="98" t="n">
        <v>135.82</v>
      </c>
      <c r="G187" s="188">
        <f>ROUND(F187*E187,2)</f>
        <v/>
      </c>
      <c r="H187" s="90">
        <f>G187/$G$231</f>
        <v/>
      </c>
      <c r="I187" s="188">
        <f>ROUND(F187*Прил.10!$D$12,2)</f>
        <v/>
      </c>
      <c r="J187" s="188">
        <f>ROUND(I187*E187,2)</f>
        <v/>
      </c>
    </row>
    <row r="188" hidden="1" outlineLevel="1" ht="62.45" customFormat="1" customHeight="1" s="168">
      <c r="A188" s="186" t="n">
        <v>160</v>
      </c>
      <c r="B188" s="192" t="inlineStr">
        <is>
          <t>01.7.15.14-0043</t>
        </is>
      </c>
      <c r="C188" s="197" t="inlineStr">
        <is>
          <t>Шурупы самонарезающий прокалывающий, для крепления металлических профилей или листовых деталей 3,5/11 мм</t>
        </is>
      </c>
      <c r="D188" s="201" t="inlineStr">
        <is>
          <t>100 шт</t>
        </is>
      </c>
      <c r="E188" s="198" t="n">
        <v>5.1</v>
      </c>
      <c r="F188" s="98" t="n">
        <v>2</v>
      </c>
      <c r="G188" s="188">
        <f>ROUND(F188*E188,2)</f>
        <v/>
      </c>
      <c r="H188" s="90">
        <f>G188/$G$231</f>
        <v/>
      </c>
      <c r="I188" s="188">
        <f>ROUND(F188*Прил.10!$D$12,2)</f>
        <v/>
      </c>
      <c r="J188" s="188">
        <f>ROUND(I188*E188,2)</f>
        <v/>
      </c>
    </row>
    <row r="189" hidden="1" outlineLevel="1" ht="15.6" customFormat="1" customHeight="1" s="168">
      <c r="A189" s="186" t="n">
        <v>161</v>
      </c>
      <c r="B189" s="192" t="inlineStr">
        <is>
          <t>01.7.03.01-0002</t>
        </is>
      </c>
      <c r="C189" s="197" t="inlineStr">
        <is>
          <t>Вода водопроводная</t>
        </is>
      </c>
      <c r="D189" s="201" t="inlineStr">
        <is>
          <t>м3</t>
        </is>
      </c>
      <c r="E189" s="198" t="n">
        <v>3</v>
      </c>
      <c r="F189" s="98" t="n">
        <v>3.15</v>
      </c>
      <c r="G189" s="188">
        <f>ROUND(F189*E189,2)</f>
        <v/>
      </c>
      <c r="H189" s="90">
        <f>G189/$G$231</f>
        <v/>
      </c>
      <c r="I189" s="188">
        <f>ROUND(F189*Прил.10!$D$12,2)</f>
        <v/>
      </c>
      <c r="J189" s="188">
        <f>ROUND(I189*E189,2)</f>
        <v/>
      </c>
    </row>
    <row r="190" hidden="1" outlineLevel="1" ht="15.6" customFormat="1" customHeight="1" s="168">
      <c r="A190" s="186" t="n">
        <v>162</v>
      </c>
      <c r="B190" s="192" t="inlineStr">
        <is>
          <t>01.3.02.03-0001</t>
        </is>
      </c>
      <c r="C190" s="197" t="inlineStr">
        <is>
          <t>Ацетилен газообразный технический</t>
        </is>
      </c>
      <c r="D190" s="201" t="inlineStr">
        <is>
          <t>м3</t>
        </is>
      </c>
      <c r="E190" s="198" t="n">
        <v>0.237</v>
      </c>
      <c r="F190" s="98" t="n">
        <v>38.51</v>
      </c>
      <c r="G190" s="188">
        <f>ROUND(F190*E190,2)</f>
        <v/>
      </c>
      <c r="H190" s="90">
        <f>G190/$G$231</f>
        <v/>
      </c>
      <c r="I190" s="188">
        <f>ROUND(F190*Прил.10!$D$12,2)</f>
        <v/>
      </c>
      <c r="J190" s="188">
        <f>ROUND(I190*E190,2)</f>
        <v/>
      </c>
    </row>
    <row r="191" hidden="1" outlineLevel="1" ht="15.6" customFormat="1" customHeight="1" s="168">
      <c r="A191" s="186" t="n">
        <v>163</v>
      </c>
      <c r="B191" s="192" t="inlineStr">
        <is>
          <t>01.7.06.07-0002</t>
        </is>
      </c>
      <c r="C191" s="197" t="inlineStr">
        <is>
          <t>Лента монтажная, тип ЛМ-5</t>
        </is>
      </c>
      <c r="D191" s="201" t="inlineStr">
        <is>
          <t>10 м</t>
        </is>
      </c>
      <c r="E191" s="198" t="n">
        <v>1.24745</v>
      </c>
      <c r="F191" s="98" t="n">
        <v>6.9</v>
      </c>
      <c r="G191" s="188">
        <f>ROUND(F191*E191,2)</f>
        <v/>
      </c>
      <c r="H191" s="90">
        <f>G191/$G$231</f>
        <v/>
      </c>
      <c r="I191" s="188">
        <f>ROUND(F191*Прил.10!$D$12,2)</f>
        <v/>
      </c>
      <c r="J191" s="188">
        <f>ROUND(I191*E191,2)</f>
        <v/>
      </c>
    </row>
    <row r="192" hidden="1" outlineLevel="1" ht="15.6" customFormat="1" customHeight="1" s="168">
      <c r="A192" s="186" t="n">
        <v>164</v>
      </c>
      <c r="B192" s="192" t="inlineStr">
        <is>
          <t>14.4.02.09-0001</t>
        </is>
      </c>
      <c r="C192" s="197" t="inlineStr">
        <is>
          <t>Краска</t>
        </is>
      </c>
      <c r="D192" s="201" t="inlineStr">
        <is>
          <t>кг</t>
        </is>
      </c>
      <c r="E192" s="198" t="n">
        <v>0.3</v>
      </c>
      <c r="F192" s="98" t="n">
        <v>28.6</v>
      </c>
      <c r="G192" s="188">
        <f>ROUND(F192*E192,2)</f>
        <v/>
      </c>
      <c r="H192" s="90">
        <f>G192/$G$231</f>
        <v/>
      </c>
      <c r="I192" s="188">
        <f>ROUND(F192*Прил.10!$D$12,2)</f>
        <v/>
      </c>
      <c r="J192" s="188">
        <f>ROUND(I192*E192,2)</f>
        <v/>
      </c>
    </row>
    <row r="193" hidden="1" outlineLevel="1" ht="31.15" customFormat="1" customHeight="1" s="168">
      <c r="A193" s="186" t="n">
        <v>165</v>
      </c>
      <c r="B193" s="192" t="inlineStr">
        <is>
          <t>01.1.01.09-0024</t>
        </is>
      </c>
      <c r="C193" s="197" t="inlineStr">
        <is>
          <t>Шнур асбестовый общего назначения ШАОН, диаметр 3-5 мм</t>
        </is>
      </c>
      <c r="D193" s="201" t="inlineStr">
        <is>
          <t>т</t>
        </is>
      </c>
      <c r="E193" s="198" t="n">
        <v>0.0003</v>
      </c>
      <c r="F193" s="98" t="n">
        <v>26950</v>
      </c>
      <c r="G193" s="188">
        <f>ROUND(F193*E193,2)</f>
        <v/>
      </c>
      <c r="H193" s="90">
        <f>G193/$G$231</f>
        <v/>
      </c>
      <c r="I193" s="188">
        <f>ROUND(F193*Прил.10!$D$12,2)</f>
        <v/>
      </c>
      <c r="J193" s="188">
        <f>ROUND(I193*E193,2)</f>
        <v/>
      </c>
    </row>
    <row r="194" hidden="1" outlineLevel="1" ht="31.15" customFormat="1" customHeight="1" s="168">
      <c r="A194" s="186" t="n">
        <v>166</v>
      </c>
      <c r="B194" s="192" t="inlineStr">
        <is>
          <t>14.4.02.04-0165</t>
        </is>
      </c>
      <c r="C194" s="197" t="inlineStr">
        <is>
          <t>Белила цинковые густотертые МА-011-2Н</t>
        </is>
      </c>
      <c r="D194" s="201" t="inlineStr">
        <is>
          <t>т</t>
        </is>
      </c>
      <c r="E194" s="198" t="n">
        <v>0.00028</v>
      </c>
      <c r="F194" s="98" t="n">
        <v>26891.18</v>
      </c>
      <c r="G194" s="188">
        <f>ROUND(F194*E194,2)</f>
        <v/>
      </c>
      <c r="H194" s="90">
        <f>G194/$G$231</f>
        <v/>
      </c>
      <c r="I194" s="188">
        <f>ROUND(F194*Прил.10!$D$12,2)</f>
        <v/>
      </c>
      <c r="J194" s="188">
        <f>ROUND(I194*E194,2)</f>
        <v/>
      </c>
    </row>
    <row r="195" hidden="1" outlineLevel="1" ht="15.6" customFormat="1" customHeight="1" s="168">
      <c r="A195" s="186" t="n">
        <v>167</v>
      </c>
      <c r="B195" s="192" t="inlineStr">
        <is>
          <t>01.7.07.29-0111</t>
        </is>
      </c>
      <c r="C195" s="197" t="inlineStr">
        <is>
          <t>Пакля пропитанная</t>
        </is>
      </c>
      <c r="D195" s="201" t="inlineStr">
        <is>
          <t>кг</t>
        </is>
      </c>
      <c r="E195" s="198" t="n">
        <v>0.75</v>
      </c>
      <c r="F195" s="98" t="n">
        <v>9.039999999999999</v>
      </c>
      <c r="G195" s="188">
        <f>ROUND(F195*E195,2)</f>
        <v/>
      </c>
      <c r="H195" s="90">
        <f>G195/$G$231</f>
        <v/>
      </c>
      <c r="I195" s="188">
        <f>ROUND(F195*Прил.10!$D$12,2)</f>
        <v/>
      </c>
      <c r="J195" s="188">
        <f>ROUND(I195*E195,2)</f>
        <v/>
      </c>
    </row>
    <row r="196" hidden="1" outlineLevel="1" ht="31.15" customFormat="1" customHeight="1" s="168">
      <c r="A196" s="186" t="n">
        <v>168</v>
      </c>
      <c r="B196" s="192" t="inlineStr">
        <is>
          <t>01.7.15.07-0062</t>
        </is>
      </c>
      <c r="C196" s="197" t="inlineStr">
        <is>
          <t>Дюбели с калиброванной головкой (россыпью), размер 3х58,5 мм</t>
        </is>
      </c>
      <c r="D196" s="201" t="inlineStr">
        <is>
          <t>т</t>
        </is>
      </c>
      <c r="E196" s="198" t="n">
        <v>0.0002422</v>
      </c>
      <c r="F196" s="98" t="n">
        <v>25425</v>
      </c>
      <c r="G196" s="188">
        <f>ROUND(F196*E196,2)</f>
        <v/>
      </c>
      <c r="H196" s="90">
        <f>G196/$G$231</f>
        <v/>
      </c>
      <c r="I196" s="188">
        <f>ROUND(F196*Прил.10!$D$12,2)</f>
        <v/>
      </c>
      <c r="J196" s="188">
        <f>ROUND(I196*E196,2)</f>
        <v/>
      </c>
    </row>
    <row r="197" hidden="1" outlineLevel="1" ht="31.15" customFormat="1" customHeight="1" s="168">
      <c r="A197" s="186" t="n">
        <v>169</v>
      </c>
      <c r="B197" s="192" t="inlineStr">
        <is>
          <t>08.3.05.02-0052</t>
        </is>
      </c>
      <c r="C197" s="197" t="inlineStr">
        <is>
          <t>Прокат толстолистовой горячекатаный марка стали Ст3, толщина 2-6 мм</t>
        </is>
      </c>
      <c r="D197" s="201" t="inlineStr">
        <is>
          <t>т</t>
        </is>
      </c>
      <c r="E197" s="198" t="n">
        <v>0.001</v>
      </c>
      <c r="F197" s="98" t="n">
        <v>5941.89</v>
      </c>
      <c r="G197" s="188">
        <f>ROUND(F197*E197,2)</f>
        <v/>
      </c>
      <c r="H197" s="90">
        <f>G197/$G$231</f>
        <v/>
      </c>
      <c r="I197" s="188">
        <f>ROUND(F197*Прил.10!$D$12,2)</f>
        <v/>
      </c>
      <c r="J197" s="188">
        <f>ROUND(I197*E197,2)</f>
        <v/>
      </c>
    </row>
    <row r="198" hidden="1" outlineLevel="1" ht="31.15" customFormat="1" customHeight="1" s="168">
      <c r="A198" s="186" t="n">
        <v>170</v>
      </c>
      <c r="B198" s="192" t="inlineStr">
        <is>
          <t>Прайс из СД ОП</t>
        </is>
      </c>
      <c r="C198" s="197" t="inlineStr">
        <is>
          <t>Заглушка испытательная переходная под ниппель еф6.433.079-01</t>
        </is>
      </c>
      <c r="D198" s="201" t="inlineStr">
        <is>
          <t>шт</t>
        </is>
      </c>
      <c r="E198" s="198" t="n">
        <v>1</v>
      </c>
      <c r="F198" s="98" t="n">
        <v>4.98</v>
      </c>
      <c r="G198" s="188">
        <f>ROUND(F198*E198,2)</f>
        <v/>
      </c>
      <c r="H198" s="90">
        <f>G198/$G$231</f>
        <v/>
      </c>
      <c r="I198" s="188">
        <f>ROUND(F198*Прил.10!$D$12,2)</f>
        <v/>
      </c>
      <c r="J198" s="188">
        <f>ROUND(I198*E198,2)</f>
        <v/>
      </c>
    </row>
    <row r="199" hidden="1" outlineLevel="1" ht="15.6" customFormat="1" customHeight="1" s="168">
      <c r="A199" s="186" t="n">
        <v>171</v>
      </c>
      <c r="B199" s="192" t="inlineStr">
        <is>
          <t>Прайс из СД ОП</t>
        </is>
      </c>
      <c r="C199" s="197" t="inlineStr">
        <is>
          <t>Заглушка испытательная еф6.433.078</t>
        </is>
      </c>
      <c r="D199" s="201" t="inlineStr">
        <is>
          <t>шт</t>
        </is>
      </c>
      <c r="E199" s="198" t="n">
        <v>1</v>
      </c>
      <c r="F199" s="98" t="n">
        <v>4.98</v>
      </c>
      <c r="G199" s="188">
        <f>ROUND(F199*E199,2)</f>
        <v/>
      </c>
      <c r="H199" s="90">
        <f>G199/$G$231</f>
        <v/>
      </c>
      <c r="I199" s="188">
        <f>ROUND(F199*Прил.10!$D$12,2)</f>
        <v/>
      </c>
      <c r="J199" s="188">
        <f>ROUND(I199*E199,2)</f>
        <v/>
      </c>
    </row>
    <row r="200" hidden="1" outlineLevel="1" ht="15.6" customFormat="1" customHeight="1" s="168">
      <c r="A200" s="186" t="n">
        <v>172</v>
      </c>
      <c r="B200" s="192" t="inlineStr">
        <is>
          <t>01.3.02.06-0011</t>
        </is>
      </c>
      <c r="C200" s="197" t="inlineStr">
        <is>
          <t>Углекислый газ</t>
        </is>
      </c>
      <c r="D200" s="201" t="inlineStr">
        <is>
          <t>т</t>
        </is>
      </c>
      <c r="E200" s="198" t="n">
        <v>0.00171</v>
      </c>
      <c r="F200" s="98" t="n">
        <v>2825</v>
      </c>
      <c r="G200" s="188">
        <f>ROUND(F200*E200,2)</f>
        <v/>
      </c>
      <c r="H200" s="90">
        <f>G200/$G$231</f>
        <v/>
      </c>
      <c r="I200" s="188">
        <f>ROUND(F200*Прил.10!$D$12,2)</f>
        <v/>
      </c>
      <c r="J200" s="188">
        <f>ROUND(I200*E200,2)</f>
        <v/>
      </c>
    </row>
    <row r="201" hidden="1" outlineLevel="1" ht="31.15" customFormat="1" customHeight="1" s="168">
      <c r="A201" s="186" t="n">
        <v>173</v>
      </c>
      <c r="B201" s="192" t="inlineStr">
        <is>
          <t>01.7.11.07-0036</t>
        </is>
      </c>
      <c r="C201" s="197" t="inlineStr">
        <is>
          <t>Электроды сварочные Э46, диаметр 4 мм</t>
        </is>
      </c>
      <c r="D201" s="201" t="inlineStr">
        <is>
          <t>кг</t>
        </is>
      </c>
      <c r="E201" s="198" t="n">
        <v>0.31458</v>
      </c>
      <c r="F201" s="98" t="n">
        <v>10.75</v>
      </c>
      <c r="G201" s="188">
        <f>ROUND(F201*E201,2)</f>
        <v/>
      </c>
      <c r="H201" s="90">
        <f>G201/$G$231</f>
        <v/>
      </c>
      <c r="I201" s="188">
        <f>ROUND(F201*Прил.10!$D$12,2)</f>
        <v/>
      </c>
      <c r="J201" s="188">
        <f>ROUND(I201*E201,2)</f>
        <v/>
      </c>
    </row>
    <row r="202" hidden="1" outlineLevel="1" ht="46.9" customFormat="1" customHeight="1" s="168">
      <c r="A202" s="186" t="n">
        <v>174</v>
      </c>
      <c r="B202" s="192" t="inlineStr">
        <is>
          <t>10.2.02.08-0001</t>
        </is>
      </c>
      <c r="C202" s="197" t="inlineStr">
        <is>
          <t>Проволока медная, круглая, мягкая, электротехническая, диаметр 1,0-3,0 мм и выше</t>
        </is>
      </c>
      <c r="D202" s="201" t="inlineStr">
        <is>
          <t>т</t>
        </is>
      </c>
      <c r="E202" s="198" t="n">
        <v>8.000000000000001e-05</v>
      </c>
      <c r="F202" s="98" t="n">
        <v>37517</v>
      </c>
      <c r="G202" s="188">
        <f>ROUND(F202*E202,2)</f>
        <v/>
      </c>
      <c r="H202" s="90">
        <f>G202/$G$231</f>
        <v/>
      </c>
      <c r="I202" s="188">
        <f>ROUND(F202*Прил.10!$D$12,2)</f>
        <v/>
      </c>
      <c r="J202" s="188">
        <f>ROUND(I202*E202,2)</f>
        <v/>
      </c>
    </row>
    <row r="203" hidden="1" outlineLevel="1" ht="31.15" customFormat="1" customHeight="1" s="168">
      <c r="A203" s="186" t="n">
        <v>175</v>
      </c>
      <c r="B203" s="192" t="inlineStr">
        <is>
          <t>01.7.15.03-0042</t>
        </is>
      </c>
      <c r="C203" s="197" t="inlineStr">
        <is>
          <t>Болты с гайками и шайбами строительные</t>
        </is>
      </c>
      <c r="D203" s="201" t="inlineStr">
        <is>
          <t>кг</t>
        </is>
      </c>
      <c r="E203" s="198" t="n">
        <v>0.32235</v>
      </c>
      <c r="F203" s="98" t="n">
        <v>9.039999999999999</v>
      </c>
      <c r="G203" s="188">
        <f>ROUND(F203*E203,2)</f>
        <v/>
      </c>
      <c r="H203" s="90">
        <f>G203/$G$231</f>
        <v/>
      </c>
      <c r="I203" s="188">
        <f>ROUND(F203*Прил.10!$D$12,2)</f>
        <v/>
      </c>
      <c r="J203" s="188">
        <f>ROUND(I203*E203,2)</f>
        <v/>
      </c>
    </row>
    <row r="204" hidden="1" outlineLevel="1" ht="31.15" customFormat="1" customHeight="1" s="168">
      <c r="A204" s="186" t="n">
        <v>176</v>
      </c>
      <c r="B204" s="192" t="inlineStr">
        <is>
          <t>01.7.15.07-0007</t>
        </is>
      </c>
      <c r="C204" s="197" t="inlineStr">
        <is>
          <t>Дюбели пластмассовые, диаметр 14 мм</t>
        </is>
      </c>
      <c r="D204" s="201" t="inlineStr">
        <is>
          <t>100 шт</t>
        </is>
      </c>
      <c r="E204" s="198" t="n">
        <v>0.1</v>
      </c>
      <c r="F204" s="98" t="n">
        <v>26.6</v>
      </c>
      <c r="G204" s="188">
        <f>ROUND(F204*E204,2)</f>
        <v/>
      </c>
      <c r="H204" s="90">
        <f>G204/$G$231</f>
        <v/>
      </c>
      <c r="I204" s="188">
        <f>ROUND(F204*Прил.10!$D$12,2)</f>
        <v/>
      </c>
      <c r="J204" s="188">
        <f>ROUND(I204*E204,2)</f>
        <v/>
      </c>
    </row>
    <row r="205" hidden="1" outlineLevel="1" ht="15.6" customFormat="1" customHeight="1" s="168">
      <c r="A205" s="186" t="n">
        <v>177</v>
      </c>
      <c r="B205" s="192" t="inlineStr">
        <is>
          <t>01.3.01.05-0009</t>
        </is>
      </c>
      <c r="C205" s="197" t="inlineStr">
        <is>
          <t>Парафин нефтяной твердый Т-1</t>
        </is>
      </c>
      <c r="D205" s="201" t="inlineStr">
        <is>
          <t>т</t>
        </is>
      </c>
      <c r="E205" s="198" t="n">
        <v>0.0003</v>
      </c>
      <c r="F205" s="98" t="n">
        <v>8105.71</v>
      </c>
      <c r="G205" s="188">
        <f>ROUND(F205*E205,2)</f>
        <v/>
      </c>
      <c r="H205" s="90">
        <f>G205/$G$231</f>
        <v/>
      </c>
      <c r="I205" s="188">
        <f>ROUND(F205*Прил.10!$D$12,2)</f>
        <v/>
      </c>
      <c r="J205" s="188">
        <f>ROUND(I205*E205,2)</f>
        <v/>
      </c>
    </row>
    <row r="206" hidden="1" outlineLevel="1" ht="15.6" customFormat="1" customHeight="1" s="168">
      <c r="A206" s="186" t="n">
        <v>178</v>
      </c>
      <c r="B206" s="192" t="inlineStr">
        <is>
          <t>01.7.07.08-0003</t>
        </is>
      </c>
      <c r="C206" s="197" t="inlineStr">
        <is>
          <t>Мыло хозяйственное твердое 72%</t>
        </is>
      </c>
      <c r="D206" s="201" t="inlineStr">
        <is>
          <t>шт</t>
        </is>
      </c>
      <c r="E206" s="198" t="n">
        <v>0.385</v>
      </c>
      <c r="F206" s="98" t="n">
        <v>4.5</v>
      </c>
      <c r="G206" s="188">
        <f>ROUND(F206*E206,2)</f>
        <v/>
      </c>
      <c r="H206" s="90">
        <f>G206/$G$231</f>
        <v/>
      </c>
      <c r="I206" s="188">
        <f>ROUND(F206*Прил.10!$D$12,2)</f>
        <v/>
      </c>
      <c r="J206" s="188">
        <f>ROUND(I206*E206,2)</f>
        <v/>
      </c>
    </row>
    <row r="207" hidden="1" outlineLevel="1" ht="15.6" customFormat="1" customHeight="1" s="168">
      <c r="A207" s="186" t="n">
        <v>179</v>
      </c>
      <c r="B207" s="192" t="inlineStr">
        <is>
          <t>20.2.01.05-0001</t>
        </is>
      </c>
      <c r="C207" s="197" t="inlineStr">
        <is>
          <t>Гильзы кабельные медные ГМ 2,5</t>
        </is>
      </c>
      <c r="D207" s="201" t="inlineStr">
        <is>
          <t>100 шт</t>
        </is>
      </c>
      <c r="E207" s="198" t="n">
        <v>0.025</v>
      </c>
      <c r="F207" s="98" t="n">
        <v>66</v>
      </c>
      <c r="G207" s="188">
        <f>ROUND(F207*E207,2)</f>
        <v/>
      </c>
      <c r="H207" s="90">
        <f>G207/$G$231</f>
        <v/>
      </c>
      <c r="I207" s="188">
        <f>ROUND(F207*Прил.10!$D$12,2)</f>
        <v/>
      </c>
      <c r="J207" s="188">
        <f>ROUND(I207*E207,2)</f>
        <v/>
      </c>
    </row>
    <row r="208" hidden="1" outlineLevel="1" ht="31.15" customFormat="1" customHeight="1" s="168">
      <c r="A208" s="186" t="n">
        <v>180</v>
      </c>
      <c r="B208" s="192" t="inlineStr">
        <is>
          <t>01.7.11.07-0034</t>
        </is>
      </c>
      <c r="C208" s="197" t="inlineStr">
        <is>
          <t>Электроды сварочные Э42А, диаметр 4 мм</t>
        </is>
      </c>
      <c r="D208" s="201" t="inlineStr">
        <is>
          <t>кг</t>
        </is>
      </c>
      <c r="E208" s="198" t="n">
        <v>0.15</v>
      </c>
      <c r="F208" s="98" t="n">
        <v>10.57</v>
      </c>
      <c r="G208" s="188">
        <f>ROUND(F208*E208,2)</f>
        <v/>
      </c>
      <c r="H208" s="90">
        <f>G208/$G$231</f>
        <v/>
      </c>
      <c r="I208" s="188">
        <f>ROUND(F208*Прил.10!$D$12,2)</f>
        <v/>
      </c>
      <c r="J208" s="188">
        <f>ROUND(I208*E208,2)</f>
        <v/>
      </c>
    </row>
    <row r="209" hidden="1" outlineLevel="1" ht="15.6" customFormat="1" customHeight="1" s="168">
      <c r="A209" s="186" t="n">
        <v>181</v>
      </c>
      <c r="B209" s="192" t="inlineStr">
        <is>
          <t>01.3.05.17-0002</t>
        </is>
      </c>
      <c r="C209" s="197" t="inlineStr">
        <is>
          <t>Канифоль сосновая</t>
        </is>
      </c>
      <c r="D209" s="201" t="inlineStr">
        <is>
          <t>кг</t>
        </is>
      </c>
      <c r="E209" s="198" t="n">
        <v>0.0558</v>
      </c>
      <c r="F209" s="98" t="n">
        <v>27.74</v>
      </c>
      <c r="G209" s="188">
        <f>ROUND(F209*E209,2)</f>
        <v/>
      </c>
      <c r="H209" s="90">
        <f>G209/$G$231</f>
        <v/>
      </c>
      <c r="I209" s="188">
        <f>ROUND(F209*Прил.10!$D$12,2)</f>
        <v/>
      </c>
      <c r="J209" s="188">
        <f>ROUND(I209*E209,2)</f>
        <v/>
      </c>
    </row>
    <row r="210" hidden="1" outlineLevel="1" ht="31.15" customFormat="1" customHeight="1" s="168">
      <c r="A210" s="186" t="n">
        <v>182</v>
      </c>
      <c r="B210" s="192" t="inlineStr">
        <is>
          <t>01.7.15.04-0011</t>
        </is>
      </c>
      <c r="C210" s="197" t="inlineStr">
        <is>
          <t>Винты с полукруглой головкой, длина 50 мм</t>
        </is>
      </c>
      <c r="D210" s="201" t="inlineStr">
        <is>
          <t>т</t>
        </is>
      </c>
      <c r="E210" s="198" t="n">
        <v>0.00012</v>
      </c>
      <c r="F210" s="98" t="n">
        <v>12430</v>
      </c>
      <c r="G210" s="188">
        <f>ROUND(F210*E210,2)</f>
        <v/>
      </c>
      <c r="H210" s="90">
        <f>G210/$G$231</f>
        <v/>
      </c>
      <c r="I210" s="188">
        <f>ROUND(F210*Прил.10!$D$12,2)</f>
        <v/>
      </c>
      <c r="J210" s="188">
        <f>ROUND(I210*E210,2)</f>
        <v/>
      </c>
    </row>
    <row r="211" hidden="1" outlineLevel="1" ht="15.6" customFormat="1" customHeight="1" s="168">
      <c r="A211" s="186" t="n">
        <v>183</v>
      </c>
      <c r="B211" s="192" t="inlineStr">
        <is>
          <t>01.3.05.38-0371</t>
        </is>
      </c>
      <c r="C211" s="197" t="inlineStr">
        <is>
          <t>Кислота стеариновая техническая</t>
        </is>
      </c>
      <c r="D211" s="201" t="inlineStr">
        <is>
          <t>кг</t>
        </is>
      </c>
      <c r="E211" s="198" t="n">
        <v>0.07199999999999999</v>
      </c>
      <c r="F211" s="98" t="n">
        <v>16.8</v>
      </c>
      <c r="G211" s="188">
        <f>ROUND(F211*E211,2)</f>
        <v/>
      </c>
      <c r="H211" s="90">
        <f>G211/$G$231</f>
        <v/>
      </c>
      <c r="I211" s="188">
        <f>ROUND(F211*Прил.10!$D$12,2)</f>
        <v/>
      </c>
      <c r="J211" s="188">
        <f>ROUND(I211*E211,2)</f>
        <v/>
      </c>
    </row>
    <row r="212" hidden="1" outlineLevel="1" ht="15.6" customFormat="1" customHeight="1" s="168">
      <c r="A212" s="186" t="n">
        <v>184</v>
      </c>
      <c r="B212" s="192" t="inlineStr">
        <is>
          <t>14.4.04.09-0017</t>
        </is>
      </c>
      <c r="C212" s="197" t="inlineStr">
        <is>
          <t>Эмаль ХВ-124, защитная, зеленая</t>
        </is>
      </c>
      <c r="D212" s="201" t="inlineStr">
        <is>
          <t>т</t>
        </is>
      </c>
      <c r="E212" s="198" t="n">
        <v>3e-05</v>
      </c>
      <c r="F212" s="98" t="n">
        <v>28300.4</v>
      </c>
      <c r="G212" s="188">
        <f>ROUND(F212*E212,2)</f>
        <v/>
      </c>
      <c r="H212" s="90">
        <f>G212/$G$231</f>
        <v/>
      </c>
      <c r="I212" s="188">
        <f>ROUND(F212*Прил.10!$D$12,2)</f>
        <v/>
      </c>
      <c r="J212" s="188">
        <f>ROUND(I212*E212,2)</f>
        <v/>
      </c>
    </row>
    <row r="213" hidden="1" outlineLevel="1" ht="31.15" customFormat="1" customHeight="1" s="168">
      <c r="A213" s="186" t="n">
        <v>185</v>
      </c>
      <c r="B213" s="192" t="inlineStr">
        <is>
          <t>01.7.06.03-0023</t>
        </is>
      </c>
      <c r="C213" s="197" t="inlineStr">
        <is>
          <t>Лента полиэтиленовая с липким слоем, марка А</t>
        </is>
      </c>
      <c r="D213" s="201" t="inlineStr">
        <is>
          <t>кг</t>
        </is>
      </c>
      <c r="E213" s="198" t="n">
        <v>0.02</v>
      </c>
      <c r="F213" s="98" t="n">
        <v>39.02</v>
      </c>
      <c r="G213" s="188">
        <f>ROUND(F213*E213,2)</f>
        <v/>
      </c>
      <c r="H213" s="90">
        <f>G213/$G$231</f>
        <v/>
      </c>
      <c r="I213" s="188">
        <f>ROUND(F213*Прил.10!$D$12,2)</f>
        <v/>
      </c>
      <c r="J213" s="188">
        <f>ROUND(I213*E213,2)</f>
        <v/>
      </c>
    </row>
    <row r="214" hidden="1" outlineLevel="1" ht="31.15" customFormat="1" customHeight="1" s="168">
      <c r="A214" s="186" t="n">
        <v>186</v>
      </c>
      <c r="B214" s="192" t="inlineStr">
        <is>
          <t>01.7.15.14-0168</t>
        </is>
      </c>
      <c r="C214" s="197" t="inlineStr">
        <is>
          <t>Шурупы с полукруглой головкой 5х70 мм</t>
        </is>
      </c>
      <c r="D214" s="201" t="inlineStr">
        <is>
          <t>т</t>
        </is>
      </c>
      <c r="E214" s="198" t="n">
        <v>5e-05</v>
      </c>
      <c r="F214" s="98" t="n">
        <v>12430</v>
      </c>
      <c r="G214" s="188">
        <f>ROUND(F214*E214,2)</f>
        <v/>
      </c>
      <c r="H214" s="90">
        <f>G214/$G$231</f>
        <v/>
      </c>
      <c r="I214" s="188">
        <f>ROUND(F214*Прил.10!$D$12,2)</f>
        <v/>
      </c>
      <c r="J214" s="188">
        <f>ROUND(I214*E214,2)</f>
        <v/>
      </c>
    </row>
    <row r="215" hidden="1" outlineLevel="1" ht="15.6" customFormat="1" customHeight="1" s="168">
      <c r="A215" s="186" t="n">
        <v>187</v>
      </c>
      <c r="B215" s="192" t="inlineStr">
        <is>
          <t>14.4.01.01-0003</t>
        </is>
      </c>
      <c r="C215" s="197" t="inlineStr">
        <is>
          <t>Грунтовка ГФ-021</t>
        </is>
      </c>
      <c r="D215" s="201" t="inlineStr">
        <is>
          <t>т</t>
        </is>
      </c>
      <c r="E215" s="198" t="n">
        <v>3.7e-05</v>
      </c>
      <c r="F215" s="98" t="n">
        <v>15620</v>
      </c>
      <c r="G215" s="188">
        <f>ROUND(F215*E215,2)</f>
        <v/>
      </c>
      <c r="H215" s="90">
        <f>G215/$G$231</f>
        <v/>
      </c>
      <c r="I215" s="188">
        <f>ROUND(F215*Прил.10!$D$12,2)</f>
        <v/>
      </c>
      <c r="J215" s="188">
        <f>ROUND(I215*E215,2)</f>
        <v/>
      </c>
    </row>
    <row r="216" hidden="1" outlineLevel="1" ht="15.6" customFormat="1" customHeight="1" s="168">
      <c r="A216" s="186" t="n">
        <v>188</v>
      </c>
      <c r="B216" s="192" t="inlineStr">
        <is>
          <t>03.1.01.01-0002</t>
        </is>
      </c>
      <c r="C216" s="197" t="inlineStr">
        <is>
          <t>Гипс строительный Г-3</t>
        </is>
      </c>
      <c r="D216" s="201" t="inlineStr">
        <is>
          <t>т</t>
        </is>
      </c>
      <c r="E216" s="198" t="n">
        <v>0.00068</v>
      </c>
      <c r="F216" s="98" t="n">
        <v>729.98</v>
      </c>
      <c r="G216" s="188">
        <f>ROUND(F216*E216,2)</f>
        <v/>
      </c>
      <c r="H216" s="90">
        <f>G216/$G$231</f>
        <v/>
      </c>
      <c r="I216" s="188">
        <f>ROUND(F216*Прил.10!$D$12,2)</f>
        <v/>
      </c>
      <c r="J216" s="188">
        <f>ROUND(I216*E216,2)</f>
        <v/>
      </c>
    </row>
    <row r="217" hidden="1" outlineLevel="1" ht="15.6" customFormat="1" customHeight="1" s="168">
      <c r="A217" s="186" t="n">
        <v>189</v>
      </c>
      <c r="B217" s="192" t="inlineStr">
        <is>
          <t>20.2.02.01-0011</t>
        </is>
      </c>
      <c r="C217" s="197" t="inlineStr">
        <is>
          <t>Втулки, диаметр 17 мм</t>
        </is>
      </c>
      <c r="D217" s="201" t="inlineStr">
        <is>
          <t>1000 шт</t>
        </is>
      </c>
      <c r="E217" s="198" t="n">
        <v>0.0061</v>
      </c>
      <c r="F217" s="98" t="n">
        <v>75.40000000000001</v>
      </c>
      <c r="G217" s="188">
        <f>ROUND(F217*E217,2)</f>
        <v/>
      </c>
      <c r="H217" s="90">
        <f>G217/$G$231</f>
        <v/>
      </c>
      <c r="I217" s="188">
        <f>ROUND(F217*Прил.10!$D$12,2)</f>
        <v/>
      </c>
      <c r="J217" s="188">
        <f>ROUND(I217*E217,2)</f>
        <v/>
      </c>
    </row>
    <row r="218" hidden="1" outlineLevel="1" ht="31.15" customFormat="1" customHeight="1" s="168">
      <c r="A218" s="186" t="n">
        <v>190</v>
      </c>
      <c r="B218" s="192" t="inlineStr">
        <is>
          <t>01.7.11.07-0032</t>
        </is>
      </c>
      <c r="C218" s="197" t="inlineStr">
        <is>
          <t>Электроды сварочные Э42, диаметр 4 мм</t>
        </is>
      </c>
      <c r="D218" s="201" t="inlineStr">
        <is>
          <t>т</t>
        </is>
      </c>
      <c r="E218" s="198" t="n">
        <v>4e-05</v>
      </c>
      <c r="F218" s="98" t="n">
        <v>10315.01</v>
      </c>
      <c r="G218" s="188">
        <f>ROUND(F218*E218,2)</f>
        <v/>
      </c>
      <c r="H218" s="90">
        <f>G218/$G$231</f>
        <v/>
      </c>
      <c r="I218" s="188">
        <f>ROUND(F218*Прил.10!$D$12,2)</f>
        <v/>
      </c>
      <c r="J218" s="188">
        <f>ROUND(I218*E218,2)</f>
        <v/>
      </c>
    </row>
    <row r="219" hidden="1" outlineLevel="1" ht="15.6" customFormat="1" customHeight="1" s="168">
      <c r="A219" s="186" t="n">
        <v>191</v>
      </c>
      <c r="B219" s="192" t="inlineStr">
        <is>
          <t>14.5.09.07-0030</t>
        </is>
      </c>
      <c r="C219" s="197" t="inlineStr">
        <is>
          <t>Растворитель Р-4</t>
        </is>
      </c>
      <c r="D219" s="201" t="inlineStr">
        <is>
          <t>кг</t>
        </is>
      </c>
      <c r="E219" s="198" t="n">
        <v>0.033482</v>
      </c>
      <c r="F219" s="98" t="n">
        <v>9.42</v>
      </c>
      <c r="G219" s="188">
        <f>ROUND(F219*E219,2)</f>
        <v/>
      </c>
      <c r="H219" s="90">
        <f>G219/$G$231</f>
        <v/>
      </c>
      <c r="I219" s="188">
        <f>ROUND(F219*Прил.10!$D$12,2)</f>
        <v/>
      </c>
      <c r="J219" s="188">
        <f>ROUND(I219*E219,2)</f>
        <v/>
      </c>
    </row>
    <row r="220" hidden="1" outlineLevel="1" ht="15.6" customFormat="1" customHeight="1" s="168">
      <c r="A220" s="186" t="n">
        <v>192</v>
      </c>
      <c r="B220" s="192" t="inlineStr">
        <is>
          <t>14.1.04.02-0002</t>
        </is>
      </c>
      <c r="C220" s="197" t="inlineStr">
        <is>
          <t>Клей 88-СА</t>
        </is>
      </c>
      <c r="D220" s="201" t="inlineStr">
        <is>
          <t>кг</t>
        </is>
      </c>
      <c r="E220" s="198" t="n">
        <v>0.01</v>
      </c>
      <c r="F220" s="98" t="n">
        <v>28.93</v>
      </c>
      <c r="G220" s="188">
        <f>ROUND(F220*E220,2)</f>
        <v/>
      </c>
      <c r="H220" s="90">
        <f>G220/$G$231</f>
        <v/>
      </c>
      <c r="I220" s="188">
        <f>ROUND(F220*Прил.10!$D$12,2)</f>
        <v/>
      </c>
      <c r="J220" s="188">
        <f>ROUND(I220*E220,2)</f>
        <v/>
      </c>
    </row>
    <row r="221" hidden="1" outlineLevel="1" ht="31.15" customFormat="1" customHeight="1" s="168">
      <c r="A221" s="186" t="n">
        <v>193</v>
      </c>
      <c r="B221" s="192" t="inlineStr">
        <is>
          <t>01.7.15.03-0031</t>
        </is>
      </c>
      <c r="C221" s="197" t="inlineStr">
        <is>
          <t>Болты с гайками и шайбами оцинкованные, диаметр 6 мм</t>
        </is>
      </c>
      <c r="D221" s="201" t="inlineStr">
        <is>
          <t>кг</t>
        </is>
      </c>
      <c r="E221" s="198" t="n">
        <v>0.01</v>
      </c>
      <c r="F221" s="98" t="n">
        <v>28.22</v>
      </c>
      <c r="G221" s="188">
        <f>ROUND(F221*E221,2)</f>
        <v/>
      </c>
      <c r="H221" s="90">
        <f>G221/$G$231</f>
        <v/>
      </c>
      <c r="I221" s="188">
        <f>ROUND(F221*Прил.10!$D$12,2)</f>
        <v/>
      </c>
      <c r="J221" s="188">
        <f>ROUND(I221*E221,2)</f>
        <v/>
      </c>
    </row>
    <row r="222" hidden="1" outlineLevel="1" ht="15.6" customFormat="1" customHeight="1" s="168">
      <c r="A222" s="186" t="n">
        <v>194</v>
      </c>
      <c r="B222" s="192" t="inlineStr">
        <is>
          <t>08.3.11.01-0091</t>
        </is>
      </c>
      <c r="C222" s="197" t="inlineStr">
        <is>
          <t>Швеллеры № 40, марка стали Ст0</t>
        </is>
      </c>
      <c r="D222" s="201" t="inlineStr">
        <is>
          <t>т</t>
        </is>
      </c>
      <c r="E222" s="198" t="n">
        <v>4.36e-05</v>
      </c>
      <c r="F222" s="98" t="n">
        <v>4920</v>
      </c>
      <c r="G222" s="188">
        <f>ROUND(F222*E222,2)</f>
        <v/>
      </c>
      <c r="H222" s="90">
        <f>G222/$G$231</f>
        <v/>
      </c>
      <c r="I222" s="188">
        <f>ROUND(F222*Прил.10!$D$12,2)</f>
        <v/>
      </c>
      <c r="J222" s="188">
        <f>ROUND(I222*E222,2)</f>
        <v/>
      </c>
    </row>
    <row r="223" hidden="1" outlineLevel="1" ht="15.6" customFormat="1" customHeight="1" s="168">
      <c r="A223" s="186" t="n">
        <v>195</v>
      </c>
      <c r="B223" s="192" t="inlineStr">
        <is>
          <t>14.4.03.03-0102</t>
        </is>
      </c>
      <c r="C223" s="197" t="inlineStr">
        <is>
          <t>Лак битумный БТ-577</t>
        </is>
      </c>
      <c r="D223" s="201" t="inlineStr">
        <is>
          <t>т</t>
        </is>
      </c>
      <c r="E223" s="198" t="n">
        <v>2e-05</v>
      </c>
      <c r="F223" s="98" t="n">
        <v>9550.01</v>
      </c>
      <c r="G223" s="188">
        <f>ROUND(F223*E223,2)</f>
        <v/>
      </c>
      <c r="H223" s="90">
        <f>G223/$G$231</f>
        <v/>
      </c>
      <c r="I223" s="188">
        <f>ROUND(F223*Прил.10!$D$12,2)</f>
        <v/>
      </c>
      <c r="J223" s="188">
        <f>ROUND(I223*E223,2)</f>
        <v/>
      </c>
    </row>
    <row r="224" hidden="1" outlineLevel="1" ht="15.6" customFormat="1" customHeight="1" s="168">
      <c r="A224" s="186" t="n">
        <v>196</v>
      </c>
      <c r="B224" s="192" t="inlineStr">
        <is>
          <t>01.7.20.08-0071</t>
        </is>
      </c>
      <c r="C224" s="197" t="inlineStr">
        <is>
          <t>Канат пеньковый пропитанный</t>
        </is>
      </c>
      <c r="D224" s="201" t="inlineStr">
        <is>
          <t>т</t>
        </is>
      </c>
      <c r="E224" s="198" t="n">
        <v>2.2e-06</v>
      </c>
      <c r="F224" s="98" t="n">
        <v>37900</v>
      </c>
      <c r="G224" s="188">
        <f>ROUND(F224*E224,2)</f>
        <v/>
      </c>
      <c r="H224" s="90">
        <f>G224/$G$231</f>
        <v/>
      </c>
      <c r="I224" s="188">
        <f>ROUND(F224*Прил.10!$D$12,2)</f>
        <v/>
      </c>
      <c r="J224" s="188">
        <f>ROUND(I224*E224,2)</f>
        <v/>
      </c>
    </row>
    <row r="225" hidden="1" outlineLevel="1" ht="15.6" customFormat="1" customHeight="1" s="168">
      <c r="A225" s="186" t="n">
        <v>197</v>
      </c>
      <c r="B225" s="192" t="inlineStr">
        <is>
          <t>14.5.09.11-0102</t>
        </is>
      </c>
      <c r="C225" s="197" t="inlineStr">
        <is>
          <t>Уайт-спирит</t>
        </is>
      </c>
      <c r="D225" s="201" t="inlineStr">
        <is>
          <t>кг</t>
        </is>
      </c>
      <c r="E225" s="198" t="n">
        <v>0.01</v>
      </c>
      <c r="F225" s="98" t="n">
        <v>6.67</v>
      </c>
      <c r="G225" s="188">
        <f>ROUND(F225*E225,2)</f>
        <v/>
      </c>
      <c r="H225" s="90">
        <f>G225/$G$231</f>
        <v/>
      </c>
      <c r="I225" s="188">
        <f>ROUND(F225*Прил.10!$D$12,2)</f>
        <v/>
      </c>
      <c r="J225" s="188">
        <f>ROUND(I225*E225,2)</f>
        <v/>
      </c>
    </row>
    <row r="226" hidden="1" outlineLevel="1" ht="31.15" customFormat="1" customHeight="1" s="168">
      <c r="A226" s="186" t="n">
        <v>198</v>
      </c>
      <c r="B226" s="192" t="inlineStr">
        <is>
          <t>24.3.01.01-0004</t>
        </is>
      </c>
      <c r="C226" s="197" t="inlineStr">
        <is>
          <t>Трубка электроизоляционная ПВХ-305, диаметр 6-10 мм</t>
        </is>
      </c>
      <c r="D226" s="201" t="inlineStr">
        <is>
          <t>кг</t>
        </is>
      </c>
      <c r="E226" s="198" t="n">
        <v>0.00142</v>
      </c>
      <c r="F226" s="98" t="n">
        <v>38.34</v>
      </c>
      <c r="G226" s="188">
        <f>ROUND(F226*E226,2)</f>
        <v/>
      </c>
      <c r="H226" s="90">
        <f>G226/$G$231</f>
        <v/>
      </c>
      <c r="I226" s="188">
        <f>ROUND(F226*Прил.10!$D$12,2)</f>
        <v/>
      </c>
      <c r="J226" s="188">
        <f>ROUND(I226*E226,2)</f>
        <v/>
      </c>
    </row>
    <row r="227" hidden="1" outlineLevel="1" ht="46.9" customFormat="1" customHeight="1" s="168">
      <c r="A227" s="186" t="n">
        <v>199</v>
      </c>
      <c r="B227" s="192" t="inlineStr">
        <is>
          <t>11.1.03.01-0077</t>
        </is>
      </c>
      <c r="C227" s="197" t="inlineStr">
        <is>
          <t>Бруски обрезные, хвойных пород, длина 4-6,5 м, ширина 75-150 мм, толщина 40-75 мм, сорт I</t>
        </is>
      </c>
      <c r="D227" s="201" t="inlineStr">
        <is>
          <t>м3</t>
        </is>
      </c>
      <c r="E227" s="198" t="n">
        <v>2.31e-05</v>
      </c>
      <c r="F227" s="98" t="n">
        <v>1700</v>
      </c>
      <c r="G227" s="188">
        <f>ROUND(F227*E227,2)</f>
        <v/>
      </c>
      <c r="H227" s="90">
        <f>G227/$G$231</f>
        <v/>
      </c>
      <c r="I227" s="188">
        <f>ROUND(F227*Прил.10!$D$12,2)</f>
        <v/>
      </c>
      <c r="J227" s="188">
        <f>ROUND(I227*E227,2)</f>
        <v/>
      </c>
    </row>
    <row r="228" hidden="1" outlineLevel="1" ht="78" customFormat="1" customHeight="1" s="168">
      <c r="A228" s="186" t="n">
        <v>200</v>
      </c>
      <c r="B228" s="192" t="inlineStr">
        <is>
          <t>08.2.02.11-0007</t>
        </is>
      </c>
      <c r="C228" s="19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28" s="201" t="inlineStr">
        <is>
          <t>10 м</t>
        </is>
      </c>
      <c r="E228" s="198" t="n">
        <v>0.0004202</v>
      </c>
      <c r="F228" s="98" t="n">
        <v>50.24</v>
      </c>
      <c r="G228" s="188">
        <f>ROUND(F228*E228,2)</f>
        <v/>
      </c>
      <c r="H228" s="90">
        <f>G228/$G$231</f>
        <v/>
      </c>
      <c r="I228" s="188">
        <f>ROUND(F228*Прил.10!$D$12,2)</f>
        <v/>
      </c>
      <c r="J228" s="188">
        <f>ROUND(I228*E228,2)</f>
        <v/>
      </c>
    </row>
    <row r="229" hidden="1" outlineLevel="1" ht="15.6" customFormat="1" customHeight="1" s="168">
      <c r="A229" s="186" t="n">
        <v>201</v>
      </c>
      <c r="B229" s="192" t="inlineStr">
        <is>
          <t>999-0005</t>
        </is>
      </c>
      <c r="C229" s="197" t="inlineStr">
        <is>
          <t>Масса</t>
        </is>
      </c>
      <c r="D229" s="201" t="inlineStr">
        <is>
          <t>т</t>
        </is>
      </c>
      <c r="E229" s="198" t="n">
        <v>536.784</v>
      </c>
      <c r="F229" s="98" t="n"/>
      <c r="G229" s="188">
        <f>ROUND(F229*E229,2)</f>
        <v/>
      </c>
      <c r="H229" s="90">
        <f>G229/$G$231</f>
        <v/>
      </c>
      <c r="I229" s="188">
        <f>ROUND(F229*Прил.10!$D$12,2)</f>
        <v/>
      </c>
      <c r="J229" s="188">
        <f>ROUND(I229*E229,2)</f>
        <v/>
      </c>
    </row>
    <row r="230" collapsed="1" ht="15.6" customFormat="1" customHeight="1" s="168">
      <c r="A230" s="186" t="n"/>
      <c r="B230" s="186" t="inlineStr">
        <is>
          <t>Итого прочие Материалы</t>
        </is>
      </c>
      <c r="C230" s="205" t="n"/>
      <c r="D230" s="205" t="n"/>
      <c r="E230" s="205" t="n"/>
      <c r="F230" s="206" t="n"/>
      <c r="G230" s="188">
        <f>SUM(G106:G229)</f>
        <v/>
      </c>
      <c r="H230" s="90">
        <f>SUM(H106:H229)</f>
        <v/>
      </c>
      <c r="I230" s="188" t="n"/>
      <c r="J230" s="188">
        <f>SUM(J106:J229)</f>
        <v/>
      </c>
    </row>
    <row r="231" ht="15.6" customFormat="1" customHeight="1" s="168">
      <c r="A231" s="186" t="n"/>
      <c r="B231" s="186" t="inlineStr">
        <is>
          <t>Итого по разделу "Материалы"</t>
        </is>
      </c>
      <c r="C231" s="205" t="n"/>
      <c r="D231" s="205" t="n"/>
      <c r="E231" s="205" t="n"/>
      <c r="F231" s="206" t="n"/>
      <c r="G231" s="188">
        <f>G105+G230</f>
        <v/>
      </c>
      <c r="H231" s="90">
        <f>H105+H230</f>
        <v/>
      </c>
      <c r="I231" s="188" t="n"/>
      <c r="J231" s="188">
        <f>J105+J230</f>
        <v/>
      </c>
    </row>
    <row r="232" ht="15.6" customFormat="1" customHeight="1" s="168">
      <c r="A232" s="185" t="n"/>
      <c r="B232" s="201" t="n"/>
      <c r="C232" s="197" t="inlineStr">
        <is>
          <t>ИТОГО ПО РМ</t>
        </is>
      </c>
      <c r="D232" s="201" t="n"/>
      <c r="E232" s="201" t="n"/>
      <c r="F232" s="199" t="n"/>
      <c r="G232" s="199">
        <f>+G16+G45+G231</f>
        <v/>
      </c>
      <c r="H232" s="104" t="n"/>
      <c r="I232" s="188" t="n"/>
      <c r="J232" s="199">
        <f>+J16+J45+J231</f>
        <v/>
      </c>
    </row>
    <row r="233" ht="15.6" customFormat="1" customHeight="1" s="168">
      <c r="A233" s="186" t="n"/>
      <c r="B233" s="201" t="n"/>
      <c r="C233" s="197" t="inlineStr">
        <is>
          <t>Накладные расходы</t>
        </is>
      </c>
      <c r="D233" s="106" t="n">
        <v>0.90844025657137</v>
      </c>
      <c r="E233" s="201" t="n"/>
      <c r="F233" s="199" t="n"/>
      <c r="G233" s="199">
        <f>(G16+G18)*D233</f>
        <v/>
      </c>
      <c r="H233" s="104" t="n"/>
      <c r="I233" s="188" t="n"/>
      <c r="J233" s="188">
        <f>(J16+J18)*D233</f>
        <v/>
      </c>
    </row>
    <row r="234" ht="15.6" customFormat="1" customHeight="1" s="168">
      <c r="A234" s="185" t="n"/>
      <c r="B234" s="201" t="n"/>
      <c r="C234" s="197" t="inlineStr">
        <is>
          <t>Сметная прибыль</t>
        </is>
      </c>
      <c r="D234" s="106" t="n">
        <v>0.47429201977793</v>
      </c>
      <c r="E234" s="201" t="n"/>
      <c r="F234" s="199" t="n"/>
      <c r="G234" s="199">
        <f>(G16+G18)*D234</f>
        <v/>
      </c>
      <c r="H234" s="104" t="n"/>
      <c r="I234" s="188" t="n"/>
      <c r="J234" s="188">
        <f>(J16+J18)*D234</f>
        <v/>
      </c>
    </row>
    <row r="235" ht="15.6" customFormat="1" customHeight="1" s="168">
      <c r="A235" s="186" t="n"/>
      <c r="B235" s="201" t="n"/>
      <c r="C235" s="197" t="inlineStr">
        <is>
          <t>Итого СМР (с НР и СП)</t>
        </is>
      </c>
      <c r="D235" s="201" t="n"/>
      <c r="E235" s="201" t="n"/>
      <c r="F235" s="199" t="n"/>
      <c r="G235" s="199">
        <f>G232+G233+G234</f>
        <v/>
      </c>
      <c r="H235" s="104" t="n"/>
      <c r="I235" s="188" t="n"/>
      <c r="J235" s="199">
        <f>J232+J233+J234</f>
        <v/>
      </c>
    </row>
    <row r="236" ht="15.6" customFormat="1" customHeight="1" s="168">
      <c r="A236" s="185" t="n"/>
      <c r="B236" s="201" t="n"/>
      <c r="C236" s="197" t="inlineStr">
        <is>
          <t>ВСЕГО СМР + ОБОРУДОВАНИЕ</t>
        </is>
      </c>
      <c r="D236" s="201" t="n"/>
      <c r="E236" s="201" t="n"/>
      <c r="F236" s="199" t="n"/>
      <c r="G236" s="199">
        <f>G82+G235</f>
        <v/>
      </c>
      <c r="H236" s="104" t="n"/>
      <c r="I236" s="188" t="n"/>
      <c r="J236" s="188">
        <f>J82+J235</f>
        <v/>
      </c>
    </row>
    <row r="237" ht="15.6" customFormat="1" customHeight="1" s="168">
      <c r="A237" s="186" t="n"/>
      <c r="B237" s="201" t="n"/>
      <c r="C237" s="197" t="inlineStr">
        <is>
          <t>ИТОГО ПОКАЗАТЕЛЬ НА ЕД. ИЗМ.</t>
        </is>
      </c>
      <c r="D237" s="201" t="inlineStr">
        <is>
          <t>м3</t>
        </is>
      </c>
      <c r="E237" s="201" t="n">
        <v>192.3</v>
      </c>
      <c r="F237" s="199" t="n"/>
      <c r="G237" s="199">
        <f>G236/E237</f>
        <v/>
      </c>
      <c r="H237" s="104" t="n"/>
      <c r="I237" s="188" t="n"/>
      <c r="J237" s="199">
        <f>J236/E237</f>
        <v/>
      </c>
    </row>
    <row r="238" ht="15.6" customFormat="1" customHeight="1" s="168">
      <c r="A238" s="168" t="n"/>
      <c r="B238" s="168" t="n"/>
      <c r="E238" s="168" t="n"/>
      <c r="F238" s="54" t="n"/>
      <c r="G238" s="54" t="n"/>
      <c r="I238" s="54" t="n"/>
      <c r="J238" s="54" t="n"/>
    </row>
    <row r="239" ht="15.6" customFormat="1" customHeight="1" s="168">
      <c r="A239" s="168" t="inlineStr">
        <is>
          <t>Составил ______________________        М.С. Колотиевская</t>
        </is>
      </c>
      <c r="B239" s="168" t="n"/>
      <c r="E239" s="168" t="n"/>
      <c r="F239" s="54" t="n"/>
      <c r="G239" s="54" t="n"/>
      <c r="I239" s="54" t="n"/>
      <c r="J239" s="54" t="n"/>
    </row>
    <row r="240" ht="15.6" customFormat="1" customHeight="1" s="168">
      <c r="A240" s="125" t="inlineStr">
        <is>
          <t xml:space="preserve">                         (подпись, инициалы, фамилия)</t>
        </is>
      </c>
      <c r="B240" s="168" t="n"/>
      <c r="E240" s="168" t="n"/>
      <c r="F240" s="54" t="n"/>
      <c r="G240" s="54" t="n"/>
      <c r="I240" s="54" t="n"/>
      <c r="J240" s="54" t="n"/>
    </row>
    <row r="241" ht="15.6" customFormat="1" customHeight="1" s="168">
      <c r="A241" s="168" t="n"/>
      <c r="B241" s="168" t="n"/>
      <c r="E241" s="168" t="n"/>
      <c r="F241" s="54" t="n"/>
      <c r="G241" s="54" t="n"/>
      <c r="I241" s="54" t="n"/>
      <c r="J241" s="54" t="n"/>
    </row>
    <row r="242" ht="15.6" customFormat="1" customHeight="1" s="168">
      <c r="A242" s="168" t="inlineStr">
        <is>
          <t>Проверил ______________________      А.В. Костянецкая</t>
        </is>
      </c>
      <c r="B242" s="168" t="n"/>
      <c r="E242" s="168" t="n"/>
      <c r="F242" s="54" t="n"/>
      <c r="G242" s="54" t="n"/>
      <c r="I242" s="54" t="n"/>
      <c r="J242" s="54" t="n"/>
    </row>
    <row r="243" ht="15.6" customFormat="1" customHeight="1" s="168">
      <c r="A243" s="125" t="inlineStr">
        <is>
          <t xml:space="preserve">                        (подпись, инициалы, фамилия)</t>
        </is>
      </c>
      <c r="B243" s="187" t="n"/>
      <c r="E243" s="168" t="n"/>
      <c r="F243" s="54" t="n"/>
      <c r="G243" s="54" t="n"/>
      <c r="I243" s="54" t="n"/>
      <c r="J243" s="54" t="n"/>
    </row>
    <row r="244" ht="15.6" customFormat="1" customHeight="1" s="168">
      <c r="E244" s="168" t="n"/>
      <c r="F244" s="54" t="n"/>
      <c r="G244" s="54" t="n"/>
      <c r="I244" s="54" t="n"/>
      <c r="J244" s="54" t="n"/>
    </row>
  </sheetData>
  <mergeCells count="24">
    <mergeCell ref="B84:H84"/>
    <mergeCell ref="H9:H10"/>
    <mergeCell ref="B25:F25"/>
    <mergeCell ref="H2:J2"/>
    <mergeCell ref="B20:H20"/>
    <mergeCell ref="B105:F105"/>
    <mergeCell ref="C9:C10"/>
    <mergeCell ref="B85:H85"/>
    <mergeCell ref="E9:E10"/>
    <mergeCell ref="B231:F231"/>
    <mergeCell ref="B44:F44"/>
    <mergeCell ref="B9:B10"/>
    <mergeCell ref="D9:D10"/>
    <mergeCell ref="B12:H12"/>
    <mergeCell ref="B230:F230"/>
    <mergeCell ref="F9:G9"/>
    <mergeCell ref="B47:J47"/>
    <mergeCell ref="A4:H4"/>
    <mergeCell ref="B17:H17"/>
    <mergeCell ref="A9:A10"/>
    <mergeCell ref="B46:J46"/>
    <mergeCell ref="B45:F45"/>
    <mergeCell ref="B19:H19"/>
    <mergeCell ref="I9:J9"/>
  </mergeCells>
  <conditionalFormatting sqref="E13:E94">
    <cfRule type="expression" priority="1" dxfId="0" stopIfTrue="1">
      <formula>E13&gt;=1/10000</formula>
    </cfRule>
  </conditionalFormatting>
  <conditionalFormatting sqref="E96:E244">
    <cfRule type="expression" priority="2" dxfId="0" stopIfTrue="1">
      <formula>E13&gt;=1/10000</formula>
    </cfRule>
  </conditionalFormatting>
  <conditionalFormatting sqref="E95">
    <cfRule type="expression" priority="3" dxfId="0" stopIfTrue="1">
      <formula>E95&gt;=1/10000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51"/>
  <sheetViews>
    <sheetView tabSelected="1" view="pageBreakPreview" zoomScale="60" zoomScaleNormal="100" workbookViewId="0">
      <selection activeCell="AE31" sqref="AE31"/>
    </sheetView>
  </sheetViews>
  <sheetFormatPr baseColWidth="8" defaultColWidth="9.140625" defaultRowHeight="15"/>
  <cols>
    <col width="5.7109375" customWidth="1" style="127" min="1" max="1"/>
    <col width="17.5703125" customWidth="1" style="127" min="2" max="2"/>
    <col width="39.140625" customWidth="1" style="127" min="3" max="3"/>
    <col width="8.28515625" customWidth="1" style="127" min="4" max="4"/>
    <col width="13.5703125" customWidth="1" style="127" min="5" max="5"/>
    <col width="12.42578125" customWidth="1" style="127" min="6" max="6"/>
    <col width="14.140625" customWidth="1" style="127" min="7" max="7"/>
    <col width="9.140625" customWidth="1" style="127" min="8" max="8"/>
  </cols>
  <sheetData>
    <row r="1" ht="15.6" customHeight="1" s="127">
      <c r="A1" s="195" t="inlineStr">
        <is>
          <t>Приложение №6</t>
        </is>
      </c>
    </row>
    <row r="2" ht="15.6" customHeight="1" s="127">
      <c r="A2" s="195" t="n"/>
      <c r="B2" s="195" t="n"/>
      <c r="C2" s="195" t="n"/>
      <c r="D2" s="195" t="n"/>
      <c r="E2" s="195" t="n"/>
      <c r="F2" s="195" t="n"/>
      <c r="G2" s="195" t="n"/>
    </row>
    <row r="3" ht="15.6" customHeight="1" s="127">
      <c r="A3" s="183" t="inlineStr">
        <is>
          <t>Расчет стоимости оборудования</t>
        </is>
      </c>
    </row>
    <row r="4" ht="15.6" customHeight="1" s="127">
      <c r="A4" s="109">
        <f>'Прил.5 Расчет СМР и ОБ'!$A$6&amp;'Прил.5 Расчет СМР и ОБ'!$D$6</f>
        <v/>
      </c>
      <c r="B4" s="108" t="n"/>
      <c r="C4" s="108" t="n"/>
      <c r="D4" s="109" t="inlineStr">
        <is>
          <t xml:space="preserve"> Н2-09 Газовое пожаротушение</t>
        </is>
      </c>
      <c r="E4" s="108" t="n"/>
      <c r="F4" s="108" t="n"/>
      <c r="G4" s="108" t="n"/>
    </row>
    <row r="5" ht="15.6" customHeight="1" s="127">
      <c r="A5" s="168" t="n"/>
      <c r="B5" s="168" t="n"/>
      <c r="C5" s="168" t="n"/>
      <c r="D5" s="168" t="n"/>
      <c r="E5" s="168" t="n"/>
      <c r="F5" s="168" t="n"/>
      <c r="G5" s="168" t="n"/>
    </row>
    <row r="6" ht="15.6" customFormat="1" customHeight="1" s="168">
      <c r="A6" s="201" t="inlineStr">
        <is>
          <t>№ пп.</t>
        </is>
      </c>
      <c r="B6" s="201" t="inlineStr">
        <is>
          <t>Код ресурса</t>
        </is>
      </c>
      <c r="C6" s="201" t="inlineStr">
        <is>
          <t>Наименование</t>
        </is>
      </c>
      <c r="D6" s="201" t="inlineStr">
        <is>
          <t>Ед. изм.</t>
        </is>
      </c>
      <c r="E6" s="181" t="inlineStr">
        <is>
          <t>Кол-во единиц по проектным данным</t>
        </is>
      </c>
      <c r="F6" s="201" t="inlineStr">
        <is>
          <t>Сметная стоимость в ценах на 01.01.2000 (руб.)</t>
        </is>
      </c>
      <c r="G6" s="206" t="n"/>
    </row>
    <row r="7" ht="15.6" customFormat="1" customHeight="1" s="168">
      <c r="A7" s="208" t="n"/>
      <c r="B7" s="208" t="n"/>
      <c r="C7" s="208" t="n"/>
      <c r="D7" s="208" t="n"/>
      <c r="E7" s="208" t="n"/>
      <c r="F7" s="181" t="inlineStr">
        <is>
          <t>на ед. изм.</t>
        </is>
      </c>
      <c r="G7" s="181" t="inlineStr">
        <is>
          <t>общая</t>
        </is>
      </c>
    </row>
    <row r="8" ht="15.6" customFormat="1" customHeight="1" s="168">
      <c r="A8" s="181" t="n">
        <v>1</v>
      </c>
      <c r="B8" s="181" t="n">
        <v>2</v>
      </c>
      <c r="C8" s="181" t="n">
        <v>3</v>
      </c>
      <c r="D8" s="181" t="n">
        <v>4</v>
      </c>
      <c r="E8" s="181" t="n">
        <v>5</v>
      </c>
      <c r="F8" s="181" t="n">
        <v>6</v>
      </c>
      <c r="G8" s="181" t="n">
        <v>7</v>
      </c>
    </row>
    <row r="9" ht="15.6" customFormat="1" customHeight="1" s="168">
      <c r="A9" s="185" t="n"/>
      <c r="B9" s="197" t="inlineStr">
        <is>
          <t>ИНЖЕНЕРНОЕ ОБОРУДОВАНИЕ</t>
        </is>
      </c>
      <c r="C9" s="205" t="n"/>
      <c r="D9" s="205" t="n"/>
      <c r="E9" s="205" t="n"/>
      <c r="F9" s="205" t="n"/>
      <c r="G9" s="206" t="n"/>
    </row>
    <row r="10" ht="31.15" customFormat="1" customHeight="1" s="168">
      <c r="A10" s="201" t="n">
        <v>1</v>
      </c>
      <c r="B10" s="107">
        <f>'Прил.5 Расчет СМР и ОБ'!B48</f>
        <v/>
      </c>
      <c r="C10" s="107">
        <f>'Прил.5 Расчет СМР и ОБ'!C48</f>
        <v/>
      </c>
      <c r="D10" s="107">
        <f>'Прил.5 Расчет СМР и ОБ'!D48</f>
        <v/>
      </c>
      <c r="E10" s="107">
        <f>'Прил.5 Расчет СМР и ОБ'!E48</f>
        <v/>
      </c>
      <c r="F10" s="107">
        <f>'Прил.5 Расчет СМР и ОБ'!F48</f>
        <v/>
      </c>
      <c r="G10" s="107">
        <f>'Прил.5 Расчет СМР и ОБ'!G48</f>
        <v/>
      </c>
    </row>
    <row r="11" ht="15.6" customFormat="1" customHeight="1" s="168">
      <c r="A11" s="201" t="n">
        <v>2</v>
      </c>
      <c r="B11" s="107">
        <f>'Прил.5 Расчет СМР и ОБ'!B49</f>
        <v/>
      </c>
      <c r="C11" s="107">
        <f>'Прил.5 Расчет СМР и ОБ'!C49</f>
        <v/>
      </c>
      <c r="D11" s="107">
        <f>'Прил.5 Расчет СМР и ОБ'!D49</f>
        <v/>
      </c>
      <c r="E11" s="107">
        <f>'Прил.5 Расчет СМР и ОБ'!E49</f>
        <v/>
      </c>
      <c r="F11" s="107">
        <f>'Прил.5 Расчет СМР и ОБ'!F49</f>
        <v/>
      </c>
      <c r="G11" s="107">
        <f>'Прил.5 Расчет СМР и ОБ'!G49</f>
        <v/>
      </c>
    </row>
    <row r="12" ht="15.6" customFormat="1" customHeight="1" s="168">
      <c r="A12" s="201" t="n">
        <v>3</v>
      </c>
      <c r="B12" s="107">
        <f>'Прил.5 Расчет СМР и ОБ'!B50</f>
        <v/>
      </c>
      <c r="C12" s="107">
        <f>'Прил.5 Расчет СМР и ОБ'!C50</f>
        <v/>
      </c>
      <c r="D12" s="107">
        <f>'Прил.5 Расчет СМР и ОБ'!D50</f>
        <v/>
      </c>
      <c r="E12" s="107">
        <f>'Прил.5 Расчет СМР и ОБ'!E50</f>
        <v/>
      </c>
      <c r="F12" s="107">
        <f>'Прил.5 Расчет СМР и ОБ'!F50</f>
        <v/>
      </c>
      <c r="G12" s="107">
        <f>'Прил.5 Расчет СМР и ОБ'!G50</f>
        <v/>
      </c>
    </row>
    <row r="13" ht="31.15" customFormat="1" customHeight="1" s="168">
      <c r="A13" s="201" t="n">
        <v>4</v>
      </c>
      <c r="B13" s="107">
        <f>'Прил.5 Расчет СМР и ОБ'!B51</f>
        <v/>
      </c>
      <c r="C13" s="107">
        <f>'Прил.5 Расчет СМР и ОБ'!C51</f>
        <v/>
      </c>
      <c r="D13" s="107">
        <f>'Прил.5 Расчет СМР и ОБ'!D51</f>
        <v/>
      </c>
      <c r="E13" s="107">
        <f>'Прил.5 Расчет СМР и ОБ'!E51</f>
        <v/>
      </c>
      <c r="F13" s="107">
        <f>'Прил.5 Расчет СМР и ОБ'!F51</f>
        <v/>
      </c>
      <c r="G13" s="107">
        <f>'Прил.5 Расчет СМР и ОБ'!G51</f>
        <v/>
      </c>
    </row>
    <row r="14" ht="31.15" customFormat="1" customHeight="1" s="168">
      <c r="A14" s="201" t="n">
        <v>5</v>
      </c>
      <c r="B14" s="107">
        <f>'Прил.5 Расчет СМР и ОБ'!B52</f>
        <v/>
      </c>
      <c r="C14" s="107">
        <f>'Прил.5 Расчет СМР и ОБ'!C52</f>
        <v/>
      </c>
      <c r="D14" s="107">
        <f>'Прил.5 Расчет СМР и ОБ'!D52</f>
        <v/>
      </c>
      <c r="E14" s="107">
        <f>'Прил.5 Расчет СМР и ОБ'!E52</f>
        <v/>
      </c>
      <c r="F14" s="107">
        <f>'Прил.5 Расчет СМР и ОБ'!F52</f>
        <v/>
      </c>
      <c r="G14" s="107">
        <f>'Прил.5 Расчет СМР и ОБ'!G52</f>
        <v/>
      </c>
    </row>
    <row r="15" ht="31.15" customFormat="1" customHeight="1" s="168">
      <c r="A15" s="201" t="n">
        <v>6</v>
      </c>
      <c r="B15" s="107">
        <f>'Прил.5 Расчет СМР и ОБ'!B53</f>
        <v/>
      </c>
      <c r="C15" s="107">
        <f>'Прил.5 Расчет СМР и ОБ'!C53</f>
        <v/>
      </c>
      <c r="D15" s="107">
        <f>'Прил.5 Расчет СМР и ОБ'!D53</f>
        <v/>
      </c>
      <c r="E15" s="107">
        <f>'Прил.5 Расчет СМР и ОБ'!E53</f>
        <v/>
      </c>
      <c r="F15" s="107">
        <f>'Прил.5 Расчет СМР и ОБ'!F53</f>
        <v/>
      </c>
      <c r="G15" s="107">
        <f>'Прил.5 Расчет СМР и ОБ'!G53</f>
        <v/>
      </c>
    </row>
    <row r="16" ht="31.15" customFormat="1" customHeight="1" s="168">
      <c r="A16" s="201" t="n">
        <v>7</v>
      </c>
      <c r="B16" s="107">
        <f>'Прил.5 Расчет СМР и ОБ'!B54</f>
        <v/>
      </c>
      <c r="C16" s="107">
        <f>'Прил.5 Расчет СМР и ОБ'!C54</f>
        <v/>
      </c>
      <c r="D16" s="107">
        <f>'Прил.5 Расчет СМР и ОБ'!D54</f>
        <v/>
      </c>
      <c r="E16" s="107">
        <f>'Прил.5 Расчет СМР и ОБ'!E54</f>
        <v/>
      </c>
      <c r="F16" s="107">
        <f>'Прил.5 Расчет СМР и ОБ'!F54</f>
        <v/>
      </c>
      <c r="G16" s="107">
        <f>'Прил.5 Расчет СМР и ОБ'!G54</f>
        <v/>
      </c>
    </row>
    <row r="17" ht="31.15" customFormat="1" customHeight="1" s="168">
      <c r="A17" s="201" t="n">
        <v>8</v>
      </c>
      <c r="B17" s="107">
        <f>'Прил.5 Расчет СМР и ОБ'!B55</f>
        <v/>
      </c>
      <c r="C17" s="107">
        <f>'Прил.5 Расчет СМР и ОБ'!C55</f>
        <v/>
      </c>
      <c r="D17" s="107">
        <f>'Прил.5 Расчет СМР и ОБ'!D55</f>
        <v/>
      </c>
      <c r="E17" s="107">
        <f>'Прил.5 Расчет СМР и ОБ'!E55</f>
        <v/>
      </c>
      <c r="F17" s="107">
        <f>'Прил.5 Расчет СМР и ОБ'!F55</f>
        <v/>
      </c>
      <c r="G17" s="107">
        <f>'Прил.5 Расчет СМР и ОБ'!G55</f>
        <v/>
      </c>
    </row>
    <row r="18" ht="31.15" customFormat="1" customHeight="1" s="168">
      <c r="A18" s="201" t="n">
        <v>9</v>
      </c>
      <c r="B18" s="107">
        <f>'Прил.5 Расчет СМР и ОБ'!B56</f>
        <v/>
      </c>
      <c r="C18" s="107">
        <f>'Прил.5 Расчет СМР и ОБ'!C56</f>
        <v/>
      </c>
      <c r="D18" s="107">
        <f>'Прил.5 Расчет СМР и ОБ'!D56</f>
        <v/>
      </c>
      <c r="E18" s="107">
        <f>'Прил.5 Расчет СМР и ОБ'!E56</f>
        <v/>
      </c>
      <c r="F18" s="107">
        <f>'Прил.5 Расчет СМР и ОБ'!F56</f>
        <v/>
      </c>
      <c r="G18" s="107">
        <f>'Прил.5 Расчет СМР и ОБ'!G56</f>
        <v/>
      </c>
    </row>
    <row r="19" ht="46.9" customFormat="1" customHeight="1" s="168">
      <c r="A19" s="201" t="n">
        <v>10</v>
      </c>
      <c r="B19" s="107">
        <f>'Прил.5 Расчет СМР и ОБ'!B58</f>
        <v/>
      </c>
      <c r="C19" s="107">
        <f>'Прил.5 Расчет СМР и ОБ'!C58</f>
        <v/>
      </c>
      <c r="D19" s="107">
        <f>'Прил.5 Расчет СМР и ОБ'!D58</f>
        <v/>
      </c>
      <c r="E19" s="107">
        <f>'Прил.5 Расчет СМР и ОБ'!E58</f>
        <v/>
      </c>
      <c r="F19" s="107">
        <f>'Прил.5 Расчет СМР и ОБ'!F58</f>
        <v/>
      </c>
      <c r="G19" s="107">
        <f>'Прил.5 Расчет СМР и ОБ'!G58</f>
        <v/>
      </c>
    </row>
    <row r="20" ht="46.9" customFormat="1" customHeight="1" s="168">
      <c r="A20" s="201" t="n">
        <v>11</v>
      </c>
      <c r="B20" s="107">
        <f>'Прил.5 Расчет СМР и ОБ'!B59</f>
        <v/>
      </c>
      <c r="C20" s="107">
        <f>'Прил.5 Расчет СМР и ОБ'!C59</f>
        <v/>
      </c>
      <c r="D20" s="107">
        <f>'Прил.5 Расчет СМР и ОБ'!D59</f>
        <v/>
      </c>
      <c r="E20" s="107">
        <f>'Прил.5 Расчет СМР и ОБ'!E59</f>
        <v/>
      </c>
      <c r="F20" s="107">
        <f>'Прил.5 Расчет СМР и ОБ'!F59</f>
        <v/>
      </c>
      <c r="G20" s="107">
        <f>'Прил.5 Расчет СМР и ОБ'!G59</f>
        <v/>
      </c>
    </row>
    <row r="21" ht="15.6" customFormat="1" customHeight="1" s="168">
      <c r="A21" s="201" t="n">
        <v>12</v>
      </c>
      <c r="B21" s="107">
        <f>'Прил.5 Расчет СМР и ОБ'!B60</f>
        <v/>
      </c>
      <c r="C21" s="107">
        <f>'Прил.5 Расчет СМР и ОБ'!C60</f>
        <v/>
      </c>
      <c r="D21" s="107">
        <f>'Прил.5 Расчет СМР и ОБ'!D60</f>
        <v/>
      </c>
      <c r="E21" s="107">
        <f>'Прил.5 Расчет СМР и ОБ'!E60</f>
        <v/>
      </c>
      <c r="F21" s="107">
        <f>'Прил.5 Расчет СМР и ОБ'!F60</f>
        <v/>
      </c>
      <c r="G21" s="107">
        <f>'Прил.5 Расчет СМР и ОБ'!G60</f>
        <v/>
      </c>
    </row>
    <row r="22" ht="31.15" customFormat="1" customHeight="1" s="168">
      <c r="A22" s="201" t="n">
        <v>13</v>
      </c>
      <c r="B22" s="107">
        <f>'Прил.5 Расчет СМР и ОБ'!B61</f>
        <v/>
      </c>
      <c r="C22" s="107">
        <f>'Прил.5 Расчет СМР и ОБ'!C61</f>
        <v/>
      </c>
      <c r="D22" s="107">
        <f>'Прил.5 Расчет СМР и ОБ'!D61</f>
        <v/>
      </c>
      <c r="E22" s="107">
        <f>'Прил.5 Расчет СМР и ОБ'!E61</f>
        <v/>
      </c>
      <c r="F22" s="107">
        <f>'Прил.5 Расчет СМР и ОБ'!F61</f>
        <v/>
      </c>
      <c r="G22" s="107">
        <f>'Прил.5 Расчет СМР и ОБ'!G61</f>
        <v/>
      </c>
    </row>
    <row r="23" ht="31.15" customFormat="1" customHeight="1" s="168">
      <c r="A23" s="201" t="n">
        <v>14</v>
      </c>
      <c r="B23" s="107">
        <f>'Прил.5 Расчет СМР и ОБ'!B62</f>
        <v/>
      </c>
      <c r="C23" s="107">
        <f>'Прил.5 Расчет СМР и ОБ'!C62</f>
        <v/>
      </c>
      <c r="D23" s="107">
        <f>'Прил.5 Расчет СМР и ОБ'!D62</f>
        <v/>
      </c>
      <c r="E23" s="107">
        <f>'Прил.5 Расчет СМР и ОБ'!E62</f>
        <v/>
      </c>
      <c r="F23" s="107">
        <f>'Прил.5 Расчет СМР и ОБ'!F62</f>
        <v/>
      </c>
      <c r="G23" s="107">
        <f>'Прил.5 Расчет СМР и ОБ'!G62</f>
        <v/>
      </c>
    </row>
    <row r="24" ht="15.6" customFormat="1" customHeight="1" s="168">
      <c r="A24" s="201" t="n">
        <v>15</v>
      </c>
      <c r="B24" s="107">
        <f>'Прил.5 Расчет СМР и ОБ'!B63</f>
        <v/>
      </c>
      <c r="C24" s="107">
        <f>'Прил.5 Расчет СМР и ОБ'!C63</f>
        <v/>
      </c>
      <c r="D24" s="107">
        <f>'Прил.5 Расчет СМР и ОБ'!D63</f>
        <v/>
      </c>
      <c r="E24" s="107">
        <f>'Прил.5 Расчет СМР и ОБ'!E63</f>
        <v/>
      </c>
      <c r="F24" s="107">
        <f>'Прил.5 Расчет СМР и ОБ'!F63</f>
        <v/>
      </c>
      <c r="G24" s="107">
        <f>'Прил.5 Расчет СМР и ОБ'!G63</f>
        <v/>
      </c>
    </row>
    <row r="25" ht="31.15" customFormat="1" customHeight="1" s="168">
      <c r="A25" s="201" t="n">
        <v>16</v>
      </c>
      <c r="B25" s="107">
        <f>'Прил.5 Расчет СМР и ОБ'!B64</f>
        <v/>
      </c>
      <c r="C25" s="107">
        <f>'Прил.5 Расчет СМР и ОБ'!C64</f>
        <v/>
      </c>
      <c r="D25" s="107">
        <f>'Прил.5 Расчет СМР и ОБ'!D64</f>
        <v/>
      </c>
      <c r="E25" s="107">
        <f>'Прил.5 Расчет СМР и ОБ'!E64</f>
        <v/>
      </c>
      <c r="F25" s="107">
        <f>'Прил.5 Расчет СМР и ОБ'!F64</f>
        <v/>
      </c>
      <c r="G25" s="107">
        <f>'Прил.5 Расчет СМР и ОБ'!G64</f>
        <v/>
      </c>
    </row>
    <row r="26" ht="15.6" customFormat="1" customHeight="1" s="168">
      <c r="A26" s="201" t="n">
        <v>17</v>
      </c>
      <c r="B26" s="107">
        <f>'Прил.5 Расчет СМР и ОБ'!B65</f>
        <v/>
      </c>
      <c r="C26" s="107">
        <f>'Прил.5 Расчет СМР и ОБ'!C65</f>
        <v/>
      </c>
      <c r="D26" s="107">
        <f>'Прил.5 Расчет СМР и ОБ'!D65</f>
        <v/>
      </c>
      <c r="E26" s="107">
        <f>'Прил.5 Расчет СМР и ОБ'!E65</f>
        <v/>
      </c>
      <c r="F26" s="107">
        <f>'Прил.5 Расчет СМР и ОБ'!F65</f>
        <v/>
      </c>
      <c r="G26" s="107">
        <f>'Прил.5 Расчет СМР и ОБ'!G65</f>
        <v/>
      </c>
    </row>
    <row r="27" ht="15.6" customFormat="1" customHeight="1" s="168">
      <c r="A27" s="201" t="n">
        <v>18</v>
      </c>
      <c r="B27" s="107">
        <f>'Прил.5 Расчет СМР и ОБ'!B66</f>
        <v/>
      </c>
      <c r="C27" s="107">
        <f>'Прил.5 Расчет СМР и ОБ'!C66</f>
        <v/>
      </c>
      <c r="D27" s="107">
        <f>'Прил.5 Расчет СМР и ОБ'!D66</f>
        <v/>
      </c>
      <c r="E27" s="107">
        <f>'Прил.5 Расчет СМР и ОБ'!E66</f>
        <v/>
      </c>
      <c r="F27" s="107">
        <f>'Прил.5 Расчет СМР и ОБ'!F66</f>
        <v/>
      </c>
      <c r="G27" s="107">
        <f>'Прил.5 Расчет СМР и ОБ'!G66</f>
        <v/>
      </c>
    </row>
    <row r="28" ht="46.9" customFormat="1" customHeight="1" s="168">
      <c r="A28" s="201" t="n">
        <v>19</v>
      </c>
      <c r="B28" s="107">
        <f>'Прил.5 Расчет СМР и ОБ'!B67</f>
        <v/>
      </c>
      <c r="C28" s="107">
        <f>'Прил.5 Расчет СМР и ОБ'!C67</f>
        <v/>
      </c>
      <c r="D28" s="107">
        <f>'Прил.5 Расчет СМР и ОБ'!D67</f>
        <v/>
      </c>
      <c r="E28" s="107">
        <f>'Прил.5 Расчет СМР и ОБ'!E67</f>
        <v/>
      </c>
      <c r="F28" s="107">
        <f>'Прил.5 Расчет СМР и ОБ'!F67</f>
        <v/>
      </c>
      <c r="G28" s="107">
        <f>'Прил.5 Расчет СМР и ОБ'!G67</f>
        <v/>
      </c>
    </row>
    <row r="29" ht="31.15" customFormat="1" customHeight="1" s="168">
      <c r="A29" s="201" t="n">
        <v>20</v>
      </c>
      <c r="B29" s="107">
        <f>'Прил.5 Расчет СМР и ОБ'!B68</f>
        <v/>
      </c>
      <c r="C29" s="107">
        <f>'Прил.5 Расчет СМР и ОБ'!C68</f>
        <v/>
      </c>
      <c r="D29" s="107">
        <f>'Прил.5 Расчет СМР и ОБ'!D68</f>
        <v/>
      </c>
      <c r="E29" s="107">
        <f>'Прил.5 Расчет СМР и ОБ'!E68</f>
        <v/>
      </c>
      <c r="F29" s="107">
        <f>'Прил.5 Расчет СМР и ОБ'!F68</f>
        <v/>
      </c>
      <c r="G29" s="107">
        <f>'Прил.5 Расчет СМР и ОБ'!G68</f>
        <v/>
      </c>
    </row>
    <row r="30" ht="15.6" customFormat="1" customHeight="1" s="168">
      <c r="A30" s="201" t="n">
        <v>21</v>
      </c>
      <c r="B30" s="107">
        <f>'Прил.5 Расчет СМР и ОБ'!B69</f>
        <v/>
      </c>
      <c r="C30" s="107">
        <f>'Прил.5 Расчет СМР и ОБ'!C69</f>
        <v/>
      </c>
      <c r="D30" s="107">
        <f>'Прил.5 Расчет СМР и ОБ'!D69</f>
        <v/>
      </c>
      <c r="E30" s="107">
        <f>'Прил.5 Расчет СМР и ОБ'!E69</f>
        <v/>
      </c>
      <c r="F30" s="107">
        <f>'Прил.5 Расчет СМР и ОБ'!F69</f>
        <v/>
      </c>
      <c r="G30" s="107">
        <f>'Прил.5 Расчет СМР и ОБ'!G69</f>
        <v/>
      </c>
    </row>
    <row r="31" ht="46.9" customFormat="1" customHeight="1" s="168">
      <c r="A31" s="201" t="n">
        <v>22</v>
      </c>
      <c r="B31" s="107">
        <f>'Прил.5 Расчет СМР и ОБ'!B70</f>
        <v/>
      </c>
      <c r="C31" s="107">
        <f>'Прил.5 Расчет СМР и ОБ'!C70</f>
        <v/>
      </c>
      <c r="D31" s="107">
        <f>'Прил.5 Расчет СМР и ОБ'!D70</f>
        <v/>
      </c>
      <c r="E31" s="107">
        <f>'Прил.5 Расчет СМР и ОБ'!E70</f>
        <v/>
      </c>
      <c r="F31" s="107">
        <f>'Прил.5 Расчет СМР и ОБ'!F70</f>
        <v/>
      </c>
      <c r="G31" s="107">
        <f>'Прил.5 Расчет СМР и ОБ'!G70</f>
        <v/>
      </c>
    </row>
    <row r="32" ht="31.15" customFormat="1" customHeight="1" s="168">
      <c r="A32" s="201" t="n">
        <v>23</v>
      </c>
      <c r="B32" s="107">
        <f>'Прил.5 Расчет СМР и ОБ'!B71</f>
        <v/>
      </c>
      <c r="C32" s="107">
        <f>'Прил.5 Расчет СМР и ОБ'!C71</f>
        <v/>
      </c>
      <c r="D32" s="107">
        <f>'Прил.5 Расчет СМР и ОБ'!D71</f>
        <v/>
      </c>
      <c r="E32" s="107">
        <f>'Прил.5 Расчет СМР и ОБ'!E71</f>
        <v/>
      </c>
      <c r="F32" s="107">
        <f>'Прил.5 Расчет СМР и ОБ'!F71</f>
        <v/>
      </c>
      <c r="G32" s="107">
        <f>'Прил.5 Расчет СМР и ОБ'!G71</f>
        <v/>
      </c>
    </row>
    <row r="33" ht="46.9" customFormat="1" customHeight="1" s="168">
      <c r="A33" s="201" t="n">
        <v>24</v>
      </c>
      <c r="B33" s="107">
        <f>'Прил.5 Расчет СМР и ОБ'!B72</f>
        <v/>
      </c>
      <c r="C33" s="107">
        <f>'Прил.5 Расчет СМР и ОБ'!C72</f>
        <v/>
      </c>
      <c r="D33" s="107">
        <f>'Прил.5 Расчет СМР и ОБ'!D72</f>
        <v/>
      </c>
      <c r="E33" s="107">
        <f>'Прил.5 Расчет СМР и ОБ'!E72</f>
        <v/>
      </c>
      <c r="F33" s="107">
        <f>'Прил.5 Расчет СМР и ОБ'!F72</f>
        <v/>
      </c>
      <c r="G33" s="107">
        <f>'Прил.5 Расчет СМР и ОБ'!G72</f>
        <v/>
      </c>
    </row>
    <row r="34" ht="31.15" customFormat="1" customHeight="1" s="168">
      <c r="A34" s="201" t="n">
        <v>25</v>
      </c>
      <c r="B34" s="107">
        <f>'Прил.5 Расчет СМР и ОБ'!B73</f>
        <v/>
      </c>
      <c r="C34" s="107">
        <f>'Прил.5 Расчет СМР и ОБ'!C73</f>
        <v/>
      </c>
      <c r="D34" s="107">
        <f>'Прил.5 Расчет СМР и ОБ'!D73</f>
        <v/>
      </c>
      <c r="E34" s="107">
        <f>'Прил.5 Расчет СМР и ОБ'!E73</f>
        <v/>
      </c>
      <c r="F34" s="107">
        <f>'Прил.5 Расчет СМР и ОБ'!F73</f>
        <v/>
      </c>
      <c r="G34" s="107">
        <f>'Прил.5 Расчет СМР и ОБ'!G73</f>
        <v/>
      </c>
    </row>
    <row r="35" ht="31.15" customFormat="1" customHeight="1" s="168">
      <c r="A35" s="201" t="n">
        <v>26</v>
      </c>
      <c r="B35" s="107">
        <f>'Прил.5 Расчет СМР и ОБ'!B74</f>
        <v/>
      </c>
      <c r="C35" s="107">
        <f>'Прил.5 Расчет СМР и ОБ'!C74</f>
        <v/>
      </c>
      <c r="D35" s="107">
        <f>'Прил.5 Расчет СМР и ОБ'!D74</f>
        <v/>
      </c>
      <c r="E35" s="107">
        <f>'Прил.5 Расчет СМР и ОБ'!E74</f>
        <v/>
      </c>
      <c r="F35" s="107">
        <f>'Прил.5 Расчет СМР и ОБ'!F74</f>
        <v/>
      </c>
      <c r="G35" s="107">
        <f>'Прил.5 Расчет СМР и ОБ'!G74</f>
        <v/>
      </c>
    </row>
    <row r="36" ht="15.6" customFormat="1" customHeight="1" s="168">
      <c r="A36" s="201" t="n">
        <v>27</v>
      </c>
      <c r="B36" s="107">
        <f>'Прил.5 Расчет СМР и ОБ'!B75</f>
        <v/>
      </c>
      <c r="C36" s="107">
        <f>'Прил.5 Расчет СМР и ОБ'!C75</f>
        <v/>
      </c>
      <c r="D36" s="107">
        <f>'Прил.5 Расчет СМР и ОБ'!D75</f>
        <v/>
      </c>
      <c r="E36" s="107">
        <f>'Прил.5 Расчет СМР и ОБ'!E75</f>
        <v/>
      </c>
      <c r="F36" s="107">
        <f>'Прил.5 Расчет СМР и ОБ'!F75</f>
        <v/>
      </c>
      <c r="G36" s="107">
        <f>'Прил.5 Расчет СМР и ОБ'!G75</f>
        <v/>
      </c>
    </row>
    <row r="37" ht="46.9" customFormat="1" customHeight="1" s="168">
      <c r="A37" s="201" t="n">
        <v>28</v>
      </c>
      <c r="B37" s="107">
        <f>'Прил.5 Расчет СМР и ОБ'!B76</f>
        <v/>
      </c>
      <c r="C37" s="107">
        <f>'Прил.5 Расчет СМР и ОБ'!C76</f>
        <v/>
      </c>
      <c r="D37" s="107">
        <f>'Прил.5 Расчет СМР и ОБ'!D76</f>
        <v/>
      </c>
      <c r="E37" s="107">
        <f>'Прил.5 Расчет СМР и ОБ'!E76</f>
        <v/>
      </c>
      <c r="F37" s="107">
        <f>'Прил.5 Расчет СМР и ОБ'!F76</f>
        <v/>
      </c>
      <c r="G37" s="107">
        <f>'Прил.5 Расчет СМР и ОБ'!G76</f>
        <v/>
      </c>
    </row>
    <row r="38" ht="46.9" customFormat="1" customHeight="1" s="168">
      <c r="A38" s="201" t="n">
        <v>29</v>
      </c>
      <c r="B38" s="107">
        <f>'Прил.5 Расчет СМР и ОБ'!B77</f>
        <v/>
      </c>
      <c r="C38" s="107">
        <f>'Прил.5 Расчет СМР и ОБ'!C77</f>
        <v/>
      </c>
      <c r="D38" s="107">
        <f>'Прил.5 Расчет СМР и ОБ'!D77</f>
        <v/>
      </c>
      <c r="E38" s="107">
        <f>'Прил.5 Расчет СМР и ОБ'!E77</f>
        <v/>
      </c>
      <c r="F38" s="107">
        <f>'Прил.5 Расчет СМР и ОБ'!F77</f>
        <v/>
      </c>
      <c r="G38" s="107">
        <f>'Прил.5 Расчет СМР и ОБ'!G77</f>
        <v/>
      </c>
    </row>
    <row r="39" ht="15.6" customFormat="1" customHeight="1" s="168">
      <c r="A39" s="201" t="n">
        <v>30</v>
      </c>
      <c r="B39" s="107">
        <f>'Прил.5 Расчет СМР и ОБ'!B78</f>
        <v/>
      </c>
      <c r="C39" s="107">
        <f>'Прил.5 Расчет СМР и ОБ'!C78</f>
        <v/>
      </c>
      <c r="D39" s="107">
        <f>'Прил.5 Расчет СМР и ОБ'!D78</f>
        <v/>
      </c>
      <c r="E39" s="107">
        <f>'Прил.5 Расчет СМР и ОБ'!E78</f>
        <v/>
      </c>
      <c r="F39" s="107">
        <f>'Прил.5 Расчет СМР и ОБ'!F78</f>
        <v/>
      </c>
      <c r="G39" s="107">
        <f>'Прил.5 Расчет СМР и ОБ'!G78</f>
        <v/>
      </c>
    </row>
    <row r="40" ht="15.6" customFormat="1" customHeight="1" s="168">
      <c r="A40" s="201" t="n">
        <v>31</v>
      </c>
      <c r="B40" s="107">
        <f>'Прил.5 Расчет СМР и ОБ'!B79</f>
        <v/>
      </c>
      <c r="C40" s="107">
        <f>'Прил.5 Расчет СМР и ОБ'!C79</f>
        <v/>
      </c>
      <c r="D40" s="107">
        <f>'Прил.5 Расчет СМР и ОБ'!D79</f>
        <v/>
      </c>
      <c r="E40" s="107">
        <f>'Прил.5 Расчет СМР и ОБ'!E79</f>
        <v/>
      </c>
      <c r="F40" s="107">
        <f>'Прил.5 Расчет СМР и ОБ'!F79</f>
        <v/>
      </c>
      <c r="G40" s="107">
        <f>'Прил.5 Расчет СМР и ОБ'!G79</f>
        <v/>
      </c>
    </row>
    <row r="41" ht="31.15" customFormat="1" customHeight="1" s="168">
      <c r="A41" s="201" t="n">
        <v>32</v>
      </c>
      <c r="B41" s="107">
        <f>'Прил.5 Расчет СМР и ОБ'!B80</f>
        <v/>
      </c>
      <c r="C41" s="107">
        <f>'Прил.5 Расчет СМР и ОБ'!C80</f>
        <v/>
      </c>
      <c r="D41" s="107">
        <f>'Прил.5 Расчет СМР и ОБ'!D80</f>
        <v/>
      </c>
      <c r="E41" s="107">
        <f>'Прил.5 Расчет СМР и ОБ'!E80</f>
        <v/>
      </c>
      <c r="F41" s="107">
        <f>'Прил.5 Расчет СМР и ОБ'!F80</f>
        <v/>
      </c>
      <c r="G41" s="107">
        <f>'Прил.5 Расчет СМР и ОБ'!G80</f>
        <v/>
      </c>
    </row>
    <row r="42" ht="31.15" customFormat="1" customHeight="1" s="168">
      <c r="A42" s="201" t="n"/>
      <c r="B42" s="28" t="n"/>
      <c r="C42" s="197" t="inlineStr">
        <is>
          <t>ИТОГО ИНЖЕНЕРНОЕ ОБОРУДОВАНИЕ</t>
        </is>
      </c>
      <c r="D42" s="28" t="n"/>
      <c r="E42" s="32" t="n"/>
      <c r="F42" s="199" t="n"/>
      <c r="G42" s="199">
        <f>SUM(G10:G41)</f>
        <v/>
      </c>
    </row>
    <row r="43" ht="15.6" customFormat="1" customHeight="1" s="168">
      <c r="A43" s="201" t="n"/>
      <c r="B43" s="197" t="inlineStr">
        <is>
          <t>ТЕХНОЛОГИЧЕСКОЕ ОБОРУДОВАНИЕ</t>
        </is>
      </c>
      <c r="C43" s="205" t="n"/>
      <c r="D43" s="205" t="n"/>
      <c r="E43" s="205" t="n"/>
      <c r="F43" s="205" t="n"/>
      <c r="G43" s="206" t="n"/>
    </row>
    <row r="44" ht="31.15" customFormat="1" customHeight="1" s="168">
      <c r="A44" s="201" t="n"/>
      <c r="B44" s="197" t="n"/>
      <c r="C44" s="197" t="inlineStr">
        <is>
          <t>ИТОГО ТЕХНОЛОГИЧЕСКОЕ ОБОРУДОВАНИЕ</t>
        </is>
      </c>
      <c r="D44" s="197" t="n"/>
      <c r="E44" s="198" t="n"/>
      <c r="F44" s="115" t="n"/>
      <c r="G44" s="191" t="n"/>
    </row>
    <row r="45" ht="15.6" customFormat="1" customHeight="1" s="168">
      <c r="A45" s="201" t="n"/>
      <c r="B45" s="197" t="n"/>
      <c r="C45" s="197" t="inlineStr">
        <is>
          <t>Итого по разделу "Оборудование"</t>
        </is>
      </c>
      <c r="D45" s="197" t="n"/>
      <c r="E45" s="198" t="n"/>
      <c r="F45" s="199" t="n"/>
      <c r="G45" s="116">
        <f>G42</f>
        <v/>
      </c>
    </row>
    <row r="46" ht="15.6" customFormat="1" customHeight="1" s="168">
      <c r="A46" s="168" t="n"/>
      <c r="B46" s="168" t="n"/>
    </row>
    <row r="47" ht="15.6" customFormat="1" customHeight="1" s="168">
      <c r="A47" s="168" t="inlineStr">
        <is>
          <t>Составил ______________________        М.С. Колотиевская</t>
        </is>
      </c>
      <c r="B47" s="168" t="n"/>
      <c r="C47" s="168" t="n"/>
    </row>
    <row r="48" ht="15.6" customFormat="1" customHeight="1" s="168">
      <c r="A48" s="125" t="inlineStr">
        <is>
          <t xml:space="preserve">                         (подпись, инициалы, фамилия)</t>
        </is>
      </c>
      <c r="B48" s="168" t="n"/>
      <c r="C48" s="168" t="n"/>
    </row>
    <row r="49" ht="15.6" customFormat="1" customHeight="1" s="168">
      <c r="A49" s="168" t="n"/>
      <c r="B49" s="168" t="n"/>
      <c r="C49" s="168" t="n"/>
    </row>
    <row r="50" ht="15.6" customFormat="1" customHeight="1" s="168">
      <c r="A50" s="168" t="inlineStr">
        <is>
          <t>Проверил ______________________      А.В. Костянецкая</t>
        </is>
      </c>
      <c r="B50" s="168" t="n"/>
      <c r="C50" s="168" t="n"/>
    </row>
    <row r="51" ht="15.6" customFormat="1" customHeight="1" s="168">
      <c r="A51" s="125" t="inlineStr">
        <is>
          <t xml:space="preserve">                        (подпись, инициалы, фамилия)</t>
        </is>
      </c>
      <c r="B51" s="187" t="n"/>
      <c r="C51" s="168" t="n"/>
    </row>
    <row r="52" ht="15.6" customFormat="1" customHeight="1" s="168"/>
  </sheetData>
  <mergeCells count="10">
    <mergeCell ref="A1:G1"/>
    <mergeCell ref="A3:G3"/>
    <mergeCell ref="B9:G9"/>
    <mergeCell ref="F6:G6"/>
    <mergeCell ref="B43:G43"/>
    <mergeCell ref="E6:E7"/>
    <mergeCell ref="C6:C7"/>
    <mergeCell ref="A6:A7"/>
    <mergeCell ref="D6:D7"/>
    <mergeCell ref="B6:B7"/>
  </mergeCells>
  <conditionalFormatting sqref="E42:E43">
    <cfRule type="expression" priority="1" dxfId="0" stopIfTrue="1">
      <formula>E42&gt;=1/10000</formula>
    </cfRule>
  </conditionalFormatting>
  <conditionalFormatting sqref="E44:E45">
    <cfRule type="expression" priority="2" dxfId="0" stopIfTrue="1">
      <formula>E42&gt;=1/10000</formula>
    </cfRule>
  </conditionalFormatting>
  <pageMargins left="0.7" right="0.7" top="0.75" bottom="0.75" header="0.3" footer="0.3"/>
  <pageSetup orientation="portrait" paperSize="9" scale="79" fitToHeight="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60" zoomScaleNormal="100" workbookViewId="0">
      <selection activeCell="D20" sqref="D20"/>
    </sheetView>
  </sheetViews>
  <sheetFormatPr baseColWidth="8" defaultColWidth="8.85546875" defaultRowHeight="15.75"/>
  <cols>
    <col width="14.42578125" customWidth="1" style="168" min="1" max="1"/>
    <col width="29.7109375" customWidth="1" style="168" min="2" max="2"/>
    <col width="39.140625" customWidth="1" style="168" min="3" max="3"/>
    <col width="24.5703125" customWidth="1" style="168" min="4" max="4"/>
    <col width="8.85546875" customWidth="1" style="168" min="5" max="5"/>
  </cols>
  <sheetData>
    <row r="1">
      <c r="D1" s="195" t="inlineStr">
        <is>
          <t>Приложение №7</t>
        </is>
      </c>
    </row>
    <row r="2">
      <c r="A2" s="195" t="n"/>
      <c r="B2" s="195" t="n"/>
      <c r="C2" s="195" t="n"/>
      <c r="D2" s="195" t="n"/>
    </row>
    <row r="3" ht="24.75" customHeight="1" s="127">
      <c r="A3" s="183" t="inlineStr">
        <is>
          <t>Расчет показателя УНЦ</t>
        </is>
      </c>
    </row>
    <row r="4" ht="24.75" customHeight="1" s="127">
      <c r="A4" s="183" t="n"/>
      <c r="B4" s="183" t="n"/>
      <c r="C4" s="183" t="n"/>
      <c r="D4" s="183" t="n"/>
    </row>
    <row r="5" ht="24.6" customHeight="1" s="127">
      <c r="A5" s="204">
        <f>'Прил.5 Расчет СМР и ОБ'!$A$6&amp;'Прил.5 Расчет СМР и ОБ'!$D$6</f>
        <v/>
      </c>
      <c r="D5" s="204" t="n"/>
    </row>
    <row r="6" ht="19.9" customHeight="1" s="127">
      <c r="A6" s="204">
        <f>'Прил.5 Расчет СМР и ОБ'!$A$7</f>
        <v/>
      </c>
      <c r="D6" s="204" t="n"/>
    </row>
    <row r="8" ht="14.45" customHeight="1" s="127">
      <c r="A8" s="181" t="inlineStr">
        <is>
          <t>Код показателя</t>
        </is>
      </c>
      <c r="B8" s="181" t="inlineStr">
        <is>
          <t>Наименование показателя</t>
        </is>
      </c>
      <c r="C8" s="181" t="inlineStr">
        <is>
          <t>Наименование РМ, входящих в состав показателя</t>
        </is>
      </c>
      <c r="D8" s="181" t="inlineStr">
        <is>
          <t>Норматив цены на 01.01.2023, тыс.руб.</t>
        </is>
      </c>
    </row>
    <row r="9" ht="15" customHeight="1" s="127">
      <c r="A9" s="208" t="n"/>
      <c r="B9" s="208" t="n"/>
      <c r="C9" s="208" t="n"/>
      <c r="D9" s="208" t="n"/>
    </row>
    <row r="10">
      <c r="A10" s="181" t="n">
        <v>1</v>
      </c>
      <c r="B10" s="181" t="n">
        <v>2</v>
      </c>
      <c r="C10" s="181" t="n">
        <v>3</v>
      </c>
      <c r="D10" s="181" t="n">
        <v>4</v>
      </c>
    </row>
    <row r="11" ht="41.45" customHeight="1" s="127">
      <c r="A11" s="181" t="inlineStr">
        <is>
          <t>Н2-09</t>
        </is>
      </c>
      <c r="B11" s="181" t="inlineStr">
        <is>
          <t>Газовое пожаротушение</t>
        </is>
      </c>
      <c r="C11" s="123">
        <f>B11</f>
        <v/>
      </c>
      <c r="D11" s="135">
        <f>ROUND('Прил.4 РМ'!$C$41/1000,2)</f>
        <v/>
      </c>
      <c r="E11" s="125" t="n"/>
    </row>
    <row r="12">
      <c r="A12" s="168" t="n"/>
      <c r="B12" s="168" t="n"/>
    </row>
    <row r="13">
      <c r="A13" s="168" t="inlineStr">
        <is>
          <t>Составил ______________________        М.С. Колотиевская</t>
        </is>
      </c>
      <c r="B13" s="168" t="n"/>
    </row>
    <row r="14">
      <c r="A14" s="125" t="inlineStr">
        <is>
          <t xml:space="preserve">                         (подпись, инициалы, фамилия)</t>
        </is>
      </c>
      <c r="B14" s="168" t="n"/>
    </row>
    <row r="15">
      <c r="A15" s="168" t="n"/>
      <c r="B15" s="168" t="n"/>
    </row>
    <row r="16">
      <c r="A16" s="168" t="inlineStr">
        <is>
          <t>Проверил ______________________      А.В. Костянецкая</t>
        </is>
      </c>
      <c r="B16" s="168" t="n"/>
    </row>
    <row r="17">
      <c r="A17" s="125" t="inlineStr">
        <is>
          <t xml:space="preserve">                        (подпись, инициалы, фамилия)</t>
        </is>
      </c>
      <c r="B17" s="18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S40" sqref="S40"/>
    </sheetView>
  </sheetViews>
  <sheetFormatPr baseColWidth="8" defaultColWidth="9.140625" defaultRowHeight="15"/>
  <cols>
    <col width="9.140625" customWidth="1" style="127" min="1" max="1"/>
    <col width="40.7109375" customWidth="1" style="127" min="2" max="2"/>
    <col width="37" customWidth="1" style="127" min="3" max="3"/>
    <col width="32" customWidth="1" style="127" min="4" max="4"/>
    <col width="9.140625" customWidth="1" style="127" min="5" max="5"/>
  </cols>
  <sheetData>
    <row r="4" ht="15.6" customHeight="1" s="127">
      <c r="B4" s="178" t="inlineStr">
        <is>
          <t>Приложение № 10</t>
        </is>
      </c>
    </row>
    <row r="5" ht="18" customHeight="1" s="127">
      <c r="B5" s="34" t="n"/>
    </row>
    <row r="6" ht="15.6" customHeight="1" s="127">
      <c r="B6" s="183" t="inlineStr">
        <is>
          <t>Используемые индексы изменений сметной стоимости и нормы сопутствующих затрат</t>
        </is>
      </c>
    </row>
    <row r="7" ht="18" customHeight="1" s="127">
      <c r="B7" s="167" t="n"/>
    </row>
    <row r="8" ht="46.9" customFormat="1" customHeight="1" s="168">
      <c r="B8" s="181" t="inlineStr">
        <is>
          <t>Наименование индекса / норм сопутствующих затрат</t>
        </is>
      </c>
      <c r="C8" s="181" t="inlineStr">
        <is>
          <t>Дата применения и обоснование индекса / норм сопутствующих затрат</t>
        </is>
      </c>
      <c r="D8" s="181" t="inlineStr">
        <is>
          <t>Размер индекса / норма сопутствующих затрат</t>
        </is>
      </c>
    </row>
    <row r="9" ht="15.6" customFormat="1" customHeight="1" s="168">
      <c r="B9" s="181" t="n">
        <v>1</v>
      </c>
      <c r="C9" s="181" t="n">
        <v>2</v>
      </c>
      <c r="D9" s="181" t="n">
        <v>3</v>
      </c>
    </row>
    <row r="10" ht="45" customFormat="1" customHeight="1" s="168">
      <c r="B10" s="181" t="inlineStr">
        <is>
          <t xml:space="preserve">Индекс изменения сметной стоимости на 1 квартал 2023 года. ОЗП </t>
        </is>
      </c>
      <c r="C10" s="181" t="inlineStr">
        <is>
          <t>Письмо Минстроя России от 30.03.2023г. №17106-ИФ/09  прил.1</t>
        </is>
      </c>
      <c r="D10" s="181" t="n">
        <v>44.29</v>
      </c>
    </row>
    <row r="11" ht="29.25" customFormat="1" customHeight="1" s="168">
      <c r="B11" s="181" t="inlineStr">
        <is>
          <t>Индекс изменения сметной стоимости на 1 квартал 2023 года. ЭМ</t>
        </is>
      </c>
      <c r="C11" s="181" t="inlineStr">
        <is>
          <t>Письмо Минстроя России от 30.03.2023г. №17106-ИФ/09  прил.1</t>
        </is>
      </c>
      <c r="D11" s="181" t="n">
        <v>13.47</v>
      </c>
    </row>
    <row r="12" ht="29.25" customFormat="1" customHeight="1" s="168">
      <c r="B12" s="181" t="inlineStr">
        <is>
          <t>Индекс изменения сметной стоимости на 1 квартал 2023 года. МАТ</t>
        </is>
      </c>
      <c r="C12" s="181" t="inlineStr">
        <is>
          <t>Письмо Минстроя России от 30.03.2023г. №17106-ИФ/09  прил.1</t>
        </is>
      </c>
      <c r="D12" s="181" t="n">
        <v>8.039999999999999</v>
      </c>
    </row>
    <row r="13" ht="30.75" customFormat="1" customHeight="1" s="168">
      <c r="B13" s="181" t="inlineStr">
        <is>
          <t>Индекс изменения сметной стоимости на 1 квартал 2023 года. ОБ</t>
        </is>
      </c>
      <c r="C13" s="159" t="inlineStr">
        <is>
          <t>Письмо Минстроя России от 23.02.2023г. №9791-ИФ/09 прил.6</t>
        </is>
      </c>
      <c r="D13" s="181" t="n">
        <v>6.26</v>
      </c>
    </row>
    <row r="14" ht="89.25" customFormat="1" customHeight="1" s="168">
      <c r="B14" s="181" t="inlineStr">
        <is>
          <t>Временные здания и сооружения</t>
        </is>
      </c>
      <c r="C14" s="1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5" t="n">
        <v>0.039</v>
      </c>
    </row>
    <row r="15" ht="78" customFormat="1" customHeight="1" s="168">
      <c r="B15" s="181" t="inlineStr">
        <is>
          <t>Дополнительные затраты при производстве строительно-монтажных работ в зимнее время</t>
        </is>
      </c>
      <c r="C15" s="1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5" t="n">
        <v>0.021</v>
      </c>
      <c r="E15" s="23" t="n"/>
    </row>
    <row r="16" ht="32.25" customFormat="1" customHeight="1" s="168">
      <c r="B16" s="181" t="inlineStr">
        <is>
          <t>Пусконаладочные работы</t>
        </is>
      </c>
      <c r="C16" s="181" t="n"/>
      <c r="D16" s="35" t="inlineStr">
        <is>
          <t>расчёт</t>
        </is>
      </c>
      <c r="E16" s="23" t="n"/>
    </row>
    <row r="17" ht="31.5" customFormat="1" customHeight="1" s="168">
      <c r="B17" s="181" t="inlineStr">
        <is>
          <t>Строительный контроль</t>
        </is>
      </c>
      <c r="C17" s="181" t="inlineStr">
        <is>
          <t>Постановление Правительства РФ от 21.06.10 г. № 468</t>
        </is>
      </c>
      <c r="D17" s="35" t="n">
        <v>0.0214</v>
      </c>
    </row>
    <row r="18" ht="31.5" customFormat="1" customHeight="1" s="168">
      <c r="B18" s="181" t="inlineStr">
        <is>
          <t>Авторский надзор</t>
        </is>
      </c>
      <c r="C18" s="181" t="inlineStr">
        <is>
          <t>Приказ от 4.08.2020 № 421/пр п.173</t>
        </is>
      </c>
      <c r="D18" s="35" t="n">
        <v>0.002</v>
      </c>
    </row>
    <row r="19" ht="24" customFormat="1" customHeight="1" s="168">
      <c r="B19" s="181" t="inlineStr">
        <is>
          <t>Непредвиденные расходы</t>
        </is>
      </c>
      <c r="C19" s="181" t="inlineStr">
        <is>
          <t>Приказ от 4.08.2020 № 421/пр п.179</t>
        </is>
      </c>
      <c r="D19" s="35" t="n">
        <v>0.03</v>
      </c>
    </row>
    <row r="20" ht="15.6" customFormat="1" customHeight="1" s="168">
      <c r="B20" s="177" t="n"/>
    </row>
    <row r="21" ht="15.6" customFormat="1" customHeight="1" s="168">
      <c r="B21" s="177" t="n"/>
    </row>
    <row r="22" ht="15.6" customFormat="1" customHeight="1" s="168">
      <c r="B22" s="177" t="n"/>
    </row>
    <row r="23" ht="15.6" customFormat="1" customHeight="1" s="168">
      <c r="B23" s="177" t="n"/>
    </row>
    <row r="24" ht="15.6" customFormat="1" customHeight="1" s="168"/>
    <row r="25" ht="15.6" customFormat="1" customHeight="1" s="168">
      <c r="B25" s="168" t="n"/>
      <c r="C25" s="168" t="n"/>
    </row>
    <row r="26" ht="15.6" customFormat="1" customHeight="1" s="168">
      <c r="B26" s="168" t="inlineStr">
        <is>
          <t>Составил ______________________        М.С. Колотиевская</t>
        </is>
      </c>
      <c r="C26" s="168" t="n"/>
    </row>
    <row r="27" ht="15.6" customFormat="1" customHeight="1" s="168">
      <c r="B27" s="125" t="inlineStr">
        <is>
          <t xml:space="preserve">                         (подпись, инициалы, фамилия)</t>
        </is>
      </c>
      <c r="C27" s="168" t="n"/>
    </row>
    <row r="28" ht="15.6" customFormat="1" customHeight="1" s="168">
      <c r="B28" s="168" t="n"/>
      <c r="C28" s="168" t="n"/>
    </row>
    <row r="29" ht="15.6" customFormat="1" customHeight="1" s="168">
      <c r="B29" s="168" t="inlineStr">
        <is>
          <t>Проверил ______________________      А.В. Костянецкая</t>
        </is>
      </c>
      <c r="C29" s="168" t="n"/>
    </row>
    <row r="30" ht="15.6" customFormat="1" customHeight="1" s="168">
      <c r="B30" s="125" t="inlineStr">
        <is>
          <t xml:space="preserve">                        (подпись, инициалы, фамилия)</t>
        </is>
      </c>
      <c r="C30" s="187" t="n"/>
    </row>
    <row r="31" ht="15.6" customFormat="1" customHeight="1" s="168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27" min="2" max="2"/>
    <col width="13" customWidth="1" style="127" min="3" max="3"/>
    <col width="22.85546875" customWidth="1" style="127" min="4" max="4"/>
    <col width="21.5703125" customWidth="1" style="127" min="5" max="5"/>
    <col width="43.85546875" customWidth="1" style="127" min="6" max="6"/>
  </cols>
  <sheetData>
    <row r="1" s="127"/>
    <row r="2" ht="17.25" customHeight="1" s="127">
      <c r="A2" s="183" t="inlineStr">
        <is>
          <t>Расчет размера средств на оплату труда рабочих-строителей в текущем уровне цен (ФОТр.тек.)</t>
        </is>
      </c>
    </row>
    <row r="3" s="127"/>
    <row r="4" ht="18" customHeight="1" s="127">
      <c r="A4" s="128" t="inlineStr">
        <is>
          <t>Составлен в уровне цен на 01.01.2023 г.</t>
        </is>
      </c>
      <c r="B4" s="168" t="n"/>
      <c r="C4" s="168" t="n"/>
      <c r="D4" s="168" t="n"/>
      <c r="E4" s="168" t="n"/>
      <c r="F4" s="168" t="n"/>
      <c r="G4" s="168" t="n"/>
    </row>
    <row r="5" ht="15.75" customHeight="1" s="127">
      <c r="A5" s="130" t="inlineStr">
        <is>
          <t>№ пп.</t>
        </is>
      </c>
      <c r="B5" s="130" t="inlineStr">
        <is>
          <t>Наименование элемента</t>
        </is>
      </c>
      <c r="C5" s="130" t="inlineStr">
        <is>
          <t>Обозначение</t>
        </is>
      </c>
      <c r="D5" s="130" t="inlineStr">
        <is>
          <t>Формула</t>
        </is>
      </c>
      <c r="E5" s="130" t="inlineStr">
        <is>
          <t>Величина элемента</t>
        </is>
      </c>
      <c r="F5" s="130" t="inlineStr">
        <is>
          <t>Наименования обосновывающих документов</t>
        </is>
      </c>
      <c r="G5" s="168" t="n"/>
    </row>
    <row r="6" ht="15.75" customHeight="1" s="127">
      <c r="A6" s="130" t="n">
        <v>1</v>
      </c>
      <c r="B6" s="130" t="n">
        <v>2</v>
      </c>
      <c r="C6" s="130" t="n">
        <v>3</v>
      </c>
      <c r="D6" s="130" t="n">
        <v>4</v>
      </c>
      <c r="E6" s="130" t="n">
        <v>5</v>
      </c>
      <c r="F6" s="130" t="n">
        <v>6</v>
      </c>
      <c r="G6" s="168" t="n"/>
    </row>
    <row r="7" ht="110.25" customHeight="1" s="127">
      <c r="A7" s="131" t="inlineStr">
        <is>
          <t>1.1</t>
        </is>
      </c>
      <c r="B7" s="1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1" t="inlineStr">
        <is>
          <t>С1ср</t>
        </is>
      </c>
      <c r="D7" s="181" t="inlineStr">
        <is>
          <t>-</t>
        </is>
      </c>
      <c r="E7" s="134" t="n">
        <v>47872.94</v>
      </c>
      <c r="F7" s="1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8" t="n"/>
    </row>
    <row r="8" ht="31.5" customHeight="1" s="127">
      <c r="A8" s="131" t="inlineStr">
        <is>
          <t>1.2</t>
        </is>
      </c>
      <c r="B8" s="136" t="inlineStr">
        <is>
          <t>Среднегодовое нормативное число часов работы одного рабочего в месяц, часы (ч.)</t>
        </is>
      </c>
      <c r="C8" s="181" t="inlineStr">
        <is>
          <t>tср</t>
        </is>
      </c>
      <c r="D8" s="181" t="inlineStr">
        <is>
          <t>1973ч/12мес.</t>
        </is>
      </c>
      <c r="E8" s="135">
        <f>1973/12</f>
        <v/>
      </c>
      <c r="F8" s="136" t="inlineStr">
        <is>
          <t>Производственный календарь 2023 год
(40-часов.неделя)</t>
        </is>
      </c>
      <c r="G8" s="138" t="n"/>
    </row>
    <row r="9" ht="15.75" customHeight="1" s="127">
      <c r="A9" s="131" t="inlineStr">
        <is>
          <t>1.3</t>
        </is>
      </c>
      <c r="B9" s="136" t="inlineStr">
        <is>
          <t>Коэффициент увеличения</t>
        </is>
      </c>
      <c r="C9" s="181" t="inlineStr">
        <is>
          <t>Кув</t>
        </is>
      </c>
      <c r="D9" s="181" t="inlineStr">
        <is>
          <t>-</t>
        </is>
      </c>
      <c r="E9" s="135" t="n">
        <v>1</v>
      </c>
      <c r="F9" s="136" t="n"/>
      <c r="G9" s="138" t="n"/>
    </row>
    <row r="10" ht="15.75" customHeight="1" s="127">
      <c r="A10" s="131" t="inlineStr">
        <is>
          <t>1.4</t>
        </is>
      </c>
      <c r="B10" s="136" t="inlineStr">
        <is>
          <t>Средний разряд работ</t>
        </is>
      </c>
      <c r="C10" s="181" t="n"/>
      <c r="D10" s="181" t="n"/>
      <c r="E10" s="139" t="n">
        <v>4</v>
      </c>
      <c r="F10" s="136" t="inlineStr">
        <is>
          <t>РТМ</t>
        </is>
      </c>
      <c r="G10" s="138" t="n"/>
    </row>
    <row r="11" ht="78.75" customHeight="1" s="127">
      <c r="A11" s="131" t="inlineStr">
        <is>
          <t>1.5</t>
        </is>
      </c>
      <c r="B11" s="136" t="inlineStr">
        <is>
          <t>Тарифный коэффициент среднего разряда работ</t>
        </is>
      </c>
      <c r="C11" s="181" t="inlineStr">
        <is>
          <t>КТ</t>
        </is>
      </c>
      <c r="D11" s="181" t="inlineStr">
        <is>
          <t>-</t>
        </is>
      </c>
      <c r="E11" s="140" t="n">
        <v>1.34</v>
      </c>
      <c r="F11" s="1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8" t="n"/>
    </row>
    <row r="12" ht="78.75" customHeight="1" s="127">
      <c r="A12" s="131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181" t="inlineStr">
        <is>
          <t>Кинф</t>
        </is>
      </c>
      <c r="D12" s="181" t="inlineStr">
        <is>
          <t>-</t>
        </is>
      </c>
      <c r="E12" s="142" t="n">
        <v>1.139</v>
      </c>
      <c r="F12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8" t="n"/>
    </row>
    <row r="13" ht="63" customHeight="1" s="127">
      <c r="A13" s="144" t="inlineStr">
        <is>
          <t>1.7</t>
        </is>
      </c>
      <c r="B13" s="145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147">
        <f>((E7*E9/E8)*E11)*E12</f>
        <v/>
      </c>
      <c r="F13" s="1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8" t="n"/>
    </row>
    <row r="14" ht="15.75" customHeight="1" s="127">
      <c r="A14" s="149" t="n"/>
      <c r="B14" s="150" t="inlineStr">
        <is>
          <t>Инженер I категории</t>
        </is>
      </c>
      <c r="C14" s="150" t="n"/>
      <c r="D14" s="150" t="n"/>
      <c r="E14" s="150" t="n"/>
      <c r="F14" s="151" t="n"/>
    </row>
    <row r="15" ht="110.25" customHeight="1" s="127">
      <c r="A15" s="131" t="inlineStr">
        <is>
          <t>1.1</t>
        </is>
      </c>
      <c r="B15" s="1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1" t="inlineStr">
        <is>
          <t>С1ср</t>
        </is>
      </c>
      <c r="D15" s="181" t="inlineStr">
        <is>
          <t>-</t>
        </is>
      </c>
      <c r="E15" s="134" t="n">
        <v>47872.94</v>
      </c>
      <c r="F15" s="1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68" t="n"/>
    </row>
    <row r="16" ht="31.5" customHeight="1" s="127">
      <c r="A16" s="131" t="inlineStr">
        <is>
          <t>1.2</t>
        </is>
      </c>
      <c r="B16" s="136" t="inlineStr">
        <is>
          <t>Среднегодовое нормативное число часов работы одного рабочего в месяц, часы (ч.)</t>
        </is>
      </c>
      <c r="C16" s="181" t="inlineStr">
        <is>
          <t>tср</t>
        </is>
      </c>
      <c r="D16" s="181" t="inlineStr">
        <is>
          <t>1973ч/12мес.</t>
        </is>
      </c>
      <c r="E16" s="135">
        <f>1973/12</f>
        <v/>
      </c>
      <c r="F16" s="136" t="inlineStr">
        <is>
          <t>Производственный календарь 2023 год
(40-часов.неделя)</t>
        </is>
      </c>
      <c r="G16" s="138" t="n"/>
    </row>
    <row r="17" ht="15.75" customHeight="1" s="127">
      <c r="A17" s="131" t="inlineStr">
        <is>
          <t>1.3</t>
        </is>
      </c>
      <c r="B17" s="136" t="inlineStr">
        <is>
          <t>Коэффициент увеличения</t>
        </is>
      </c>
      <c r="C17" s="181" t="inlineStr">
        <is>
          <t>Кув</t>
        </is>
      </c>
      <c r="D17" s="181" t="inlineStr">
        <is>
          <t>-</t>
        </is>
      </c>
      <c r="E17" s="135" t="n">
        <v>1</v>
      </c>
      <c r="F17" s="136" t="n"/>
      <c r="G17" s="138" t="n"/>
    </row>
    <row r="18" ht="15.75" customHeight="1" s="127">
      <c r="A18" s="131" t="inlineStr">
        <is>
          <t>1.4</t>
        </is>
      </c>
      <c r="B18" s="136" t="inlineStr">
        <is>
          <t>Средний разряд работ</t>
        </is>
      </c>
      <c r="C18" s="181" t="n"/>
      <c r="D18" s="181" t="n"/>
      <c r="E18" s="139" t="inlineStr">
        <is>
          <t>Инженер I категории</t>
        </is>
      </c>
      <c r="F18" s="136" t="inlineStr">
        <is>
          <t>РТМ</t>
        </is>
      </c>
      <c r="G18" s="138" t="n"/>
    </row>
    <row r="19" ht="78.75" customHeight="1" s="127">
      <c r="A19" s="144" t="inlineStr">
        <is>
          <t>1.5</t>
        </is>
      </c>
      <c r="B19" s="148" t="inlineStr">
        <is>
          <t>Тарифный коэффициент среднего разряда работ</t>
        </is>
      </c>
      <c r="C19" s="202" t="inlineStr">
        <is>
          <t>КТ</t>
        </is>
      </c>
      <c r="D19" s="202" t="inlineStr">
        <is>
          <t>-</t>
        </is>
      </c>
      <c r="E19" s="152" t="n">
        <v>2.15</v>
      </c>
      <c r="F19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68" t="n"/>
    </row>
    <row r="20" ht="78.75" customHeight="1" s="127">
      <c r="A20" s="131" t="inlineStr">
        <is>
          <t>1.6</t>
        </is>
      </c>
      <c r="B20" s="196" t="inlineStr">
        <is>
          <t>Коэффициент инфляции, определяемый поквартально</t>
        </is>
      </c>
      <c r="C20" s="181" t="inlineStr">
        <is>
          <t>Кинф</t>
        </is>
      </c>
      <c r="D20" s="181" t="inlineStr">
        <is>
          <t>-</t>
        </is>
      </c>
      <c r="E20" s="142" t="n">
        <v>1.139</v>
      </c>
      <c r="F20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38" t="n"/>
    </row>
    <row r="21" ht="63" customHeight="1" s="127">
      <c r="A21" s="131" t="inlineStr">
        <is>
          <t>1.7</t>
        </is>
      </c>
      <c r="B21" s="153" t="inlineStr">
        <is>
          <t>Размер средств на оплату труда рабочих-строителей в текущем уровне цен (ФОТр.тек.), руб/чел.-ч</t>
        </is>
      </c>
      <c r="C21" s="181" t="inlineStr">
        <is>
          <t>ФОТр.тек.</t>
        </is>
      </c>
      <c r="D21" s="181" t="inlineStr">
        <is>
          <t>(С1ср/tср*КТ*Т*Кув)*Кинф</t>
        </is>
      </c>
      <c r="E21" s="154">
        <f>((E15*E17/E16)*E19)*E20</f>
        <v/>
      </c>
      <c r="F21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68" t="n"/>
    </row>
    <row r="22" ht="15.75" customHeight="1" s="127">
      <c r="A22" s="149" t="n"/>
      <c r="B22" s="150" t="inlineStr">
        <is>
          <t>Инженер II категории</t>
        </is>
      </c>
      <c r="C22" s="150" t="n"/>
      <c r="D22" s="150" t="n"/>
      <c r="E22" s="150" t="n"/>
      <c r="F22" s="151" t="n"/>
    </row>
    <row r="23" ht="110.25" customHeight="1" s="127">
      <c r="A23" s="131" t="inlineStr">
        <is>
          <t>1.1</t>
        </is>
      </c>
      <c r="B23" s="1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81" t="inlineStr">
        <is>
          <t>С1ср</t>
        </is>
      </c>
      <c r="D23" s="181" t="inlineStr">
        <is>
          <t>-</t>
        </is>
      </c>
      <c r="E23" s="134" t="n">
        <v>47872.94</v>
      </c>
      <c r="F23" s="1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68" t="n"/>
    </row>
    <row r="24" ht="31.5" customHeight="1" s="127">
      <c r="A24" s="131" t="inlineStr">
        <is>
          <t>1.2</t>
        </is>
      </c>
      <c r="B24" s="136" t="inlineStr">
        <is>
          <t>Среднегодовое нормативное число часов работы одного рабочего в месяц, часы (ч.)</t>
        </is>
      </c>
      <c r="C24" s="181" t="inlineStr">
        <is>
          <t>tср</t>
        </is>
      </c>
      <c r="D24" s="181" t="inlineStr">
        <is>
          <t>1973ч/12мес.</t>
        </is>
      </c>
      <c r="E24" s="135">
        <f>1973/12</f>
        <v/>
      </c>
      <c r="F24" s="136" t="inlineStr">
        <is>
          <t>Производственный календарь 2023 год
(40-часов.неделя)</t>
        </is>
      </c>
      <c r="G24" s="138" t="n"/>
    </row>
    <row r="25" ht="15.75" customHeight="1" s="127">
      <c r="A25" s="131" t="inlineStr">
        <is>
          <t>1.3</t>
        </is>
      </c>
      <c r="B25" s="136" t="inlineStr">
        <is>
          <t>Коэффициент увеличения</t>
        </is>
      </c>
      <c r="C25" s="181" t="inlineStr">
        <is>
          <t>Кув</t>
        </is>
      </c>
      <c r="D25" s="181" t="inlineStr">
        <is>
          <t>-</t>
        </is>
      </c>
      <c r="E25" s="135" t="n">
        <v>1</v>
      </c>
      <c r="F25" s="136" t="n"/>
      <c r="G25" s="138" t="n"/>
    </row>
    <row r="26" ht="15.75" customHeight="1" s="127">
      <c r="A26" s="131" t="inlineStr">
        <is>
          <t>1.4</t>
        </is>
      </c>
      <c r="B26" s="136" t="inlineStr">
        <is>
          <t>Средний разряд работ</t>
        </is>
      </c>
      <c r="C26" s="181" t="n"/>
      <c r="D26" s="181" t="n"/>
      <c r="E26" s="139" t="inlineStr">
        <is>
          <t>Инженер II категории</t>
        </is>
      </c>
      <c r="F26" s="136" t="inlineStr">
        <is>
          <t>РТМ</t>
        </is>
      </c>
      <c r="G26" s="138" t="n"/>
    </row>
    <row r="27" ht="78.75" customHeight="1" s="127">
      <c r="A27" s="144" t="inlineStr">
        <is>
          <t>1.5</t>
        </is>
      </c>
      <c r="B27" s="148" t="inlineStr">
        <is>
          <t>Тарифный коэффициент среднего разряда работ</t>
        </is>
      </c>
      <c r="C27" s="202" t="inlineStr">
        <is>
          <t>КТ</t>
        </is>
      </c>
      <c r="D27" s="202" t="inlineStr">
        <is>
          <t>-</t>
        </is>
      </c>
      <c r="E27" s="152" t="n">
        <v>1.96</v>
      </c>
      <c r="F27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68" t="n"/>
    </row>
    <row r="28" ht="78.75" customHeight="1" s="127">
      <c r="A28" s="131" t="inlineStr">
        <is>
          <t>1.6</t>
        </is>
      </c>
      <c r="B28" s="196" t="inlineStr">
        <is>
          <t>Коэффициент инфляции, определяемый поквартально</t>
        </is>
      </c>
      <c r="C28" s="181" t="inlineStr">
        <is>
          <t>Кинф</t>
        </is>
      </c>
      <c r="D28" s="181" t="inlineStr">
        <is>
          <t>-</t>
        </is>
      </c>
      <c r="E28" s="142" t="n">
        <v>1.139</v>
      </c>
      <c r="F28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38" t="n"/>
    </row>
    <row r="29" ht="63" customHeight="1" s="127">
      <c r="A29" s="131" t="inlineStr">
        <is>
          <t>1.7</t>
        </is>
      </c>
      <c r="B29" s="153" t="inlineStr">
        <is>
          <t>Размер средств на оплату труда рабочих-строителей в текущем уровне цен (ФОТр.тек.), руб/чел.-ч</t>
        </is>
      </c>
      <c r="C29" s="181" t="inlineStr">
        <is>
          <t>ФОТр.тек.</t>
        </is>
      </c>
      <c r="D29" s="181" t="inlineStr">
        <is>
          <t>(С1ср/tср*КТ*Т*Кув)*Кинф</t>
        </is>
      </c>
      <c r="E29" s="154">
        <f>((E23*E25/E24)*E27)*E28</f>
        <v/>
      </c>
      <c r="F29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6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2023-07-27T11:29:44Z</dcterms:created>
  <dcterms:modified xsi:type="dcterms:W3CDTF">2025-01-24T12:12:28Z</dcterms:modified>
  <cp:lastModifiedBy>REDMIBOOK</cp:lastModifiedBy>
  <cp:lastPrinted>2023-12-01T09:50:52Z</cp:lastPrinted>
</cp:coreProperties>
</file>