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ОБ'!$A$1:$J$70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1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left" vertical="center" wrapText="1"/>
    </xf>
    <xf numFmtId="49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 wrapText="1"/>
    </xf>
    <xf numFmtId="0" fontId="16" fillId="0" borderId="0" pivotButton="0" quotePrefix="0" xfId="0"/>
    <xf numFmtId="43" fontId="16" fillId="0" borderId="1" applyAlignment="1" pivotButton="0" quotePrefix="0" xfId="0">
      <alignment vertical="center" wrapText="1"/>
    </xf>
    <xf numFmtId="167" fontId="16" fillId="0" borderId="0" pivotButton="0" quotePrefix="0" xfId="0"/>
    <xf numFmtId="43" fontId="19" fillId="0" borderId="4" applyAlignment="1" pivotButton="0" quotePrefix="0" xfId="0">
      <alignment vertical="center" wrapText="1"/>
    </xf>
    <xf numFmtId="43" fontId="19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justify"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16" fillId="0" borderId="1" applyAlignment="1" pivotButton="0" quotePrefix="0" xfId="0">
      <alignment vertical="center" wrapText="1"/>
    </xf>
    <xf numFmtId="167" fontId="16" fillId="0" borderId="0" pivotButton="0" quotePrefix="0" xfId="0"/>
    <xf numFmtId="0" fontId="0" fillId="0" borderId="14" pivotButton="0" quotePrefix="0" xfId="0"/>
    <xf numFmtId="0" fontId="0" fillId="0" borderId="15" pivotButton="0" quotePrefix="0" xfId="0"/>
    <xf numFmtId="43" fontId="19" fillId="0" borderId="4" applyAlignment="1" pivotButton="0" quotePrefix="0" xfId="0">
      <alignment vertical="center" wrapText="1"/>
    </xf>
    <xf numFmtId="43" fontId="19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2"/>
  <sheetViews>
    <sheetView view="pageBreakPreview" topLeftCell="A20" workbookViewId="0">
      <selection activeCell="D28" sqref="D28"/>
    </sheetView>
  </sheetViews>
  <sheetFormatPr baseColWidth="8" defaultColWidth="9.140625" defaultRowHeight="15"/>
  <cols>
    <col width="9.140625" customWidth="1" style="318" min="1" max="2"/>
    <col width="36.85546875" customWidth="1" style="318" min="3" max="3"/>
    <col width="39.42578125" customWidth="1" style="318" min="4" max="4"/>
    <col width="9.140625" customWidth="1" style="318" min="5" max="5"/>
  </cols>
  <sheetData>
    <row r="3" ht="15.75" customHeight="1" s="318">
      <c r="B3" s="351" t="inlineStr">
        <is>
          <t>Приложение № 1</t>
        </is>
      </c>
    </row>
    <row r="4" ht="18.75" customHeight="1" s="318">
      <c r="B4" s="352" t="inlineStr">
        <is>
          <t>Сравнительная таблица отбора объекта-представителя</t>
        </is>
      </c>
    </row>
    <row r="5" ht="91.5" customHeight="1" s="318">
      <c r="B5" s="35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8">
      <c r="B6" s="274" t="n"/>
      <c r="C6" s="274" t="n"/>
      <c r="D6" s="274" t="n"/>
    </row>
    <row r="7" ht="36" customHeight="1" s="318">
      <c r="B7" s="350" t="inlineStr">
        <is>
          <t>Наименование разрабатываемого показателя УНЦ —  Контрольный (силовой) кабель, сечение жилы 10 мм2, количество жил 5 шт.</t>
        </is>
      </c>
    </row>
    <row r="8" ht="15.75" customHeight="1" s="318">
      <c r="B8" s="350" t="inlineStr">
        <is>
          <t>Сопоставимый уровень цен: 4 кв. 2018</t>
        </is>
      </c>
    </row>
    <row r="9" ht="15.75" customHeight="1" s="318">
      <c r="B9" s="350" t="inlineStr">
        <is>
          <t>Единица измерения  — 1 км</t>
        </is>
      </c>
    </row>
    <row r="10" ht="18.75" customHeight="1" s="318">
      <c r="B10" s="275" t="n"/>
    </row>
    <row r="11" ht="15.75" customHeight="1" s="318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</row>
    <row r="12" ht="110.25" customHeight="1" s="318">
      <c r="B12" s="357" t="n">
        <v>1</v>
      </c>
      <c r="C12" s="332" t="inlineStr">
        <is>
          <t>Наименование объекта-представителя</t>
        </is>
      </c>
      <c r="D12" s="357" t="inlineStr">
        <is>
          <t>Строительство ПС 500 кВ Белобережская с заходами ВЛ 500 кВ Новобрянская–Елецкая, ВЛ 220 кВ Белобережская – Цементная, ВЛ 220 кВ Белобережская –Машзавод и ВЛ 220 кВ Белобережская – Брянская. Корректировка</t>
        </is>
      </c>
      <c r="E12" s="279" t="n"/>
      <c r="F12" s="279" t="n"/>
      <c r="G12" s="279" t="n"/>
      <c r="H12" s="279" t="n"/>
      <c r="I12" s="279" t="n"/>
      <c r="J12" s="279" t="n"/>
      <c r="K12" s="279" t="n"/>
      <c r="L12" s="279" t="n"/>
    </row>
    <row r="13" ht="31.5" customHeight="1" s="318">
      <c r="B13" s="357" t="n">
        <v>2</v>
      </c>
      <c r="C13" s="332" t="inlineStr">
        <is>
          <t>Наименование субъекта Российской Федерации</t>
        </is>
      </c>
      <c r="D13" s="357" t="inlineStr">
        <is>
          <t>Брянская область</t>
        </is>
      </c>
    </row>
    <row r="14" ht="15.75" customHeight="1" s="318">
      <c r="B14" s="357" t="n">
        <v>3</v>
      </c>
      <c r="C14" s="332" t="inlineStr">
        <is>
          <t>Климатический район и подрайон</t>
        </is>
      </c>
      <c r="D14" s="357" t="inlineStr">
        <is>
          <t>IIВ</t>
        </is>
      </c>
    </row>
    <row r="15" ht="15.75" customHeight="1" s="318">
      <c r="B15" s="357" t="n">
        <v>4</v>
      </c>
      <c r="C15" s="332" t="inlineStr">
        <is>
          <t>Мощность объекта</t>
        </is>
      </c>
      <c r="D15" s="357" t="n">
        <v>1.1</v>
      </c>
    </row>
    <row r="16" ht="94.5" customHeight="1" s="318">
      <c r="B16" s="357" t="n">
        <v>5</v>
      </c>
      <c r="C16" s="28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7" t="inlineStr">
        <is>
          <t>Кабель контрольный КВВГЭнг-LS 5x10</t>
        </is>
      </c>
    </row>
    <row r="17" ht="78.75" customHeight="1" s="318">
      <c r="B17" s="357" t="n">
        <v>6</v>
      </c>
      <c r="C17" s="28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0">
        <f>SUM(D18:D21)</f>
        <v/>
      </c>
    </row>
    <row r="18" ht="15.75" customHeight="1" s="318">
      <c r="B18" s="315" t="inlineStr">
        <is>
          <t>6.1</t>
        </is>
      </c>
      <c r="C18" s="332" t="inlineStr">
        <is>
          <t>строительно-монтажные работы</t>
        </is>
      </c>
      <c r="D18" s="300">
        <f>0.02352+17800.916</f>
        <v/>
      </c>
    </row>
    <row r="19" ht="15.75" customHeight="1" s="318">
      <c r="B19" s="315" t="inlineStr">
        <is>
          <t>6.2</t>
        </is>
      </c>
      <c r="C19" s="332" t="inlineStr">
        <is>
          <t>оборудование и инвентарь</t>
        </is>
      </c>
      <c r="D19" s="300" t="n">
        <v>66364.73586</v>
      </c>
    </row>
    <row r="20" ht="15.75" customHeight="1" s="318">
      <c r="B20" s="315" t="inlineStr">
        <is>
          <t>6.3</t>
        </is>
      </c>
      <c r="C20" s="332" t="inlineStr">
        <is>
          <t>пусконаладочные работы</t>
        </is>
      </c>
      <c r="D20" s="300" t="n"/>
    </row>
    <row r="21" ht="15.75" customHeight="1" s="318">
      <c r="B21" s="315" t="inlineStr">
        <is>
          <t>6.4</t>
        </is>
      </c>
      <c r="C21" s="332" t="inlineStr">
        <is>
          <t>прочие и лимитированные затраты</t>
        </is>
      </c>
      <c r="D21" s="300">
        <f>D18*3.9%+(D18+D18*3.9%)*2.1%*0.9</f>
        <v/>
      </c>
    </row>
    <row r="22" ht="15.75" customHeight="1" s="318">
      <c r="B22" s="357" t="n">
        <v>7</v>
      </c>
      <c r="C22" s="332" t="inlineStr">
        <is>
          <t>Сопоставимый уровень цен</t>
        </is>
      </c>
      <c r="D22" s="312" t="inlineStr">
        <is>
          <t>4 кв. 2018</t>
        </is>
      </c>
    </row>
    <row r="23" ht="110.25" customHeight="1" s="318">
      <c r="B23" s="357" t="n">
        <v>8</v>
      </c>
      <c r="C23" s="28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0">
        <f>D17</f>
        <v/>
      </c>
    </row>
    <row r="24" ht="47.25" customHeight="1" s="318">
      <c r="B24" s="357" t="n">
        <v>9</v>
      </c>
      <c r="C24" s="281" t="inlineStr">
        <is>
          <t>Приведенная сметная стоимость на единицу мощности, тыс. руб. (строка 8/строку 4)</t>
        </is>
      </c>
      <c r="D24" s="300">
        <f>D23/D15</f>
        <v/>
      </c>
    </row>
    <row r="25" ht="15" customHeight="1" s="318">
      <c r="B25" s="357" t="n">
        <v>10</v>
      </c>
      <c r="C25" s="332" t="inlineStr">
        <is>
          <t>Примечание</t>
        </is>
      </c>
      <c r="D25" s="357" t="n"/>
    </row>
    <row r="26" ht="15.6" customHeight="1" s="318">
      <c r="B26" s="304" t="n"/>
      <c r="C26" s="305" t="n"/>
      <c r="D26" s="306" t="n"/>
    </row>
    <row r="27" ht="15.6" customHeight="1" s="318">
      <c r="B27" s="304" t="n"/>
      <c r="C27" s="305" t="n"/>
      <c r="D27" s="306" t="n"/>
    </row>
    <row r="28" ht="15.6" customFormat="1" customHeight="1" s="320">
      <c r="B28" s="320" t="inlineStr">
        <is>
          <t>Составил ______________________        Д.Ю. Нефедова</t>
        </is>
      </c>
    </row>
    <row r="29" ht="15.6" customFormat="1" customHeight="1" s="320">
      <c r="B29" s="304" t="inlineStr">
        <is>
          <t xml:space="preserve">                         (подпись, инициалы, фамилия)</t>
        </is>
      </c>
    </row>
    <row r="30" ht="15.6" customFormat="1" customHeight="1" s="320"/>
    <row r="31" ht="15.6" customFormat="1" customHeight="1" s="320">
      <c r="B31" s="320" t="inlineStr">
        <is>
          <t>Проверил ______________________       А.В. Костянецкая</t>
        </is>
      </c>
    </row>
    <row r="32" ht="15.6" customFormat="1" customHeight="1" s="320">
      <c r="B32" s="30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7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M28"/>
  <sheetViews>
    <sheetView view="pageBreakPreview" topLeftCell="A7" zoomScale="85" zoomScaleNormal="70" zoomScaleSheetLayoutView="85" workbookViewId="0">
      <selection activeCell="H26" sqref="H26"/>
    </sheetView>
  </sheetViews>
  <sheetFormatPr baseColWidth="8" defaultColWidth="9.140625" defaultRowHeight="15.75"/>
  <cols>
    <col width="5.5703125" customWidth="1" style="320" min="1" max="1"/>
    <col width="9.140625" customWidth="1" style="320" min="2" max="2"/>
    <col width="35.28515625" customWidth="1" style="320" min="3" max="3"/>
    <col width="13.85546875" customWidth="1" style="320" min="4" max="4"/>
    <col width="24.85546875" customWidth="1" style="320" min="5" max="5"/>
    <col width="15.5703125" customWidth="1" style="320" min="6" max="6"/>
    <col width="14.85546875" customWidth="1" style="320" min="7" max="7"/>
    <col width="16.7109375" customWidth="1" style="320" min="8" max="8"/>
    <col width="10.140625" customWidth="1" style="320" min="9" max="9"/>
    <col width="14.5703125" customWidth="1" style="320" min="10" max="10"/>
    <col width="18" customWidth="1" style="320" min="11" max="11"/>
    <col width="9.140625" customWidth="1" style="320" min="12" max="12"/>
  </cols>
  <sheetData>
    <row r="3">
      <c r="B3" s="351" t="inlineStr">
        <is>
          <t>Приложение № 2</t>
        </is>
      </c>
      <c r="K3" s="304" t="n"/>
    </row>
    <row r="4">
      <c r="B4" s="356" t="inlineStr">
        <is>
          <t>Расчет стоимости основных видов работ для выбора объекта-представителя</t>
        </is>
      </c>
    </row>
    <row r="5">
      <c r="B5" s="226" t="n"/>
      <c r="C5" s="226" t="n"/>
      <c r="D5" s="226" t="n"/>
      <c r="E5" s="226" t="n"/>
      <c r="F5" s="226" t="n"/>
      <c r="G5" s="226" t="n"/>
      <c r="H5" s="226" t="n"/>
      <c r="I5" s="226" t="n"/>
      <c r="J5" s="226" t="n"/>
      <c r="K5" s="226" t="n"/>
    </row>
    <row r="6" ht="29.25" customHeight="1" s="318">
      <c r="B6" s="350">
        <f>'Прил.1 Сравнит табл'!B7:D7</f>
        <v/>
      </c>
    </row>
    <row r="7">
      <c r="B7" s="350">
        <f>'Прил.1 Сравнит табл'!B9:D9</f>
        <v/>
      </c>
    </row>
    <row r="8" ht="18.75" customHeight="1" s="318">
      <c r="B8" s="275" t="n"/>
    </row>
    <row r="9" ht="15.75" customHeight="1" s="318">
      <c r="A9" s="320" t="n"/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35" t="n"/>
      <c r="F9" s="435" t="n"/>
      <c r="G9" s="435" t="n"/>
      <c r="H9" s="435" t="n"/>
      <c r="I9" s="435" t="n"/>
      <c r="J9" s="436" t="n"/>
      <c r="K9" s="320" t="n"/>
      <c r="L9" s="320" t="n"/>
    </row>
    <row r="10" ht="15.75" customHeight="1" s="318">
      <c r="A10" s="320" t="n"/>
      <c r="B10" s="437" t="n"/>
      <c r="C10" s="437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4 кв. 2018 г., тыс. руб.</t>
        </is>
      </c>
      <c r="G10" s="435" t="n"/>
      <c r="H10" s="435" t="n"/>
      <c r="I10" s="435" t="n"/>
      <c r="J10" s="436" t="n"/>
      <c r="K10" s="320" t="n"/>
      <c r="L10" s="320" t="n"/>
    </row>
    <row r="11" ht="31.7" customHeight="1" s="318">
      <c r="A11" s="320" t="n"/>
      <c r="B11" s="438" t="n"/>
      <c r="C11" s="438" t="n"/>
      <c r="D11" s="438" t="n"/>
      <c r="E11" s="438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  <c r="K11" s="320" t="n"/>
      <c r="L11" s="320" t="n"/>
    </row>
    <row r="12" ht="31.7" customHeight="1" s="318">
      <c r="A12" s="320" t="n"/>
      <c r="B12" s="357" t="n">
        <v>1</v>
      </c>
      <c r="C12" s="357" t="inlineStr">
        <is>
          <t>Кабель контрольный КВВГЭнг-LS 5x10</t>
        </is>
      </c>
      <c r="D12" s="315" t="inlineStr">
        <is>
          <t>02-01-47</t>
        </is>
      </c>
      <c r="E12" s="332" t="inlineStr">
        <is>
          <t xml:space="preserve">РЗ и А.Совмещенное производственное здание.ПС 500 кв Белобережская </t>
        </is>
      </c>
      <c r="F12" s="439" t="n"/>
      <c r="G12" s="439">
        <f>88153/1000*7.84</f>
        <v/>
      </c>
      <c r="H12" s="439">
        <f>1194900/1000*4.58</f>
        <v/>
      </c>
      <c r="I12" s="439" t="n"/>
      <c r="J12" s="439">
        <f>SUM(F12:I12)</f>
        <v/>
      </c>
      <c r="K12" s="320" t="n"/>
      <c r="L12" s="320" t="n"/>
    </row>
    <row r="13" ht="31.5" customFormat="1" customHeight="1" s="320">
      <c r="B13" s="437" t="n"/>
      <c r="C13" s="437" t="n"/>
      <c r="D13" s="315" t="inlineStr">
        <is>
          <t>02-02-12</t>
        </is>
      </c>
      <c r="E13" s="332" t="inlineStr">
        <is>
          <t xml:space="preserve">Расширение АСУ ТП. ПС 220 кВ Машзавод </t>
        </is>
      </c>
      <c r="F13" s="439" t="n"/>
      <c r="G13" s="439">
        <f>433452/1000*7.84</f>
        <v/>
      </c>
      <c r="H13" s="439">
        <f>8567041/1000*4.58</f>
        <v/>
      </c>
      <c r="I13" s="439" t="n"/>
      <c r="J13" s="439">
        <f>SUM(F13:I13)</f>
        <v/>
      </c>
      <c r="K13" s="440" t="n"/>
    </row>
    <row r="14" ht="31.7" customHeight="1" s="318">
      <c r="A14" s="320" t="n"/>
      <c r="B14" s="437" t="n"/>
      <c r="C14" s="437" t="n"/>
      <c r="D14" s="315" t="inlineStr">
        <is>
          <t>02-02-14</t>
        </is>
      </c>
      <c r="E14" s="332" t="inlineStr">
        <is>
          <t xml:space="preserve">РЗА и ПА.ОПУ.ПС 220кВ Машзавод. </t>
        </is>
      </c>
      <c r="F14" s="439" t="n"/>
      <c r="G14" s="439">
        <f>40968/1000*7.84</f>
        <v/>
      </c>
      <c r="H14" s="439">
        <f>33044/1000*4.58</f>
        <v/>
      </c>
      <c r="I14" s="439" t="n"/>
      <c r="J14" s="439">
        <f>SUM(F14:I14)</f>
        <v/>
      </c>
      <c r="K14" s="320" t="n"/>
      <c r="L14" s="320" t="n"/>
    </row>
    <row r="15" ht="78.75" customFormat="1" customHeight="1" s="320">
      <c r="B15" s="437" t="n"/>
      <c r="C15" s="437" t="n"/>
      <c r="D15" s="315" t="inlineStr">
        <is>
          <t>02-04-15</t>
        </is>
      </c>
      <c r="E15" s="332" t="inlineStr">
        <is>
          <t>Здание релейных панелей. Устройства автоматики вентсистемы (2 этап) ПС 220 кВ Брянская</t>
        </is>
      </c>
      <c r="F15" s="439" t="n"/>
      <c r="G15" s="439">
        <f>34940/1000*7.84</f>
        <v/>
      </c>
      <c r="H15" s="439" t="n"/>
      <c r="I15" s="439" t="n"/>
      <c r="J15" s="439">
        <f>SUM(F15:I15)</f>
        <v/>
      </c>
      <c r="K15" s="440" t="n"/>
      <c r="L15" s="440" t="n"/>
      <c r="M15" s="440" t="n"/>
    </row>
    <row r="16" ht="47.25" customFormat="1" customHeight="1" s="320">
      <c r="B16" s="437" t="n"/>
      <c r="C16" s="437" t="n"/>
      <c r="D16" s="315" t="inlineStr">
        <is>
          <t>02-04-02</t>
        </is>
      </c>
      <c r="E16" s="332" t="inlineStr">
        <is>
          <t xml:space="preserve">Расширение ПТК ССПИ. ПС 220 кВ Брянская </t>
        </is>
      </c>
      <c r="F16" s="439">
        <f>3/1000*7.84</f>
        <v/>
      </c>
      <c r="G16" s="439">
        <f>98899/1000*7.84</f>
        <v/>
      </c>
      <c r="H16" s="439">
        <f>577311/1000*4.58</f>
        <v/>
      </c>
      <c r="I16" s="439" t="n"/>
      <c r="J16" s="439">
        <f>SUM(F16:I16)</f>
        <v/>
      </c>
      <c r="K16" s="440" t="n"/>
    </row>
    <row r="17" ht="47.25" customFormat="1" customHeight="1" s="320">
      <c r="B17" s="437" t="n"/>
      <c r="C17" s="437" t="n"/>
      <c r="D17" s="315" t="inlineStr">
        <is>
          <t>02-05-01</t>
        </is>
      </c>
      <c r="E17" s="332" t="inlineStr">
        <is>
          <t xml:space="preserve">РЗ и А ПС 750 кВ Новобрянская. ОРУ500кВ </t>
        </is>
      </c>
      <c r="F17" s="439" t="n"/>
      <c r="G17" s="439">
        <f>840651/1000*7.84</f>
        <v/>
      </c>
      <c r="H17" s="439">
        <f>4117821/1000*4.58</f>
        <v/>
      </c>
      <c r="I17" s="439" t="n"/>
      <c r="J17" s="439">
        <f>SUM(F17:I17)</f>
        <v/>
      </c>
      <c r="K17" s="440" t="n"/>
    </row>
    <row r="18" ht="47.25" customFormat="1" customHeight="1" s="320">
      <c r="B18" s="438" t="n"/>
      <c r="C18" s="438" t="n"/>
      <c r="D18" s="315" t="inlineStr">
        <is>
          <t xml:space="preserve">02-05-01.02 </t>
        </is>
      </c>
      <c r="E18" s="332" t="inlineStr">
        <is>
          <t xml:space="preserve">Кабельное хозяйство  на ПС 750 кВ Новобрянская. </t>
        </is>
      </c>
      <c r="F18" s="439" t="n"/>
      <c r="G18" s="439">
        <f>733462/1000*7.84</f>
        <v/>
      </c>
      <c r="H18" s="439" t="n"/>
      <c r="I18" s="439" t="n"/>
      <c r="J18" s="439">
        <f>SUM(F18:I18)</f>
        <v/>
      </c>
      <c r="K18" s="440" t="n"/>
    </row>
    <row r="19" ht="15.6" customFormat="1" customHeight="1" s="320">
      <c r="B19" s="354" t="inlineStr">
        <is>
          <t>Всего по объекту:</t>
        </is>
      </c>
      <c r="C19" s="441" t="n"/>
      <c r="D19" s="441" t="n"/>
      <c r="E19" s="442" t="n"/>
      <c r="F19" s="443">
        <f>SUM(F12:F18)</f>
        <v/>
      </c>
      <c r="G19" s="443">
        <f>SUM(G12:G18)</f>
        <v/>
      </c>
      <c r="H19" s="443">
        <f>SUM(H12:H18)</f>
        <v/>
      </c>
      <c r="I19" s="443">
        <f>SUM(I12:I18)</f>
        <v/>
      </c>
      <c r="J19" s="443">
        <f>SUM(J12:J18)</f>
        <v/>
      </c>
    </row>
    <row r="20" ht="28.5" customFormat="1" customHeight="1" s="320">
      <c r="B20" s="355" t="inlineStr">
        <is>
          <t>Всего по объекту в сопоставимом уровне цен 4 кв. 2018 г:</t>
        </is>
      </c>
      <c r="C20" s="435" t="n"/>
      <c r="D20" s="435" t="n"/>
      <c r="E20" s="436" t="n"/>
      <c r="F20" s="444">
        <f>F19</f>
        <v/>
      </c>
      <c r="G20" s="444">
        <f>G19</f>
        <v/>
      </c>
      <c r="H20" s="444">
        <f>H19</f>
        <v/>
      </c>
      <c r="I20" s="444">
        <f>I19</f>
        <v/>
      </c>
      <c r="J20" s="444">
        <f>J19</f>
        <v/>
      </c>
    </row>
    <row r="21" ht="15.6" customFormat="1" customHeight="1" s="320">
      <c r="B21" s="350" t="n"/>
    </row>
    <row r="22" ht="15.6" customFormat="1" customHeight="1" s="320"/>
    <row r="23" ht="15.6" customFormat="1" customHeight="1" s="320"/>
    <row r="24" ht="15.6" customFormat="1" customHeight="1" s="320">
      <c r="C24" s="320" t="inlineStr">
        <is>
          <t>Составил ______________________         Д.Ю. Нефедова</t>
        </is>
      </c>
    </row>
    <row r="25" ht="15.6" customFormat="1" customHeight="1" s="320">
      <c r="C25" s="304" t="inlineStr">
        <is>
          <t xml:space="preserve">                         (подпись, инициалы, фамилия)</t>
        </is>
      </c>
    </row>
    <row r="26" ht="15.6" customFormat="1" customHeight="1" s="320"/>
    <row r="27" ht="15.6" customFormat="1" customHeight="1" s="320">
      <c r="C27" s="320" t="inlineStr">
        <is>
          <t>Проверил ______________________         А.В. Костянецкая</t>
        </is>
      </c>
    </row>
    <row r="28" ht="15.6" customFormat="1" customHeight="1" s="320">
      <c r="C28" s="304" t="inlineStr">
        <is>
          <t xml:space="preserve">                        (подпись, инициалы, фамилия)</t>
        </is>
      </c>
    </row>
    <row r="29" ht="15.6" customFormat="1" customHeight="1" s="320"/>
    <row r="30" ht="15" customHeight="1" s="318"/>
    <row r="31" ht="15" customHeight="1" s="318"/>
    <row r="32" ht="15" customHeight="1" s="318"/>
    <row r="33" ht="15" customHeight="1" s="318"/>
    <row r="34" ht="15" customHeight="1" s="318"/>
    <row r="35" ht="15" customHeight="1" s="318"/>
    <row r="36" ht="15" customHeight="1" s="318"/>
    <row r="37" ht="15" customHeight="1" s="318"/>
    <row r="38" ht="15" customHeight="1" s="318"/>
    <row r="39" ht="15" customHeight="1" s="318"/>
    <row r="40" ht="15" customHeight="1" s="318"/>
    <row r="41" ht="15" customHeight="1" s="318"/>
    <row r="42" ht="15" customHeight="1" s="318"/>
    <row r="43" ht="15" customHeight="1" s="318"/>
    <row r="44" ht="15" customHeight="1" s="318"/>
    <row r="45" ht="15" customHeight="1" s="318"/>
    <row r="46" ht="15" customHeight="1" s="318"/>
    <row r="47" ht="15" customHeight="1" s="318"/>
    <row r="48" ht="15" customHeight="1" s="318"/>
    <row r="49" ht="15" customHeight="1" s="318"/>
    <row r="50" ht="15" customHeight="1" s="318"/>
    <row r="51" ht="15" customHeight="1" s="318"/>
    <row r="52" ht="15" customHeight="1" s="318"/>
    <row r="53" ht="15" customHeight="1" s="318"/>
    <row r="54" ht="15" customHeight="1" s="318"/>
    <row r="55" ht="15" customHeight="1" s="318"/>
    <row r="56" ht="15" customHeight="1" s="318"/>
    <row r="57" ht="15" customHeight="1" s="318"/>
    <row r="58" ht="15" customHeight="1" s="318"/>
    <row r="59" ht="15" customHeight="1" s="318"/>
    <row r="60" ht="15" customHeight="1" s="318"/>
    <row r="61" ht="15" customHeight="1" s="318"/>
    <row r="62" ht="15" customHeight="1" s="318"/>
    <row r="63" ht="15" customHeight="1" s="318"/>
    <row r="64" ht="15" customHeight="1" s="318"/>
    <row r="65" ht="15" customHeight="1" s="318"/>
    <row r="66" ht="15" customHeight="1" s="318"/>
    <row r="67" ht="15" customHeight="1" s="318"/>
    <row r="68" ht="15" customHeight="1" s="318"/>
    <row r="69" ht="15" customHeight="1" s="318"/>
    <row r="70" ht="15" customHeight="1" s="318"/>
    <row r="71" ht="15" customHeight="1" s="318"/>
    <row r="72" ht="15" customHeight="1" s="318"/>
    <row r="73" ht="15" customHeight="1" s="318"/>
    <row r="74" ht="15" customHeight="1" s="318"/>
    <row r="75" ht="15" customHeight="1" s="318"/>
    <row r="76" ht="15" customHeight="1" s="318"/>
    <row r="77" ht="15" customHeight="1" s="318"/>
    <row r="78" ht="15" customHeight="1" s="318"/>
    <row r="79" ht="15" customHeight="1" s="318"/>
    <row r="80" ht="15" customHeight="1" s="318"/>
    <row r="81" ht="15" customHeight="1" s="318"/>
  </sheetData>
  <mergeCells count="14">
    <mergeCell ref="B3:J3"/>
    <mergeCell ref="D10:D11"/>
    <mergeCell ref="B4:K4"/>
    <mergeCell ref="D9:J9"/>
    <mergeCell ref="C12:C18"/>
    <mergeCell ref="F10:J10"/>
    <mergeCell ref="B7:K7"/>
    <mergeCell ref="B9:B11"/>
    <mergeCell ref="B6:K6"/>
    <mergeCell ref="B19:E19"/>
    <mergeCell ref="B20:E20"/>
    <mergeCell ref="B12:B18"/>
    <mergeCell ref="E10:E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50"/>
  <sheetViews>
    <sheetView view="pageBreakPreview" topLeftCell="A29" zoomScaleSheetLayoutView="100" workbookViewId="0">
      <selection activeCell="D64" sqref="D64"/>
    </sheetView>
  </sheetViews>
  <sheetFormatPr baseColWidth="8" defaultColWidth="9.140625" defaultRowHeight="15.75"/>
  <cols>
    <col width="9.140625" customWidth="1" style="320" min="1" max="1"/>
    <col width="12.5703125" customWidth="1" style="320" min="2" max="2"/>
    <col width="22.42578125" customWidth="1" style="320" min="3" max="3"/>
    <col width="49.7109375" customWidth="1" style="320" min="4" max="4"/>
    <col width="10.140625" customWidth="1" style="320" min="5" max="5"/>
    <col width="20.7109375" customWidth="1" style="320" min="6" max="6"/>
    <col width="20" customWidth="1" style="320" min="7" max="7"/>
    <col width="16.7109375" customWidth="1" style="320" min="8" max="8"/>
    <col width="9.140625" customWidth="1" style="320" min="9" max="9"/>
    <col width="15" customWidth="1" style="318" min="11" max="11"/>
    <col width="9.140625" customWidth="1" style="320" min="14" max="14"/>
  </cols>
  <sheetData>
    <row r="2" s="318">
      <c r="A2" s="320" t="n"/>
      <c r="B2" s="320" t="n"/>
      <c r="C2" s="320" t="n"/>
      <c r="D2" s="320" t="n"/>
      <c r="E2" s="320" t="n"/>
      <c r="F2" s="320" t="n"/>
      <c r="G2" s="320" t="n"/>
      <c r="H2" s="320" t="n"/>
      <c r="I2" s="320" t="n"/>
      <c r="N2" s="320" t="n"/>
    </row>
    <row r="3">
      <c r="A3" s="351" t="inlineStr">
        <is>
          <t xml:space="preserve">Приложение № 3 </t>
        </is>
      </c>
    </row>
    <row r="4">
      <c r="A4" s="356" t="inlineStr">
        <is>
          <t>Объектная ресурсная ведомость</t>
        </is>
      </c>
    </row>
    <row r="5" ht="18.75" customHeight="1" s="318">
      <c r="A5" s="352" t="n"/>
      <c r="B5" s="352" t="n"/>
      <c r="C5" s="3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0" t="n"/>
    </row>
    <row r="7">
      <c r="A7" s="359" t="inlineStr">
        <is>
          <t>Наименование разрабатываемого показателя УНЦ - Контрольный (силовой) кабель, сечение жилы 10 мм2, количество жил 5 шт.</t>
        </is>
      </c>
    </row>
    <row r="8">
      <c r="A8" s="359" t="n"/>
      <c r="B8" s="359" t="n"/>
      <c r="C8" s="359" t="n"/>
      <c r="D8" s="359" t="n"/>
      <c r="E8" s="359" t="n"/>
      <c r="F8" s="359" t="n"/>
      <c r="G8" s="359" t="n"/>
      <c r="H8" s="359" t="n"/>
    </row>
    <row r="9" ht="38.25" customHeight="1" s="318">
      <c r="A9" s="357" t="inlineStr">
        <is>
          <t>п/п</t>
        </is>
      </c>
      <c r="B9" s="357" t="inlineStr">
        <is>
          <t>№ЛСР</t>
        </is>
      </c>
      <c r="C9" s="357" t="inlineStr">
        <is>
          <t>Код ресурса</t>
        </is>
      </c>
      <c r="D9" s="357" t="inlineStr">
        <is>
          <t>Наименование ресурса</t>
        </is>
      </c>
      <c r="E9" s="357" t="inlineStr">
        <is>
          <t>Ед. изм.</t>
        </is>
      </c>
      <c r="F9" s="357" t="inlineStr">
        <is>
          <t>Кол-во единиц по данным объекта-представителя</t>
        </is>
      </c>
      <c r="G9" s="357" t="inlineStr">
        <is>
          <t>Сметная стоимость в ценах на 01.01.2000 (руб.)</t>
        </is>
      </c>
      <c r="H9" s="436" t="n"/>
    </row>
    <row r="10" ht="40.7" customHeight="1" s="318">
      <c r="A10" s="438" t="n"/>
      <c r="B10" s="438" t="n"/>
      <c r="C10" s="438" t="n"/>
      <c r="D10" s="438" t="n"/>
      <c r="E10" s="438" t="n"/>
      <c r="F10" s="438" t="n"/>
      <c r="G10" s="357" t="inlineStr">
        <is>
          <t>на ед.изм.</t>
        </is>
      </c>
      <c r="H10" s="357" t="inlineStr">
        <is>
          <t>общая</t>
        </is>
      </c>
    </row>
    <row r="11">
      <c r="A11" s="358" t="n">
        <v>1</v>
      </c>
      <c r="B11" s="358" t="n"/>
      <c r="C11" s="358" t="n">
        <v>2</v>
      </c>
      <c r="D11" s="358" t="inlineStr">
        <is>
          <t>З</t>
        </is>
      </c>
      <c r="E11" s="358" t="n">
        <v>4</v>
      </c>
      <c r="F11" s="358" t="n">
        <v>5</v>
      </c>
      <c r="G11" s="358" t="n">
        <v>6</v>
      </c>
      <c r="H11" s="358" t="n">
        <v>7</v>
      </c>
    </row>
    <row r="12" customFormat="1" s="229">
      <c r="A12" s="362" t="inlineStr">
        <is>
          <t>Затраты труда рабочих</t>
        </is>
      </c>
      <c r="B12" s="435" t="n"/>
      <c r="C12" s="435" t="n"/>
      <c r="D12" s="435" t="n"/>
      <c r="E12" s="436" t="n"/>
      <c r="F12" s="445">
        <f>SUM(F13:F15)</f>
        <v/>
      </c>
      <c r="G12" s="255" t="n"/>
      <c r="H12" s="445">
        <f>SUM(H13:H15)</f>
        <v/>
      </c>
    </row>
    <row r="13">
      <c r="A13" s="390" t="n">
        <v>1</v>
      </c>
      <c r="B13" s="232" t="n"/>
      <c r="C13" s="263" t="inlineStr">
        <is>
          <t>1-4-0</t>
        </is>
      </c>
      <c r="D13" s="265" t="inlineStr">
        <is>
          <t>Затраты труда рабочих (средний разряд работы 4,0)</t>
        </is>
      </c>
      <c r="E13" s="390" t="inlineStr">
        <is>
          <t>чел.-ч</t>
        </is>
      </c>
      <c r="F13" s="372" t="n">
        <v>32.19</v>
      </c>
      <c r="G13" s="446" t="n">
        <v>9.619999999999999</v>
      </c>
      <c r="H13" s="248">
        <f>ROUND(F13*G13,2)</f>
        <v/>
      </c>
    </row>
    <row r="14">
      <c r="A14" s="390" t="n">
        <v>2</v>
      </c>
      <c r="B14" s="232" t="n"/>
      <c r="C14" s="263" t="inlineStr">
        <is>
          <t>1-3-8</t>
        </is>
      </c>
      <c r="D14" s="265" t="inlineStr">
        <is>
          <t>Затраты труда рабочих (средний разряд работы 3,8)</t>
        </is>
      </c>
      <c r="E14" s="390" t="inlineStr">
        <is>
          <t>чел.-ч</t>
        </is>
      </c>
      <c r="F14" s="372" t="n">
        <v>30.08</v>
      </c>
      <c r="G14" s="446" t="n">
        <v>9.4</v>
      </c>
      <c r="H14" s="248">
        <f>ROUND(F14*G14,2)</f>
        <v/>
      </c>
    </row>
    <row r="15">
      <c r="A15" s="390" t="n">
        <v>3</v>
      </c>
      <c r="B15" s="232" t="n"/>
      <c r="C15" s="263" t="inlineStr">
        <is>
          <t>1-4-1</t>
        </is>
      </c>
      <c r="D15" s="265" t="inlineStr">
        <is>
          <t>Затраты труда рабочих (средний разряд работы 4,1)</t>
        </is>
      </c>
      <c r="E15" s="390" t="inlineStr">
        <is>
          <t>чел.-ч</t>
        </is>
      </c>
      <c r="F15" s="372" t="n">
        <v>0.46</v>
      </c>
      <c r="G15" s="446" t="n">
        <v>9.76</v>
      </c>
      <c r="H15" s="248">
        <f>ROUND(F15*G15,2)</f>
        <v/>
      </c>
    </row>
    <row r="16">
      <c r="A16" s="361" t="inlineStr">
        <is>
          <t>Затраты труда машинистов</t>
        </is>
      </c>
      <c r="B16" s="435" t="n"/>
      <c r="C16" s="435" t="n"/>
      <c r="D16" s="435" t="n"/>
      <c r="E16" s="436" t="n"/>
      <c r="F16" s="362" t="n"/>
      <c r="G16" s="230" t="n"/>
      <c r="H16" s="445">
        <f>H17</f>
        <v/>
      </c>
    </row>
    <row r="17">
      <c r="A17" s="390" t="n">
        <v>4</v>
      </c>
      <c r="B17" s="363" t="n"/>
      <c r="C17" s="264" t="n">
        <v>2</v>
      </c>
      <c r="D17" s="265" t="inlineStr">
        <is>
          <t>Затраты труда машинистов(справочно)</t>
        </is>
      </c>
      <c r="E17" s="390" t="inlineStr">
        <is>
          <t>чел.-ч</t>
        </is>
      </c>
      <c r="F17" s="390" t="n">
        <v>9.48</v>
      </c>
      <c r="G17" s="248" t="n"/>
      <c r="H17" s="446" t="n">
        <v>98.84999999999999</v>
      </c>
    </row>
    <row r="18" customFormat="1" s="229">
      <c r="A18" s="362" t="inlineStr">
        <is>
          <t>Машины и механизмы</t>
        </is>
      </c>
      <c r="B18" s="435" t="n"/>
      <c r="C18" s="435" t="n"/>
      <c r="D18" s="435" t="n"/>
      <c r="E18" s="436" t="n"/>
      <c r="F18" s="362" t="n"/>
      <c r="G18" s="230" t="n"/>
      <c r="H18" s="445">
        <f>SUM(H19:H24)</f>
        <v/>
      </c>
    </row>
    <row r="19">
      <c r="A19" s="390" t="n">
        <v>5</v>
      </c>
      <c r="B19" s="363" t="n"/>
      <c r="C19" s="264" t="inlineStr">
        <is>
          <t>91.06.06-042</t>
        </is>
      </c>
      <c r="D19" s="265" t="inlineStr">
        <is>
          <t>Подъемники гидравлические, высота подъема 10 м</t>
        </is>
      </c>
      <c r="E19" s="390" t="inlineStr">
        <is>
          <t>маш.-ч</t>
        </is>
      </c>
      <c r="F19" s="264" t="n">
        <v>8.08</v>
      </c>
      <c r="G19" s="267" t="n">
        <v>29.6</v>
      </c>
      <c r="H19" s="248">
        <f>ROUND(F19*G19,2)</f>
        <v/>
      </c>
      <c r="I19" s="257" t="n"/>
    </row>
    <row r="20" ht="25.5" customFormat="1" customHeight="1" s="229">
      <c r="A20" s="390" t="n">
        <v>6</v>
      </c>
      <c r="B20" s="363" t="n"/>
      <c r="C20" s="264" t="inlineStr">
        <is>
          <t>91.05.05-014</t>
        </is>
      </c>
      <c r="D20" s="265" t="inlineStr">
        <is>
          <t>Краны на автомобильном ходу, грузоподъемность 10 т</t>
        </is>
      </c>
      <c r="E20" s="390" t="inlineStr">
        <is>
          <t>маш.-ч</t>
        </is>
      </c>
      <c r="F20" s="268" t="n">
        <v>0.7</v>
      </c>
      <c r="G20" s="267" t="n">
        <v>111.99</v>
      </c>
      <c r="H20" s="248">
        <f>ROUND(F20*G20,2)</f>
        <v/>
      </c>
      <c r="I20" s="257" t="n"/>
    </row>
    <row r="21">
      <c r="A21" s="390" t="n">
        <v>7</v>
      </c>
      <c r="B21" s="363" t="n"/>
      <c r="C21" s="264" t="inlineStr">
        <is>
          <t>91.14.02-001</t>
        </is>
      </c>
      <c r="D21" s="265" t="inlineStr">
        <is>
          <t>Автомобили бортовые, грузоподъемность до 5 т</t>
        </is>
      </c>
      <c r="E21" s="390" t="inlineStr">
        <is>
          <t>маш.-ч</t>
        </is>
      </c>
      <c r="F21" s="264" t="n">
        <v>0.7</v>
      </c>
      <c r="G21" s="267" t="n">
        <v>65.70999999999999</v>
      </c>
      <c r="H21" s="248">
        <f>ROUND(F21*G21,2)</f>
        <v/>
      </c>
      <c r="I21" s="257" t="n"/>
    </row>
    <row r="22" ht="25.5" customHeight="1" s="318">
      <c r="A22" s="390" t="n">
        <v>8</v>
      </c>
      <c r="B22" s="363" t="n"/>
      <c r="C22" s="264" t="inlineStr">
        <is>
          <t>91.06.03-061</t>
        </is>
      </c>
      <c r="D22" s="265" t="inlineStr">
        <is>
          <t>Лебедки электрические тяговым усилием: до 12,26 кН (1,25 т)</t>
        </is>
      </c>
      <c r="E22" s="390" t="inlineStr">
        <is>
          <t>маш.час</t>
        </is>
      </c>
      <c r="F22" s="264" t="n">
        <v>6.6</v>
      </c>
      <c r="G22" s="267" t="n">
        <v>3.28</v>
      </c>
      <c r="H22" s="248">
        <f>ROUND(F22*G22,2)</f>
        <v/>
      </c>
      <c r="I22" s="257" t="n"/>
    </row>
    <row r="23" ht="25.5" customHeight="1" s="318">
      <c r="A23" s="390" t="n">
        <v>9</v>
      </c>
      <c r="B23" s="363" t="n"/>
      <c r="C23" s="264" t="inlineStr">
        <is>
          <t>91.17.04-233</t>
        </is>
      </c>
      <c r="D23" s="265" t="inlineStr">
        <is>
          <t>Установки для сварки: ручной дуговой (постоянного тока)</t>
        </is>
      </c>
      <c r="E23" s="390" t="inlineStr">
        <is>
          <t>маш.час</t>
        </is>
      </c>
      <c r="F23" s="264" t="n">
        <v>2.54</v>
      </c>
      <c r="G23" s="267" t="n">
        <v>8.1</v>
      </c>
      <c r="H23" s="248">
        <f>ROUND(F23*G23,2)</f>
        <v/>
      </c>
      <c r="I23" s="257" t="n"/>
    </row>
    <row r="24">
      <c r="A24" s="390" t="n">
        <v>10</v>
      </c>
      <c r="B24" s="363" t="n"/>
      <c r="C24" s="264" t="inlineStr">
        <is>
          <t>91.06.01-003</t>
        </is>
      </c>
      <c r="D24" s="265" t="inlineStr">
        <is>
          <t>Домкраты гидравлические, грузоподъемность 63-100 т</t>
        </is>
      </c>
      <c r="E24" s="390" t="inlineStr">
        <is>
          <t>маш.час</t>
        </is>
      </c>
      <c r="F24" s="264" t="n">
        <v>6.6</v>
      </c>
      <c r="G24" s="267" t="n">
        <v>0.9</v>
      </c>
      <c r="H24" s="248">
        <f>ROUND(F24*G24,2)</f>
        <v/>
      </c>
      <c r="I24" s="257" t="n"/>
    </row>
    <row r="25">
      <c r="A25" s="362" t="inlineStr">
        <is>
          <t>Материалы</t>
        </is>
      </c>
      <c r="B25" s="435" t="n"/>
      <c r="C25" s="435" t="n"/>
      <c r="D25" s="435" t="n"/>
      <c r="E25" s="436" t="n"/>
      <c r="F25" s="362" t="n"/>
      <c r="G25" s="230" t="n"/>
      <c r="H25" s="445">
        <f>SUM(H26:H43)</f>
        <v/>
      </c>
    </row>
    <row r="26">
      <c r="A26" s="252" t="n">
        <v>11</v>
      </c>
      <c r="B26" s="363" t="n"/>
      <c r="C26" s="264" t="inlineStr">
        <is>
          <t>БЦ.90.21</t>
        </is>
      </c>
      <c r="D26" s="265" t="inlineStr">
        <is>
          <t>Кабель контрольный КВВГЭнг-LS 5x10</t>
        </is>
      </c>
      <c r="E26" s="390" t="inlineStr">
        <is>
          <t>1000 м</t>
        </is>
      </c>
      <c r="F26" s="447" t="n">
        <v>1.1</v>
      </c>
      <c r="G26" s="207" t="n">
        <v>77992.05</v>
      </c>
      <c r="H26" s="248">
        <f>ROUND(F26*G26,2)</f>
        <v/>
      </c>
      <c r="I26" s="253" t="n"/>
    </row>
    <row r="27" ht="25.5" customHeight="1" s="318">
      <c r="A27" s="252" t="n">
        <v>12</v>
      </c>
      <c r="B27" s="363" t="n"/>
      <c r="C27" s="264" t="inlineStr">
        <is>
          <t>21.2.01.02-0141</t>
        </is>
      </c>
      <c r="D27" s="265" t="inlineStr">
        <is>
          <t>Провода неизолированные для воздушных линий электропередачи медные марки: М, сечением 4 мм2</t>
        </is>
      </c>
      <c r="E27" s="390" t="inlineStr">
        <is>
          <t>т</t>
        </is>
      </c>
      <c r="F27" s="390" t="n">
        <v>0.0011</v>
      </c>
      <c r="G27" s="248" t="n">
        <v>96440</v>
      </c>
      <c r="H27" s="248">
        <f>ROUND(F27*G27,2)</f>
        <v/>
      </c>
      <c r="I27" s="253" t="n"/>
    </row>
    <row r="28" ht="25.5" customHeight="1" s="318">
      <c r="A28" s="252" t="n">
        <v>13</v>
      </c>
      <c r="B28" s="363" t="n"/>
      <c r="C28" s="264" t="inlineStr">
        <is>
          <t>10.3.02.03-0011</t>
        </is>
      </c>
      <c r="D28" s="265" t="inlineStr">
        <is>
          <t>Припои оловянно-свинцовые бессурьмянистые марки: ПОС30</t>
        </is>
      </c>
      <c r="E28" s="390" t="inlineStr">
        <is>
          <t>кг</t>
        </is>
      </c>
      <c r="F28" s="390" t="n">
        <v>1.28</v>
      </c>
      <c r="G28" s="248" t="n">
        <v>68.05</v>
      </c>
      <c r="H28" s="248">
        <f>ROUND(F28*G28,2)</f>
        <v/>
      </c>
      <c r="I28" s="253" t="n"/>
    </row>
    <row r="29">
      <c r="A29" s="252" t="n">
        <v>14</v>
      </c>
      <c r="B29" s="363" t="n"/>
      <c r="C29" s="264" t="inlineStr">
        <is>
          <t>01.7.11.07-0034</t>
        </is>
      </c>
      <c r="D29" s="265" t="inlineStr">
        <is>
          <t>Электроды диаметром: 4 мм Э42А</t>
        </is>
      </c>
      <c r="E29" s="390" t="inlineStr">
        <is>
          <t>кг</t>
        </is>
      </c>
      <c r="F29" s="390" t="n">
        <v>6.84</v>
      </c>
      <c r="G29" s="248" t="n">
        <v>10.57</v>
      </c>
      <c r="H29" s="248">
        <f>ROUND(F29*G29,2)</f>
        <v/>
      </c>
      <c r="I29" s="253" t="n"/>
    </row>
    <row r="30">
      <c r="A30" s="252" t="n">
        <v>15</v>
      </c>
      <c r="B30" s="363" t="n"/>
      <c r="C30" s="264" t="inlineStr">
        <is>
          <t>20.2.08.07-0033</t>
        </is>
      </c>
      <c r="D30" s="265" t="inlineStr">
        <is>
          <t>Скоба: У1078</t>
        </is>
      </c>
      <c r="E30" s="390" t="inlineStr">
        <is>
          <t>100 шт</t>
        </is>
      </c>
      <c r="F30" s="390" t="n">
        <v>0.11</v>
      </c>
      <c r="G30" s="248" t="n">
        <v>617</v>
      </c>
      <c r="H30" s="248">
        <f>ROUND(F30*G30,2)</f>
        <v/>
      </c>
      <c r="I30" s="253" t="n"/>
    </row>
    <row r="31">
      <c r="A31" s="252" t="n">
        <v>16</v>
      </c>
      <c r="B31" s="363" t="n"/>
      <c r="C31" s="264" t="inlineStr">
        <is>
          <t>01.7.15.07-0014</t>
        </is>
      </c>
      <c r="D31" s="265" t="inlineStr">
        <is>
          <t>Дюбели распорные полипропиленовые</t>
        </is>
      </c>
      <c r="E31" s="390" t="inlineStr">
        <is>
          <t>100 шт</t>
        </is>
      </c>
      <c r="F31" s="390" t="n">
        <v>0.4</v>
      </c>
      <c r="G31" s="248" t="n">
        <v>86</v>
      </c>
      <c r="H31" s="248">
        <f>ROUND(F31*G31,2)</f>
        <v/>
      </c>
      <c r="I31" s="253" t="n"/>
    </row>
    <row r="32">
      <c r="A32" s="252" t="n">
        <v>17</v>
      </c>
      <c r="B32" s="363" t="n"/>
      <c r="C32" s="264" t="inlineStr">
        <is>
          <t>20.1.02.06-0001</t>
        </is>
      </c>
      <c r="D32" s="265" t="inlineStr">
        <is>
          <t>Жир паяльный</t>
        </is>
      </c>
      <c r="E32" s="390" t="inlineStr">
        <is>
          <t>кг</t>
        </is>
      </c>
      <c r="F32" s="390" t="n">
        <v>0.2</v>
      </c>
      <c r="G32" s="248" t="n">
        <v>100.8</v>
      </c>
      <c r="H32" s="248">
        <f>ROUND(F32*G32,2)</f>
        <v/>
      </c>
      <c r="I32" s="253" t="n"/>
    </row>
    <row r="33">
      <c r="A33" s="252" t="n">
        <v>18</v>
      </c>
      <c r="B33" s="363" t="n"/>
      <c r="C33" s="264" t="inlineStr">
        <is>
          <t>14.4.03.03-0002</t>
        </is>
      </c>
      <c r="D33" s="265" t="inlineStr">
        <is>
          <t>Лак битумный: БТ-123</t>
        </is>
      </c>
      <c r="E33" s="390" t="inlineStr">
        <is>
          <t>т</t>
        </is>
      </c>
      <c r="F33" s="390" t="n">
        <v>0.0022</v>
      </c>
      <c r="G33" s="248" t="n">
        <v>7826.9</v>
      </c>
      <c r="H33" s="248">
        <f>ROUND(F33*G33,2)</f>
        <v/>
      </c>
      <c r="I33" s="253" t="n"/>
    </row>
    <row r="34">
      <c r="A34" s="252" t="n">
        <v>19</v>
      </c>
      <c r="B34" s="363" t="n"/>
      <c r="C34" s="264" t="inlineStr">
        <is>
          <t>01.7.06.07-0001</t>
        </is>
      </c>
      <c r="D34" s="265" t="inlineStr">
        <is>
          <t>Лента К226</t>
        </is>
      </c>
      <c r="E34" s="390" t="inlineStr">
        <is>
          <t>100 м</t>
        </is>
      </c>
      <c r="F34" s="390" t="n">
        <v>0.0735</v>
      </c>
      <c r="G34" s="248" t="n">
        <v>120</v>
      </c>
      <c r="H34" s="248">
        <f>ROUND(F34*G34,2)</f>
        <v/>
      </c>
      <c r="I34" s="253" t="n"/>
    </row>
    <row r="35">
      <c r="A35" s="252" t="n">
        <v>20</v>
      </c>
      <c r="B35" s="363" t="n"/>
      <c r="C35" s="264" t="inlineStr">
        <is>
          <t>01.7.15.03-0042</t>
        </is>
      </c>
      <c r="D35" s="265" t="inlineStr">
        <is>
          <t>Болты с гайками и шайбами строительные</t>
        </is>
      </c>
      <c r="E35" s="390" t="inlineStr">
        <is>
          <t>кг</t>
        </is>
      </c>
      <c r="F35" s="390" t="n">
        <v>0.8</v>
      </c>
      <c r="G35" s="248" t="n">
        <v>9.039999999999999</v>
      </c>
      <c r="H35" s="248">
        <f>ROUND(F35*G35,2)</f>
        <v/>
      </c>
      <c r="I35" s="253" t="n"/>
    </row>
    <row r="36" ht="25.5" customHeight="1" s="318">
      <c r="A36" s="252" t="n">
        <v>21</v>
      </c>
      <c r="B36" s="363" t="n"/>
      <c r="C36" s="264" t="inlineStr">
        <is>
          <t>01.7.06.05-0041</t>
        </is>
      </c>
      <c r="D36" s="265" t="inlineStr">
        <is>
          <t>Лента изоляционная прорезиненная односторонняя ширина 20 мм, толщина 0,25-0,35 мм</t>
        </is>
      </c>
      <c r="E36" s="390" t="inlineStr">
        <is>
          <t>кг</t>
        </is>
      </c>
      <c r="F36" s="390" t="n">
        <v>0.2</v>
      </c>
      <c r="G36" s="248" t="n">
        <v>30.4</v>
      </c>
      <c r="H36" s="248">
        <f>ROUND(F36*G36,2)</f>
        <v/>
      </c>
      <c r="I36" s="253" t="n"/>
    </row>
    <row r="37">
      <c r="A37" s="252" t="n">
        <v>22</v>
      </c>
      <c r="B37" s="363" t="n"/>
      <c r="C37" s="264" t="inlineStr">
        <is>
          <t>01.7.15.14-0165</t>
        </is>
      </c>
      <c r="D37" s="265" t="inlineStr">
        <is>
          <t>Шурупы с полукруглой головкой: 4x40 мм</t>
        </is>
      </c>
      <c r="E37" s="390" t="inlineStr">
        <is>
          <t>т</t>
        </is>
      </c>
      <c r="F37" s="390" t="n">
        <v>0.0003</v>
      </c>
      <c r="G37" s="248" t="n">
        <v>12430</v>
      </c>
      <c r="H37" s="248">
        <f>ROUND(F37*G37,2)</f>
        <v/>
      </c>
      <c r="I37" s="253" t="n"/>
    </row>
    <row r="38" customFormat="1" s="229">
      <c r="A38" s="252" t="n">
        <v>23</v>
      </c>
      <c r="B38" s="363" t="n"/>
      <c r="C38" s="264" t="inlineStr">
        <is>
          <t>25.2.01.01-0017</t>
        </is>
      </c>
      <c r="D38" s="265" t="inlineStr">
        <is>
          <t>Бирки маркировочные пластмассовые</t>
        </is>
      </c>
      <c r="E38" s="390" t="inlineStr">
        <is>
          <t>100 шт</t>
        </is>
      </c>
      <c r="F38" s="390" t="n">
        <v>0.05</v>
      </c>
      <c r="G38" s="248" t="n">
        <v>30.74</v>
      </c>
      <c r="H38" s="248">
        <f>ROUND(F38*G38,2)</f>
        <v/>
      </c>
      <c r="I38" s="253" t="n"/>
    </row>
    <row r="39">
      <c r="A39" s="252" t="n">
        <v>24</v>
      </c>
      <c r="B39" s="363" t="n"/>
      <c r="C39" s="264" t="inlineStr">
        <is>
          <t>01.3.01.05-0009</t>
        </is>
      </c>
      <c r="D39" s="265" t="inlineStr">
        <is>
          <t>Парафины нефтяные твердые марки Т-1</t>
        </is>
      </c>
      <c r="E39" s="390" t="inlineStr">
        <is>
          <t>т</t>
        </is>
      </c>
      <c r="F39" s="390" t="n">
        <v>0.0001</v>
      </c>
      <c r="G39" s="248" t="n">
        <v>8105.71</v>
      </c>
      <c r="H39" s="248">
        <f>ROUND(F39*G39,2)</f>
        <v/>
      </c>
      <c r="I39" s="253" t="n"/>
    </row>
    <row r="40" ht="25.5" customHeight="1" s="318">
      <c r="A40" s="252" t="n">
        <v>25</v>
      </c>
      <c r="B40" s="363" t="n"/>
      <c r="C40" s="264" t="inlineStr">
        <is>
          <t>10.3.02.03-0013</t>
        </is>
      </c>
      <c r="D40" s="265" t="inlineStr">
        <is>
          <t>Припои оловянно-свинцовые бессурьмянистые марки: ПОС61</t>
        </is>
      </c>
      <c r="E40" s="390" t="inlineStr">
        <is>
          <t>кг</t>
        </is>
      </c>
      <c r="F40" s="390" t="n">
        <v>0.0039</v>
      </c>
      <c r="G40" s="248" t="n">
        <v>114.22</v>
      </c>
      <c r="H40" s="248">
        <f>ROUND(F40*G40,2)</f>
        <v/>
      </c>
      <c r="I40" s="253" t="n"/>
    </row>
    <row r="41">
      <c r="A41" s="252" t="n">
        <v>26</v>
      </c>
      <c r="B41" s="363" t="n"/>
      <c r="C41" s="264" t="inlineStr">
        <is>
          <t>24.3.01.01-0002</t>
        </is>
      </c>
      <c r="D41" s="265" t="inlineStr">
        <is>
          <t>Трубка полихлорвиниловая</t>
        </is>
      </c>
      <c r="E41" s="390" t="inlineStr">
        <is>
          <t>кг</t>
        </is>
      </c>
      <c r="F41" s="390" t="n">
        <v>0.002</v>
      </c>
      <c r="G41" s="248" t="n">
        <v>35.7</v>
      </c>
      <c r="H41" s="248">
        <f>ROUND(F41*G41,2)</f>
        <v/>
      </c>
      <c r="I41" s="253" t="n"/>
    </row>
    <row r="42">
      <c r="A42" s="252" t="n">
        <v>27</v>
      </c>
      <c r="B42" s="363" t="n"/>
      <c r="C42" s="264" t="inlineStr">
        <is>
          <t>01.3.01.07-0009</t>
        </is>
      </c>
      <c r="D42" s="265" t="inlineStr">
        <is>
          <t>Спирт этиловый ректификованный технический, сорт I</t>
        </is>
      </c>
      <c r="E42" s="390" t="inlineStr">
        <is>
          <t>кг</t>
        </is>
      </c>
      <c r="F42" s="390" t="n">
        <v>0.0015</v>
      </c>
      <c r="G42" s="248" t="n">
        <v>38.89</v>
      </c>
      <c r="H42" s="248">
        <f>ROUND(F42*G42,2)</f>
        <v/>
      </c>
      <c r="I42" s="253" t="n"/>
    </row>
    <row r="43">
      <c r="A43" s="252" t="n">
        <v>28</v>
      </c>
      <c r="B43" s="363" t="n"/>
      <c r="C43" s="264" t="inlineStr">
        <is>
          <t>01.3.05.17-0002</t>
        </is>
      </c>
      <c r="D43" s="265" t="inlineStr">
        <is>
          <t>Канифоль сосновая</t>
        </is>
      </c>
      <c r="E43" s="390" t="inlineStr">
        <is>
          <t>кг</t>
        </is>
      </c>
      <c r="F43" s="390" t="n">
        <v>0.001</v>
      </c>
      <c r="G43" s="248" t="n">
        <v>27.74</v>
      </c>
      <c r="H43" s="248">
        <f>ROUND(F43*G43,2)</f>
        <v/>
      </c>
    </row>
    <row r="46">
      <c r="B46" s="320" t="inlineStr">
        <is>
          <t>Составил ______________________     Д.Ю. Нефедова</t>
        </is>
      </c>
    </row>
    <row r="47">
      <c r="B47" s="304" t="inlineStr">
        <is>
          <t xml:space="preserve">                         (подпись, инициалы, фамилия)</t>
        </is>
      </c>
    </row>
    <row r="49">
      <c r="B49" s="320" t="inlineStr">
        <is>
          <t>Проверил ______________________        А.В. Костянецкая</t>
        </is>
      </c>
    </row>
    <row r="50">
      <c r="B50" s="304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A25:E25"/>
    <mergeCell ref="F9:F10"/>
    <mergeCell ref="G9:H9"/>
    <mergeCell ref="A18:E18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318" min="1" max="1"/>
    <col width="36.28515625" customWidth="1" style="318" min="2" max="2"/>
    <col width="18.85546875" customWidth="1" style="318" min="3" max="3"/>
    <col width="18.28515625" customWidth="1" style="318" min="4" max="4"/>
    <col width="18.85546875" customWidth="1" style="318" min="5" max="5"/>
    <col width="11.42578125" customWidth="1" style="318" min="6" max="6"/>
    <col width="14.42578125" customWidth="1" style="318" min="7" max="7"/>
    <col width="9.140625" customWidth="1" style="318" min="8" max="11"/>
    <col width="13.5703125" customWidth="1" style="318" min="12" max="12"/>
    <col width="9.140625" customWidth="1" style="318" min="13" max="13"/>
  </cols>
  <sheetData>
    <row r="1">
      <c r="B1" s="290" t="n"/>
      <c r="C1" s="290" t="n"/>
      <c r="D1" s="290" t="n"/>
      <c r="E1" s="290" t="n"/>
    </row>
    <row r="2">
      <c r="B2" s="290" t="n"/>
      <c r="C2" s="290" t="n"/>
      <c r="D2" s="290" t="n"/>
      <c r="E2" s="385" t="inlineStr">
        <is>
          <t>Приложение № 4</t>
        </is>
      </c>
    </row>
    <row r="3">
      <c r="B3" s="290" t="n"/>
      <c r="C3" s="290" t="n"/>
      <c r="D3" s="290" t="n"/>
      <c r="E3" s="290" t="n"/>
    </row>
    <row r="4">
      <c r="B4" s="290" t="n"/>
      <c r="C4" s="290" t="n"/>
      <c r="D4" s="290" t="n"/>
      <c r="E4" s="290" t="n"/>
    </row>
    <row r="5">
      <c r="B5" s="340" t="inlineStr">
        <is>
          <t>Ресурсная модель</t>
        </is>
      </c>
    </row>
    <row r="6">
      <c r="B6" s="244" t="n"/>
      <c r="C6" s="290" t="n"/>
      <c r="D6" s="290" t="n"/>
      <c r="E6" s="290" t="n"/>
    </row>
    <row r="7" ht="25.5" customHeight="1" s="318">
      <c r="B7" s="349" t="inlineStr">
        <is>
          <t>Наименование разрабатываемого показателя УНЦ - Контрольный (силовой) кабель, сечение жилы 10 мм2, количество жил 5 шт.</t>
        </is>
      </c>
    </row>
    <row r="8">
      <c r="B8" s="365" t="inlineStr">
        <is>
          <t>Единица измерения  — 1 км</t>
        </is>
      </c>
    </row>
    <row r="9">
      <c r="B9" s="244" t="n"/>
      <c r="C9" s="290" t="n"/>
      <c r="D9" s="290" t="n"/>
      <c r="E9" s="290" t="n"/>
    </row>
    <row r="10" ht="51" customHeight="1" s="318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36" t="inlineStr">
        <is>
          <t>Оплата труда рабочих</t>
        </is>
      </c>
      <c r="C11" s="292">
        <f>'Прил.5 Расчет СМР и ОБ'!J14</f>
        <v/>
      </c>
      <c r="D11" s="238">
        <f>C11/$C$24</f>
        <v/>
      </c>
      <c r="E11" s="238">
        <f>C11/$C$40</f>
        <v/>
      </c>
    </row>
    <row r="12">
      <c r="B12" s="236" t="inlineStr">
        <is>
          <t>Эксплуатация машин основных</t>
        </is>
      </c>
      <c r="C12" s="292">
        <f>'Прил.5 Расчет СМР и ОБ'!J22</f>
        <v/>
      </c>
      <c r="D12" s="238">
        <f>C12/$C$24</f>
        <v/>
      </c>
      <c r="E12" s="238">
        <f>C12/$C$40</f>
        <v/>
      </c>
    </row>
    <row r="13">
      <c r="B13" s="236" t="inlineStr">
        <is>
          <t>Эксплуатация машин прочих</t>
        </is>
      </c>
      <c r="C13" s="292">
        <f>'Прил.5 Расчет СМР и ОБ'!J26</f>
        <v/>
      </c>
      <c r="D13" s="238">
        <f>C13/$C$24</f>
        <v/>
      </c>
      <c r="E13" s="238">
        <f>C13/$C$40</f>
        <v/>
      </c>
    </row>
    <row r="14">
      <c r="B14" s="236" t="inlineStr">
        <is>
          <t>ЭКСПЛУАТАЦИЯ МАШИН, ВСЕГО:</t>
        </is>
      </c>
      <c r="C14" s="292">
        <f>C13+C12</f>
        <v/>
      </c>
      <c r="D14" s="238">
        <f>C14/$C$24</f>
        <v/>
      </c>
      <c r="E14" s="238">
        <f>C14/$C$40</f>
        <v/>
      </c>
    </row>
    <row r="15">
      <c r="B15" s="236" t="inlineStr">
        <is>
          <t>в том числе зарплата машинистов</t>
        </is>
      </c>
      <c r="C15" s="292">
        <f>'Прил.5 Расчет СМР и ОБ'!J16</f>
        <v/>
      </c>
      <c r="D15" s="238">
        <f>C15/$C$24</f>
        <v/>
      </c>
      <c r="E15" s="238">
        <f>C15/$C$40</f>
        <v/>
      </c>
    </row>
    <row r="16">
      <c r="B16" s="236" t="inlineStr">
        <is>
          <t>Материалы основные</t>
        </is>
      </c>
      <c r="C16" s="292">
        <f>'Прил.5 Расчет СМР и ОБ'!J37</f>
        <v/>
      </c>
      <c r="D16" s="238">
        <f>C16/$C$24</f>
        <v/>
      </c>
      <c r="E16" s="238">
        <f>C16/$C$40</f>
        <v/>
      </c>
    </row>
    <row r="17">
      <c r="B17" s="236" t="inlineStr">
        <is>
          <t>Материалы прочие</t>
        </is>
      </c>
      <c r="C17" s="292">
        <f>'Прил.5 Расчет СМР и ОБ'!J55</f>
        <v/>
      </c>
      <c r="D17" s="238">
        <f>C17/$C$24</f>
        <v/>
      </c>
      <c r="E17" s="238">
        <f>C17/$C$40</f>
        <v/>
      </c>
      <c r="G17" s="448" t="n"/>
    </row>
    <row r="18">
      <c r="B18" s="236" t="inlineStr">
        <is>
          <t>МАТЕРИАЛЫ, ВСЕГО:</t>
        </is>
      </c>
      <c r="C18" s="292">
        <f>C17+C16</f>
        <v/>
      </c>
      <c r="D18" s="238">
        <f>C18/$C$24</f>
        <v/>
      </c>
      <c r="E18" s="238">
        <f>C18/$C$40</f>
        <v/>
      </c>
    </row>
    <row r="19">
      <c r="B19" s="236" t="inlineStr">
        <is>
          <t>ИТОГО</t>
        </is>
      </c>
      <c r="C19" s="292">
        <f>C18+C14+C11</f>
        <v/>
      </c>
      <c r="D19" s="238" t="n"/>
      <c r="E19" s="236" t="n"/>
    </row>
    <row r="20">
      <c r="B20" s="236" t="inlineStr">
        <is>
          <t>Сметная прибыль, руб.</t>
        </is>
      </c>
      <c r="C20" s="292">
        <f>ROUND(C21*(C11+C15),2)</f>
        <v/>
      </c>
      <c r="D20" s="238">
        <f>C20/$C$24</f>
        <v/>
      </c>
      <c r="E20" s="238">
        <f>C20/$C$40</f>
        <v/>
      </c>
    </row>
    <row r="21">
      <c r="B21" s="236" t="inlineStr">
        <is>
          <t>Сметная прибыль, %</t>
        </is>
      </c>
      <c r="C21" s="241">
        <f>'Прил.5 Расчет СМР и ОБ'!D59</f>
        <v/>
      </c>
      <c r="D21" s="238" t="n"/>
      <c r="E21" s="236" t="n"/>
    </row>
    <row r="22">
      <c r="B22" s="236" t="inlineStr">
        <is>
          <t>Накладные расходы, руб.</t>
        </is>
      </c>
      <c r="C22" s="292">
        <f>ROUND(C23*(C11+C15),2)</f>
        <v/>
      </c>
      <c r="D22" s="238">
        <f>C22/$C$24</f>
        <v/>
      </c>
      <c r="E22" s="238">
        <f>C22/$C$40</f>
        <v/>
      </c>
    </row>
    <row r="23">
      <c r="B23" s="236" t="inlineStr">
        <is>
          <t>Накладные расходы, %</t>
        </is>
      </c>
      <c r="C23" s="241">
        <f>'Прил.5 Расчет СМР и ОБ'!D58</f>
        <v/>
      </c>
      <c r="D23" s="238" t="n"/>
      <c r="E23" s="236" t="n"/>
    </row>
    <row r="24">
      <c r="B24" s="236" t="inlineStr">
        <is>
          <t>ВСЕГО СМР с НР и СП</t>
        </is>
      </c>
      <c r="C24" s="292">
        <f>C19+C20+C22</f>
        <v/>
      </c>
      <c r="D24" s="238">
        <f>C24/$C$24</f>
        <v/>
      </c>
      <c r="E24" s="238">
        <f>C24/$C$40</f>
        <v/>
      </c>
    </row>
    <row r="25" ht="25.5" customHeight="1" s="318">
      <c r="B25" s="236" t="inlineStr">
        <is>
          <t>ВСЕГО стоимость оборудования, в том числе</t>
        </is>
      </c>
      <c r="C25" s="292">
        <f>'Прил.5 Расчет СМР и ОБ'!J32</f>
        <v/>
      </c>
      <c r="D25" s="238" t="n"/>
      <c r="E25" s="238">
        <f>C25/$C$40</f>
        <v/>
      </c>
    </row>
    <row r="26" ht="25.5" customHeight="1" s="318">
      <c r="B26" s="236" t="inlineStr">
        <is>
          <t>стоимость оборудования технологического</t>
        </is>
      </c>
      <c r="C26" s="292">
        <f>'Прил.5 Расчет СМР и ОБ'!J33</f>
        <v/>
      </c>
      <c r="D26" s="238" t="n"/>
      <c r="E26" s="238">
        <f>C26/$C$40</f>
        <v/>
      </c>
    </row>
    <row r="27">
      <c r="B27" s="236" t="inlineStr">
        <is>
          <t>ИТОГО (СМР + ОБОРУДОВАНИЕ)</t>
        </is>
      </c>
      <c r="C27" s="240">
        <f>C24+C25</f>
        <v/>
      </c>
      <c r="D27" s="238" t="n"/>
      <c r="E27" s="238">
        <f>C27/$C$40</f>
        <v/>
      </c>
    </row>
    <row r="28" ht="33" customHeight="1" s="318">
      <c r="B28" s="236" t="inlineStr">
        <is>
          <t>ПРОЧ. ЗАТР., УЧТЕННЫЕ ПОКАЗАТЕЛЕМ,  в том числе</t>
        </is>
      </c>
      <c r="C28" s="236" t="n"/>
      <c r="D28" s="236" t="n"/>
      <c r="E28" s="236" t="n"/>
      <c r="F28" s="239" t="n"/>
    </row>
    <row r="29" ht="25.5" customHeight="1" s="318">
      <c r="B29" s="236" t="inlineStr">
        <is>
          <t>Временные здания и сооружения - 3,9%</t>
        </is>
      </c>
      <c r="C29" s="240">
        <f>ROUND(C24*3.9%,2)</f>
        <v/>
      </c>
      <c r="D29" s="236" t="n"/>
      <c r="E29" s="238">
        <f>C29/$C$40</f>
        <v/>
      </c>
    </row>
    <row r="30" ht="38.25" customHeight="1" s="318">
      <c r="B30" s="236" t="inlineStr">
        <is>
          <t>Дополнительные затраты при производстве строительно-монтажных работ в зимнее время - 2,1%</t>
        </is>
      </c>
      <c r="C30" s="240">
        <f>ROUND((C24+C29)*2.1%,2)</f>
        <v/>
      </c>
      <c r="D30" s="236" t="n"/>
      <c r="E30" s="238">
        <f>C30/$C$40</f>
        <v/>
      </c>
      <c r="F30" s="239" t="n"/>
    </row>
    <row r="31">
      <c r="B31" s="236" t="inlineStr">
        <is>
          <t>Пусконаладочные работы</t>
        </is>
      </c>
      <c r="C31" s="272" t="n">
        <v>0</v>
      </c>
      <c r="D31" s="236" t="n"/>
      <c r="E31" s="238">
        <f>C31/$C$40</f>
        <v/>
      </c>
    </row>
    <row r="32" ht="25.5" customHeight="1" s="318">
      <c r="B32" s="236" t="inlineStr">
        <is>
          <t>Затраты по перевозке работников к месту работы и обратно</t>
        </is>
      </c>
      <c r="C32" s="240">
        <f>ROUND(C27*0%,2)</f>
        <v/>
      </c>
      <c r="D32" s="236" t="n"/>
      <c r="E32" s="238">
        <f>C32/$C$40</f>
        <v/>
      </c>
    </row>
    <row r="33" ht="25.5" customHeight="1" s="318">
      <c r="B33" s="236" t="inlineStr">
        <is>
          <t>Затраты, связанные с осуществлением работ вахтовым методом</t>
        </is>
      </c>
      <c r="C33" s="240">
        <f>ROUND(C28*0%,2)</f>
        <v/>
      </c>
      <c r="D33" s="236" t="n"/>
      <c r="E33" s="238">
        <f>C33/$C$40</f>
        <v/>
      </c>
    </row>
    <row r="34" ht="51" customHeight="1" s="318">
      <c r="B34" s="23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0">
        <f>ROUND(C29*0%,2)</f>
        <v/>
      </c>
      <c r="D34" s="236" t="n"/>
      <c r="E34" s="238">
        <f>C34/$C$40</f>
        <v/>
      </c>
      <c r="H34" s="253" t="n"/>
    </row>
    <row r="35" ht="76.7" customHeight="1" s="318">
      <c r="B35" s="23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0">
        <f>ROUND(C30*0%,2)</f>
        <v/>
      </c>
      <c r="D35" s="236" t="n"/>
      <c r="E35" s="238">
        <f>C35/$C$40</f>
        <v/>
      </c>
    </row>
    <row r="36" ht="25.5" customHeight="1" s="318">
      <c r="B36" s="236" t="inlineStr">
        <is>
          <t>Строительный контроль и содержание службы заказчика - 2,14%</t>
        </is>
      </c>
      <c r="C36" s="240">
        <f>ROUND((C27+C32+C33+C34+C35+C29+C31+C30)*2.14%,2)</f>
        <v/>
      </c>
      <c r="D36" s="236" t="n"/>
      <c r="E36" s="238">
        <f>C36/$C$40</f>
        <v/>
      </c>
      <c r="L36" s="239" t="n"/>
    </row>
    <row r="37">
      <c r="B37" s="236" t="inlineStr">
        <is>
          <t>Авторский надзор - 0,2%</t>
        </is>
      </c>
      <c r="C37" s="240">
        <f>ROUND((C27+C32+C33+C34+C35+C29+C31+C30)*0.2%,2)</f>
        <v/>
      </c>
      <c r="D37" s="236" t="n"/>
      <c r="E37" s="238">
        <f>C37/$C$40</f>
        <v/>
      </c>
      <c r="L37" s="239" t="n"/>
    </row>
    <row r="38" ht="38.25" customHeight="1" s="318">
      <c r="B38" s="236" t="inlineStr">
        <is>
          <t>ИТОГО (СМР+ОБОРУДОВАНИЕ+ПРОЧ. ЗАТР., УЧТЕННЫЕ ПОКАЗАТЕЛЕМ)</t>
        </is>
      </c>
      <c r="C38" s="292">
        <f>C27+C32+C33+C34+C35+C29+C31+C30+C36+C37</f>
        <v/>
      </c>
      <c r="D38" s="236" t="n"/>
      <c r="E38" s="238">
        <f>C38/$C$40</f>
        <v/>
      </c>
    </row>
    <row r="39" ht="13.7" customHeight="1" s="318">
      <c r="B39" s="236" t="inlineStr">
        <is>
          <t>Непредвиденные расходы</t>
        </is>
      </c>
      <c r="C39" s="292">
        <f>ROUND(C38*3%,2)</f>
        <v/>
      </c>
      <c r="D39" s="236" t="n"/>
      <c r="E39" s="238">
        <f>C39/$C$38</f>
        <v/>
      </c>
    </row>
    <row r="40">
      <c r="B40" s="236" t="inlineStr">
        <is>
          <t>ВСЕГО:</t>
        </is>
      </c>
      <c r="C40" s="292">
        <f>C39+C38</f>
        <v/>
      </c>
      <c r="D40" s="236" t="n"/>
      <c r="E40" s="238">
        <f>C40/$C$40</f>
        <v/>
      </c>
    </row>
    <row r="41">
      <c r="B41" s="236" t="inlineStr">
        <is>
          <t>ИТОГО ПОКАЗАТЕЛЬ НА ЕД. ИЗМ.</t>
        </is>
      </c>
      <c r="C41" s="292">
        <f>C40/'Прил.5 Расчет СМР и ОБ'!E62</f>
        <v/>
      </c>
      <c r="D41" s="236" t="n"/>
      <c r="E41" s="236" t="n"/>
    </row>
    <row r="42">
      <c r="B42" s="294" t="n"/>
      <c r="C42" s="290" t="n"/>
      <c r="D42" s="290" t="n"/>
      <c r="E42" s="290" t="n"/>
    </row>
    <row r="43">
      <c r="B43" s="294" t="inlineStr">
        <is>
          <t>Составил ____________________________ Д.Ю. Нефедова</t>
        </is>
      </c>
      <c r="C43" s="290" t="n"/>
      <c r="D43" s="290" t="n"/>
      <c r="E43" s="290" t="n"/>
    </row>
    <row r="44">
      <c r="B44" s="294" t="inlineStr">
        <is>
          <t xml:space="preserve">(должность, подпись, инициалы, фамилия) </t>
        </is>
      </c>
      <c r="C44" s="290" t="n"/>
      <c r="D44" s="290" t="n"/>
      <c r="E44" s="290" t="n"/>
    </row>
    <row r="45">
      <c r="B45" s="294" t="n"/>
      <c r="C45" s="290" t="n"/>
      <c r="D45" s="290" t="n"/>
      <c r="E45" s="290" t="n"/>
    </row>
    <row r="46">
      <c r="B46" s="294" t="inlineStr">
        <is>
          <t>Проверил ____________________________ А.В. Костянецкая</t>
        </is>
      </c>
      <c r="C46" s="290" t="n"/>
      <c r="D46" s="290" t="n"/>
      <c r="E46" s="290" t="n"/>
    </row>
    <row r="47">
      <c r="B47" s="365" t="inlineStr">
        <is>
          <t>(должность, подпись, инициалы, фамилия)</t>
        </is>
      </c>
      <c r="D47" s="290" t="n"/>
      <c r="E47" s="290" t="n"/>
    </row>
    <row r="49">
      <c r="B49" s="290" t="n"/>
      <c r="C49" s="290" t="n"/>
      <c r="D49" s="290" t="n"/>
      <c r="E49" s="290" t="n"/>
    </row>
    <row r="50">
      <c r="B50" s="290" t="n"/>
      <c r="C50" s="290" t="n"/>
      <c r="D50" s="290" t="n"/>
      <c r="E50" s="29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tabSelected="1" view="pageBreakPreview" zoomScale="85" zoomScaleSheetLayoutView="85" workbookViewId="0">
      <selection activeCell="Q28" sqref="Q28"/>
    </sheetView>
  </sheetViews>
  <sheetFormatPr baseColWidth="8" defaultColWidth="9.140625" defaultRowHeight="15" outlineLevelRow="1"/>
  <cols>
    <col width="5.7109375" customWidth="1" style="297" min="1" max="1"/>
    <col width="22.5703125" customWidth="1" style="297" min="2" max="2"/>
    <col width="39.140625" customWidth="1" style="297" min="3" max="3"/>
    <col width="10.7109375" customWidth="1" style="297" min="4" max="4"/>
    <col width="12.7109375" customWidth="1" style="297" min="5" max="5"/>
    <col width="15" customWidth="1" style="297" min="6" max="6"/>
    <col width="13.42578125" customWidth="1" style="297" min="7" max="7"/>
    <col width="12.7109375" customWidth="1" style="297" min="8" max="8"/>
    <col width="13.85546875" customWidth="1" style="297" min="9" max="9"/>
    <col width="17.5703125" customWidth="1" style="297" min="10" max="10"/>
    <col width="10.85546875" customWidth="1" style="297" min="11" max="11"/>
    <col width="9.140625" customWidth="1" style="297" min="12" max="12"/>
    <col width="9.140625" customWidth="1" style="318" min="13" max="13"/>
  </cols>
  <sheetData>
    <row r="1" s="318">
      <c r="A1" s="297" t="n"/>
      <c r="B1" s="297" t="n"/>
      <c r="C1" s="297" t="n"/>
      <c r="D1" s="297" t="n"/>
      <c r="E1" s="297" t="n"/>
      <c r="F1" s="297" t="n"/>
      <c r="G1" s="297" t="n"/>
      <c r="H1" s="297" t="n"/>
      <c r="I1" s="297" t="n"/>
      <c r="J1" s="297" t="n"/>
      <c r="K1" s="297" t="n"/>
      <c r="L1" s="297" t="n"/>
      <c r="M1" s="297" t="n"/>
      <c r="N1" s="297" t="n"/>
    </row>
    <row r="2" ht="15.75" customHeight="1" s="318">
      <c r="A2" s="297" t="n"/>
      <c r="B2" s="297" t="n"/>
      <c r="C2" s="297" t="n"/>
      <c r="D2" s="297" t="n"/>
      <c r="E2" s="297" t="n"/>
      <c r="F2" s="297" t="n"/>
      <c r="G2" s="297" t="n"/>
      <c r="H2" s="380" t="inlineStr">
        <is>
          <t>Приложение №5</t>
        </is>
      </c>
      <c r="K2" s="297" t="n"/>
      <c r="L2" s="297" t="n"/>
      <c r="M2" s="297" t="n"/>
      <c r="N2" s="297" t="n"/>
    </row>
    <row r="3" s="318">
      <c r="A3" s="297" t="n"/>
      <c r="B3" s="297" t="n"/>
      <c r="C3" s="297" t="n"/>
      <c r="D3" s="297" t="n"/>
      <c r="E3" s="297" t="n"/>
      <c r="F3" s="297" t="n"/>
      <c r="G3" s="297" t="n"/>
      <c r="H3" s="297" t="n"/>
      <c r="I3" s="297" t="n"/>
      <c r="J3" s="297" t="n"/>
      <c r="K3" s="297" t="n"/>
      <c r="L3" s="297" t="n"/>
      <c r="M3" s="297" t="n"/>
      <c r="N3" s="297" t="n"/>
    </row>
    <row r="4" ht="12.75" customFormat="1" customHeight="1" s="290">
      <c r="A4" s="340" t="inlineStr">
        <is>
          <t>Расчет стоимости СМР и оборудования</t>
        </is>
      </c>
    </row>
    <row r="5" ht="12.75" customFormat="1" customHeight="1" s="290">
      <c r="A5" s="340" t="n"/>
      <c r="B5" s="340" t="n"/>
      <c r="C5" s="392" t="n"/>
      <c r="D5" s="340" t="n"/>
      <c r="E5" s="340" t="n"/>
      <c r="F5" s="340" t="n"/>
      <c r="G5" s="340" t="n"/>
      <c r="H5" s="340" t="n"/>
      <c r="I5" s="340" t="n"/>
      <c r="J5" s="340" t="n"/>
    </row>
    <row r="6" ht="12.75" customFormat="1" customHeight="1" s="290">
      <c r="A6" s="213" t="inlineStr">
        <is>
          <t>Наименование разрабатываемого показателя УНЦ</t>
        </is>
      </c>
      <c r="B6" s="212" t="n"/>
      <c r="C6" s="212" t="n"/>
      <c r="D6" s="384" t="inlineStr">
        <is>
          <t>Контрольный (силовой) кабель, сечение жилы 10 мм2, количество жил 5 шт.</t>
        </is>
      </c>
    </row>
    <row r="7" ht="12.75" customFormat="1" customHeight="1" s="290">
      <c r="A7" s="343" t="inlineStr">
        <is>
          <t>Единица измерения  — 1 км</t>
        </is>
      </c>
      <c r="I7" s="349" t="n"/>
      <c r="J7" s="349" t="n"/>
    </row>
    <row r="8" ht="13.7" customFormat="1" customHeight="1" s="290">
      <c r="A8" s="343" t="n"/>
    </row>
    <row r="9" ht="27" customHeight="1" s="318">
      <c r="A9" s="372" t="inlineStr">
        <is>
          <t>№ пп.</t>
        </is>
      </c>
      <c r="B9" s="372" t="inlineStr">
        <is>
          <t>Код ресурса</t>
        </is>
      </c>
      <c r="C9" s="372" t="inlineStr">
        <is>
          <t>Наименование</t>
        </is>
      </c>
      <c r="D9" s="372" t="inlineStr">
        <is>
          <t>Ед. изм.</t>
        </is>
      </c>
      <c r="E9" s="372" t="inlineStr">
        <is>
          <t>Кол-во единиц по проектным данным</t>
        </is>
      </c>
      <c r="F9" s="372" t="inlineStr">
        <is>
          <t>Сметная стоимость в ценах на 01.01.2000 (руб.)</t>
        </is>
      </c>
      <c r="G9" s="436" t="n"/>
      <c r="H9" s="372" t="inlineStr">
        <is>
          <t>Удельный вес, %</t>
        </is>
      </c>
      <c r="I9" s="372" t="inlineStr">
        <is>
          <t>Сметная стоимость в ценах на 01.01.2023 (руб.)</t>
        </is>
      </c>
      <c r="J9" s="436" t="n"/>
      <c r="K9" s="297" t="n"/>
      <c r="L9" s="297" t="n"/>
      <c r="M9" s="297" t="n"/>
      <c r="N9" s="297" t="n"/>
    </row>
    <row r="10" ht="28.5" customHeight="1" s="318">
      <c r="A10" s="438" t="n"/>
      <c r="B10" s="438" t="n"/>
      <c r="C10" s="438" t="n"/>
      <c r="D10" s="438" t="n"/>
      <c r="E10" s="438" t="n"/>
      <c r="F10" s="372" t="inlineStr">
        <is>
          <t>на ед. изм.</t>
        </is>
      </c>
      <c r="G10" s="372" t="inlineStr">
        <is>
          <t>общая</t>
        </is>
      </c>
      <c r="H10" s="438" t="n"/>
      <c r="I10" s="372" t="inlineStr">
        <is>
          <t>на ед. изм.</t>
        </is>
      </c>
      <c r="J10" s="372" t="inlineStr">
        <is>
          <t>общая</t>
        </is>
      </c>
      <c r="K10" s="297" t="n"/>
      <c r="L10" s="297" t="n"/>
      <c r="M10" s="297" t="n"/>
      <c r="N10" s="297" t="n"/>
    </row>
    <row r="11" s="318">
      <c r="A11" s="372" t="n">
        <v>1</v>
      </c>
      <c r="B11" s="372" t="n">
        <v>2</v>
      </c>
      <c r="C11" s="372" t="n">
        <v>3</v>
      </c>
      <c r="D11" s="372" t="n">
        <v>4</v>
      </c>
      <c r="E11" s="372" t="n">
        <v>5</v>
      </c>
      <c r="F11" s="372" t="n">
        <v>6</v>
      </c>
      <c r="G11" s="372" t="n">
        <v>7</v>
      </c>
      <c r="H11" s="372" t="n">
        <v>8</v>
      </c>
      <c r="I11" s="367" t="n">
        <v>9</v>
      </c>
      <c r="J11" s="367" t="n">
        <v>10</v>
      </c>
      <c r="K11" s="297" t="n"/>
      <c r="L11" s="297" t="n"/>
      <c r="M11" s="297" t="n"/>
      <c r="N11" s="297" t="n"/>
    </row>
    <row r="12">
      <c r="A12" s="372" t="n"/>
      <c r="B12" s="361" t="inlineStr">
        <is>
          <t>Затраты труда рабочих-строителей</t>
        </is>
      </c>
      <c r="C12" s="435" t="n"/>
      <c r="D12" s="435" t="n"/>
      <c r="E12" s="435" t="n"/>
      <c r="F12" s="435" t="n"/>
      <c r="G12" s="435" t="n"/>
      <c r="H12" s="436" t="n"/>
      <c r="I12" s="200" t="n"/>
      <c r="J12" s="200" t="n"/>
    </row>
    <row r="13" ht="25.5" customHeight="1" s="318">
      <c r="A13" s="372" t="n">
        <v>1</v>
      </c>
      <c r="B13" s="210" t="inlineStr">
        <is>
          <t>1-3-9</t>
        </is>
      </c>
      <c r="C13" s="371" t="inlineStr">
        <is>
          <t>Затраты труда рабочих-строителей среднего разряда (3,9)</t>
        </is>
      </c>
      <c r="D13" s="372" t="inlineStr">
        <is>
          <t>чел.-ч.</t>
        </is>
      </c>
      <c r="E13" s="449">
        <f>G13/F13</f>
        <v/>
      </c>
      <c r="F13" s="207" t="n">
        <v>9.51</v>
      </c>
      <c r="G13" s="207">
        <f>Прил.3!H12</f>
        <v/>
      </c>
      <c r="H13" s="209">
        <f>G13/G14</f>
        <v/>
      </c>
      <c r="I13" s="207">
        <f>ФОТр.тек.!E13</f>
        <v/>
      </c>
      <c r="J13" s="207">
        <f>ROUND(I13*E13,2)</f>
        <v/>
      </c>
    </row>
    <row r="14" ht="25.5" customFormat="1" customHeight="1" s="297">
      <c r="A14" s="372" t="n"/>
      <c r="B14" s="372" t="n"/>
      <c r="C14" s="361" t="inlineStr">
        <is>
          <t>Итого по разделу "Затраты труда рабочих-строителей"</t>
        </is>
      </c>
      <c r="D14" s="372" t="inlineStr">
        <is>
          <t>чел.-ч.</t>
        </is>
      </c>
      <c r="E14" s="449">
        <f>SUM(E13:E13)</f>
        <v/>
      </c>
      <c r="F14" s="207" t="n"/>
      <c r="G14" s="207">
        <f>SUM(G13:G13)</f>
        <v/>
      </c>
      <c r="H14" s="375" t="n">
        <v>1</v>
      </c>
      <c r="I14" s="200" t="n"/>
      <c r="J14" s="207">
        <f>SUM(J13:J13)</f>
        <v/>
      </c>
    </row>
    <row r="15" ht="14.25" customFormat="1" customHeight="1" s="297">
      <c r="A15" s="372" t="n"/>
      <c r="B15" s="371" t="inlineStr">
        <is>
          <t>Затраты труда машинистов</t>
        </is>
      </c>
      <c r="C15" s="435" t="n"/>
      <c r="D15" s="435" t="n"/>
      <c r="E15" s="435" t="n"/>
      <c r="F15" s="435" t="n"/>
      <c r="G15" s="435" t="n"/>
      <c r="H15" s="436" t="n"/>
      <c r="I15" s="200" t="n"/>
      <c r="J15" s="200" t="n"/>
    </row>
    <row r="16" ht="14.25" customFormat="1" customHeight="1" s="297">
      <c r="A16" s="372" t="n">
        <v>2</v>
      </c>
      <c r="B16" s="372" t="n">
        <v>2</v>
      </c>
      <c r="C16" s="371" t="inlineStr">
        <is>
          <t>Затраты труда машинистов</t>
        </is>
      </c>
      <c r="D16" s="372" t="inlineStr">
        <is>
          <t>чел.-ч.</t>
        </is>
      </c>
      <c r="E16" s="449">
        <f>Прил.3!F17</f>
        <v/>
      </c>
      <c r="F16" s="269">
        <f>G16/E16</f>
        <v/>
      </c>
      <c r="G16" s="207">
        <f>Прил.3!H17</f>
        <v/>
      </c>
      <c r="H16" s="375" t="n">
        <v>1</v>
      </c>
      <c r="I16" s="207">
        <f>ROUND(F16*Прил.10!D11,2)</f>
        <v/>
      </c>
      <c r="J16" s="207">
        <f>ROUND(I16*E16,2)</f>
        <v/>
      </c>
    </row>
    <row r="17" ht="14.25" customFormat="1" customHeight="1" s="297">
      <c r="A17" s="372" t="n"/>
      <c r="B17" s="361" t="inlineStr">
        <is>
          <t>Машины и механизмы</t>
        </is>
      </c>
      <c r="C17" s="435" t="n"/>
      <c r="D17" s="435" t="n"/>
      <c r="E17" s="435" t="n"/>
      <c r="F17" s="435" t="n"/>
      <c r="G17" s="435" t="n"/>
      <c r="H17" s="436" t="n"/>
      <c r="I17" s="200" t="n"/>
      <c r="J17" s="200" t="n"/>
    </row>
    <row r="18" ht="14.25" customFormat="1" customHeight="1" s="297">
      <c r="A18" s="372" t="n"/>
      <c r="B18" s="371" t="inlineStr">
        <is>
          <t>Основные машины и механизмы</t>
        </is>
      </c>
      <c r="C18" s="435" t="n"/>
      <c r="D18" s="435" t="n"/>
      <c r="E18" s="435" t="n"/>
      <c r="F18" s="435" t="n"/>
      <c r="G18" s="435" t="n"/>
      <c r="H18" s="436" t="n"/>
      <c r="I18" s="200" t="n"/>
      <c r="J18" s="200" t="n"/>
    </row>
    <row r="19" ht="25.5" customFormat="1" customHeight="1" s="297">
      <c r="A19" s="372" t="n">
        <v>3</v>
      </c>
      <c r="B19" s="264" t="inlineStr">
        <is>
          <t>91.06.06-042</t>
        </is>
      </c>
      <c r="C19" s="265" t="inlineStr">
        <is>
          <t>Подъемники гидравлические, высота подъема 10 м</t>
        </is>
      </c>
      <c r="D19" s="390" t="inlineStr">
        <is>
          <t>маш.-ч</t>
        </is>
      </c>
      <c r="E19" s="447" t="n">
        <v>8.08</v>
      </c>
      <c r="F19" s="267" t="n">
        <v>29.6</v>
      </c>
      <c r="G19" s="207">
        <f>ROUND(E19*F19,2)</f>
        <v/>
      </c>
      <c r="H19" s="209">
        <f>G19/$G$27</f>
        <v/>
      </c>
      <c r="I19" s="207">
        <f>ROUND(F19*Прил.10!$D$12,2)</f>
        <v/>
      </c>
      <c r="J19" s="207">
        <f>ROUND(I19*E19,2)</f>
        <v/>
      </c>
    </row>
    <row r="20" ht="25.5" customFormat="1" customHeight="1" s="297">
      <c r="A20" s="372" t="n">
        <v>4</v>
      </c>
      <c r="B20" s="264" t="inlineStr">
        <is>
          <t>91.05.05-014</t>
        </is>
      </c>
      <c r="C20" s="265" t="inlineStr">
        <is>
          <t>Краны на автомобильном ходу, грузоподъемность 10 т</t>
        </is>
      </c>
      <c r="D20" s="390" t="inlineStr">
        <is>
          <t>маш.-ч</t>
        </is>
      </c>
      <c r="E20" s="447" t="n">
        <v>0.7</v>
      </c>
      <c r="F20" s="267" t="n">
        <v>111.99</v>
      </c>
      <c r="G20" s="207">
        <f>ROUND(E20*F20,2)</f>
        <v/>
      </c>
      <c r="H20" s="209">
        <f>G20/$G$27</f>
        <v/>
      </c>
      <c r="I20" s="207">
        <f>ROUND(F20*Прил.10!$D$12,2)</f>
        <v/>
      </c>
      <c r="J20" s="207">
        <f>ROUND(I20*E20,2)</f>
        <v/>
      </c>
    </row>
    <row r="21" ht="25.5" customFormat="1" customHeight="1" s="297">
      <c r="A21" s="372" t="n">
        <v>5</v>
      </c>
      <c r="B21" s="264" t="inlineStr">
        <is>
          <t>91.14.02-001</t>
        </is>
      </c>
      <c r="C21" s="265" t="inlineStr">
        <is>
          <t>Автомобили бортовые, грузоподъемность до 5 т</t>
        </is>
      </c>
      <c r="D21" s="390" t="inlineStr">
        <is>
          <t>маш.-ч</t>
        </is>
      </c>
      <c r="E21" s="447" t="n">
        <v>0.7</v>
      </c>
      <c r="F21" s="267" t="n">
        <v>65.70999999999999</v>
      </c>
      <c r="G21" s="207">
        <f>ROUND(E21*F21,2)</f>
        <v/>
      </c>
      <c r="H21" s="209">
        <f>G21/$G$27</f>
        <v/>
      </c>
      <c r="I21" s="207">
        <f>ROUND(F21*Прил.10!$D$12,2)</f>
        <v/>
      </c>
      <c r="J21" s="207">
        <f>ROUND(I21*E21,2)</f>
        <v/>
      </c>
    </row>
    <row r="22" ht="14.25" customFormat="1" customHeight="1" s="297">
      <c r="A22" s="372" t="n"/>
      <c r="B22" s="372" t="n"/>
      <c r="C22" s="371" t="inlineStr">
        <is>
          <t>Итого основные машины и механизмы</t>
        </is>
      </c>
      <c r="D22" s="372" t="n"/>
      <c r="E22" s="449" t="n"/>
      <c r="F22" s="207" t="n"/>
      <c r="G22" s="207">
        <f>SUM(G19:G21)</f>
        <v/>
      </c>
      <c r="H22" s="375">
        <f>G22/G27</f>
        <v/>
      </c>
      <c r="I22" s="201" t="n"/>
      <c r="J22" s="207">
        <f>SUM(J19:J21)</f>
        <v/>
      </c>
    </row>
    <row r="23" hidden="1" outlineLevel="1" ht="25.5" customFormat="1" customHeight="1" s="297">
      <c r="A23" s="372" t="n">
        <v>6</v>
      </c>
      <c r="B23" s="264" t="inlineStr">
        <is>
          <t>91.06.03-061</t>
        </is>
      </c>
      <c r="C23" s="265" t="inlineStr">
        <is>
          <t>Лебедки электрические тяговым усилием: до 12,26 кН (1,25 т)</t>
        </is>
      </c>
      <c r="D23" s="390" t="inlineStr">
        <is>
          <t>маш.час</t>
        </is>
      </c>
      <c r="E23" s="447" t="n">
        <v>6.6</v>
      </c>
      <c r="F23" s="267" t="n">
        <v>3.28</v>
      </c>
      <c r="G23" s="207">
        <f>ROUND(E23*F23,2)</f>
        <v/>
      </c>
      <c r="H23" s="209">
        <f>G23/$G$27</f>
        <v/>
      </c>
      <c r="I23" s="207">
        <f>ROUND(F23*Прил.10!$D$12,2)</f>
        <v/>
      </c>
      <c r="J23" s="207">
        <f>ROUND(I23*E23,2)</f>
        <v/>
      </c>
    </row>
    <row r="24" hidden="1" outlineLevel="1" ht="25.5" customFormat="1" customHeight="1" s="297">
      <c r="A24" s="372" t="n">
        <v>7</v>
      </c>
      <c r="B24" s="264" t="inlineStr">
        <is>
          <t>91.17.04-233</t>
        </is>
      </c>
      <c r="C24" s="265" t="inlineStr">
        <is>
          <t>Установки для сварки: ручной дуговой (постоянного тока)</t>
        </is>
      </c>
      <c r="D24" s="390" t="inlineStr">
        <is>
          <t>маш.час</t>
        </is>
      </c>
      <c r="E24" s="447" t="n">
        <v>2.54</v>
      </c>
      <c r="F24" s="267" t="n">
        <v>8.1</v>
      </c>
      <c r="G24" s="207">
        <f>ROUND(E24*F24,2)</f>
        <v/>
      </c>
      <c r="H24" s="209">
        <f>G24/$G$27</f>
        <v/>
      </c>
      <c r="I24" s="207">
        <f>ROUND(F24*Прил.10!$D$12,2)</f>
        <v/>
      </c>
      <c r="J24" s="207">
        <f>ROUND(I24*E24,2)</f>
        <v/>
      </c>
    </row>
    <row r="25" hidden="1" outlineLevel="1" ht="25.5" customFormat="1" customHeight="1" s="297">
      <c r="A25" s="372" t="n">
        <v>8</v>
      </c>
      <c r="B25" s="264" t="inlineStr">
        <is>
          <t>91.06.01-003</t>
        </is>
      </c>
      <c r="C25" s="265" t="inlineStr">
        <is>
          <t>Домкраты гидравлические, грузоподъемность 63-100 т</t>
        </is>
      </c>
      <c r="D25" s="390" t="inlineStr">
        <is>
          <t>маш.час</t>
        </is>
      </c>
      <c r="E25" s="447" t="n">
        <v>6.6</v>
      </c>
      <c r="F25" s="267" t="n">
        <v>0.9</v>
      </c>
      <c r="G25" s="207">
        <f>ROUND(E25*F25,2)</f>
        <v/>
      </c>
      <c r="H25" s="209">
        <f>G25/$G$27</f>
        <v/>
      </c>
      <c r="I25" s="207">
        <f>ROUND(F25*Прил.10!$D$12,2)</f>
        <v/>
      </c>
      <c r="J25" s="207">
        <f>ROUND(I25*E25,2)</f>
        <v/>
      </c>
    </row>
    <row r="26" collapsed="1" ht="14.25" customFormat="1" customHeight="1" s="297">
      <c r="A26" s="372" t="n"/>
      <c r="B26" s="372" t="n"/>
      <c r="C26" s="371" t="inlineStr">
        <is>
          <t>Итого прочие машины и механизмы</t>
        </is>
      </c>
      <c r="D26" s="372" t="n"/>
      <c r="E26" s="373" t="n"/>
      <c r="F26" s="207" t="n"/>
      <c r="G26" s="201">
        <f>SUM(G23:G25)</f>
        <v/>
      </c>
      <c r="H26" s="209">
        <f>G26/G27</f>
        <v/>
      </c>
      <c r="I26" s="207" t="n"/>
      <c r="J26" s="207">
        <f>SUM(J23:J25)</f>
        <v/>
      </c>
    </row>
    <row r="27" ht="25.5" customFormat="1" customHeight="1" s="297">
      <c r="A27" s="372" t="n"/>
      <c r="B27" s="372" t="n"/>
      <c r="C27" s="361" t="inlineStr">
        <is>
          <t>Итого по разделу «Машины и механизмы»</t>
        </is>
      </c>
      <c r="D27" s="372" t="n"/>
      <c r="E27" s="373" t="n"/>
      <c r="F27" s="207" t="n"/>
      <c r="G27" s="207">
        <f>G26+G22</f>
        <v/>
      </c>
      <c r="H27" s="194" t="n">
        <v>1</v>
      </c>
      <c r="I27" s="195" t="n"/>
      <c r="J27" s="221">
        <f>J26+J22</f>
        <v/>
      </c>
    </row>
    <row r="28" ht="14.25" customFormat="1" customHeight="1" s="297">
      <c r="A28" s="372" t="n"/>
      <c r="B28" s="361" t="inlineStr">
        <is>
          <t>Оборудование</t>
        </is>
      </c>
      <c r="C28" s="435" t="n"/>
      <c r="D28" s="435" t="n"/>
      <c r="E28" s="435" t="n"/>
      <c r="F28" s="435" t="n"/>
      <c r="G28" s="435" t="n"/>
      <c r="H28" s="436" t="n"/>
      <c r="I28" s="200" t="n"/>
      <c r="J28" s="200" t="n"/>
    </row>
    <row r="29">
      <c r="A29" s="372" t="n"/>
      <c r="B29" s="371" t="inlineStr">
        <is>
          <t>Основное оборудование</t>
        </is>
      </c>
      <c r="C29" s="435" t="n"/>
      <c r="D29" s="435" t="n"/>
      <c r="E29" s="435" t="n"/>
      <c r="F29" s="435" t="n"/>
      <c r="G29" s="435" t="n"/>
      <c r="H29" s="436" t="n"/>
      <c r="I29" s="200" t="n"/>
      <c r="J29" s="200" t="n"/>
      <c r="K29" s="297" t="n"/>
      <c r="L29" s="297" t="n"/>
    </row>
    <row r="30">
      <c r="A30" s="372" t="n"/>
      <c r="B30" s="372" t="n"/>
      <c r="C30" s="371" t="inlineStr">
        <is>
          <t>Итого основное оборудование</t>
        </is>
      </c>
      <c r="D30" s="372" t="n"/>
      <c r="E30" s="450" t="n"/>
      <c r="F30" s="374" t="n"/>
      <c r="G30" s="207" t="n">
        <v>0</v>
      </c>
      <c r="H30" s="209" t="n">
        <v>0</v>
      </c>
      <c r="I30" s="201" t="n"/>
      <c r="J30" s="207" t="n">
        <v>0</v>
      </c>
      <c r="K30" s="297" t="n"/>
      <c r="L30" s="297" t="n"/>
    </row>
    <row r="31">
      <c r="A31" s="372" t="n"/>
      <c r="B31" s="372" t="n"/>
      <c r="C31" s="371" t="inlineStr">
        <is>
          <t>Итого прочее оборудование</t>
        </is>
      </c>
      <c r="D31" s="372" t="n"/>
      <c r="E31" s="449" t="n"/>
      <c r="F31" s="374" t="n"/>
      <c r="G31" s="207" t="n">
        <v>0</v>
      </c>
      <c r="H31" s="209" t="n">
        <v>0</v>
      </c>
      <c r="I31" s="201" t="n"/>
      <c r="J31" s="207" t="n">
        <v>0</v>
      </c>
      <c r="K31" s="297" t="n"/>
      <c r="L31" s="297" t="n"/>
    </row>
    <row r="32">
      <c r="A32" s="372" t="n"/>
      <c r="B32" s="372" t="n"/>
      <c r="C32" s="361" t="inlineStr">
        <is>
          <t>Итого по разделу «Оборудование»</t>
        </is>
      </c>
      <c r="D32" s="372" t="n"/>
      <c r="E32" s="373" t="n"/>
      <c r="F32" s="374" t="n"/>
      <c r="G32" s="207">
        <f>G30+G31</f>
        <v/>
      </c>
      <c r="H32" s="209" t="n">
        <v>0</v>
      </c>
      <c r="I32" s="201" t="n"/>
      <c r="J32" s="207" t="n">
        <v>0</v>
      </c>
      <c r="K32" s="297" t="n"/>
      <c r="L32" s="297" t="n"/>
    </row>
    <row r="33" ht="25.5" customHeight="1" s="318">
      <c r="A33" s="372" t="n"/>
      <c r="B33" s="372" t="n"/>
      <c r="C33" s="371" t="inlineStr">
        <is>
          <t>в том числе технологическое оборудование</t>
        </is>
      </c>
      <c r="D33" s="372" t="n"/>
      <c r="E33" s="450" t="n"/>
      <c r="F33" s="374" t="n"/>
      <c r="G33" s="207">
        <f>'Прил.6 Расчет ОБ'!G12</f>
        <v/>
      </c>
      <c r="H33" s="375" t="n"/>
      <c r="I33" s="201" t="n"/>
      <c r="J33" s="207">
        <f>J32</f>
        <v/>
      </c>
      <c r="K33" s="297" t="n"/>
      <c r="L33" s="297" t="n"/>
    </row>
    <row r="34" ht="14.25" customFormat="1" customHeight="1" s="297">
      <c r="A34" s="372" t="n"/>
      <c r="B34" s="361" t="inlineStr">
        <is>
          <t>Материалы</t>
        </is>
      </c>
      <c r="C34" s="435" t="n"/>
      <c r="D34" s="435" t="n"/>
      <c r="E34" s="435" t="n"/>
      <c r="F34" s="435" t="n"/>
      <c r="G34" s="435" t="n"/>
      <c r="H34" s="436" t="n"/>
      <c r="I34" s="200" t="n"/>
      <c r="J34" s="200" t="n"/>
    </row>
    <row r="35" ht="14.25" customFormat="1" customHeight="1" s="297">
      <c r="A35" s="367" t="n"/>
      <c r="B35" s="366" t="inlineStr">
        <is>
          <t>Основные материалы</t>
        </is>
      </c>
      <c r="C35" s="451" t="n"/>
      <c r="D35" s="451" t="n"/>
      <c r="E35" s="451" t="n"/>
      <c r="F35" s="451" t="n"/>
      <c r="G35" s="451" t="n"/>
      <c r="H35" s="452" t="n"/>
      <c r="I35" s="215" t="n"/>
      <c r="J35" s="215" t="n"/>
    </row>
    <row r="36" ht="14.25" customFormat="1" customHeight="1" s="297">
      <c r="A36" s="372" t="n">
        <v>9</v>
      </c>
      <c r="B36" s="264" t="inlineStr">
        <is>
          <t>БЦ.90.21</t>
        </is>
      </c>
      <c r="C36" s="265" t="inlineStr">
        <is>
          <t>Кабель контрольный КВВГЭнг-LS 5x10</t>
        </is>
      </c>
      <c r="D36" s="390" t="inlineStr">
        <is>
          <t>1000 м</t>
        </is>
      </c>
      <c r="E36" s="447" t="n">
        <v>1.1</v>
      </c>
      <c r="F36" s="207">
        <f>ROUND(I36/Прил.10!$D$13,2)</f>
        <v/>
      </c>
      <c r="G36" s="207">
        <f>ROUND(E36*F36,2)</f>
        <v/>
      </c>
      <c r="H36" s="209">
        <f>G36/$G$56</f>
        <v/>
      </c>
      <c r="I36" s="207" t="n">
        <v>865147.22</v>
      </c>
      <c r="J36" s="207">
        <f>ROUND(I36*E36,2)</f>
        <v/>
      </c>
    </row>
    <row r="37" ht="14.25" customFormat="1" customHeight="1" s="297">
      <c r="A37" s="383" t="n"/>
      <c r="B37" s="217" t="n"/>
      <c r="C37" s="218" t="inlineStr">
        <is>
          <t>Итого основные материалы</t>
        </is>
      </c>
      <c r="D37" s="383" t="n"/>
      <c r="E37" s="453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hidden="1" outlineLevel="1" ht="38.25" customFormat="1" customHeight="1" s="297">
      <c r="A38" s="372" t="n">
        <v>10</v>
      </c>
      <c r="B38" s="264" t="inlineStr">
        <is>
          <t>21.2.01.02-0141</t>
        </is>
      </c>
      <c r="C38" s="265" t="inlineStr">
        <is>
          <t>Провода неизолированные для воздушных линий электропередачи медные марки: М, сечением 4 мм2</t>
        </is>
      </c>
      <c r="D38" s="390" t="inlineStr">
        <is>
          <t>т</t>
        </is>
      </c>
      <c r="E38" s="447" t="n">
        <v>0.0011</v>
      </c>
      <c r="F38" s="248" t="n">
        <v>96440</v>
      </c>
      <c r="G38" s="207">
        <f>ROUND(E38*F38,2)</f>
        <v/>
      </c>
      <c r="H38" s="209">
        <f>G38/$G$56</f>
        <v/>
      </c>
      <c r="I38" s="207">
        <f>ROUND(F38*Прил.10!$D$13,2)</f>
        <v/>
      </c>
      <c r="J38" s="207">
        <f>ROUND(I38*E38,2)</f>
        <v/>
      </c>
    </row>
    <row r="39" hidden="1" outlineLevel="1" ht="25.5" customFormat="1" customHeight="1" s="297">
      <c r="A39" s="372" t="n">
        <v>11</v>
      </c>
      <c r="B39" s="264" t="inlineStr">
        <is>
          <t>10.3.02.03-0011</t>
        </is>
      </c>
      <c r="C39" s="265" t="inlineStr">
        <is>
          <t>Припои оловянно-свинцовые бессурьмянистые марки: ПОС30</t>
        </is>
      </c>
      <c r="D39" s="390" t="inlineStr">
        <is>
          <t>кг</t>
        </is>
      </c>
      <c r="E39" s="447" t="n">
        <v>1.28</v>
      </c>
      <c r="F39" s="248" t="n">
        <v>68.05</v>
      </c>
      <c r="G39" s="207">
        <f>ROUND(E39*F39,2)</f>
        <v/>
      </c>
      <c r="H39" s="209">
        <f>G39/$G$56</f>
        <v/>
      </c>
      <c r="I39" s="207">
        <f>ROUND(F39*Прил.10!$D$13,2)</f>
        <v/>
      </c>
      <c r="J39" s="207">
        <f>ROUND(I39*E39,2)</f>
        <v/>
      </c>
    </row>
    <row r="40" hidden="1" outlineLevel="1" ht="14.25" customFormat="1" customHeight="1" s="297">
      <c r="A40" s="372" t="n">
        <v>12</v>
      </c>
      <c r="B40" s="264" t="inlineStr">
        <is>
          <t>01.7.11.07-0034</t>
        </is>
      </c>
      <c r="C40" s="265" t="inlineStr">
        <is>
          <t>Электроды диаметром: 4 мм Э42А</t>
        </is>
      </c>
      <c r="D40" s="390" t="inlineStr">
        <is>
          <t>кг</t>
        </is>
      </c>
      <c r="E40" s="447" t="n">
        <v>6.84</v>
      </c>
      <c r="F40" s="248" t="n">
        <v>10.57</v>
      </c>
      <c r="G40" s="207">
        <f>ROUND(E40*F40,2)</f>
        <v/>
      </c>
      <c r="H40" s="209">
        <f>G40/$G$56</f>
        <v/>
      </c>
      <c r="I40" s="207">
        <f>ROUND(F40*Прил.10!$D$13,2)</f>
        <v/>
      </c>
      <c r="J40" s="207">
        <f>ROUND(I40*E40,2)</f>
        <v/>
      </c>
    </row>
    <row r="41" hidden="1" outlineLevel="1" ht="14.25" customFormat="1" customHeight="1" s="297">
      <c r="A41" s="372" t="n">
        <v>13</v>
      </c>
      <c r="B41" s="264" t="inlineStr">
        <is>
          <t>20.2.08.07-0033</t>
        </is>
      </c>
      <c r="C41" s="265" t="inlineStr">
        <is>
          <t>Скоба: У1078</t>
        </is>
      </c>
      <c r="D41" s="390" t="inlineStr">
        <is>
          <t>100 шт</t>
        </is>
      </c>
      <c r="E41" s="447" t="n">
        <v>0.11</v>
      </c>
      <c r="F41" s="248" t="n">
        <v>617</v>
      </c>
      <c r="G41" s="207">
        <f>ROUND(E41*F41,2)</f>
        <v/>
      </c>
      <c r="H41" s="209">
        <f>G41/$G$56</f>
        <v/>
      </c>
      <c r="I41" s="207">
        <f>ROUND(F41*Прил.10!$D$13,2)</f>
        <v/>
      </c>
      <c r="J41" s="207">
        <f>ROUND(I41*E41,2)</f>
        <v/>
      </c>
    </row>
    <row r="42" hidden="1" outlineLevel="1" ht="14.25" customFormat="1" customHeight="1" s="297">
      <c r="A42" s="372" t="n">
        <v>14</v>
      </c>
      <c r="B42" s="264" t="inlineStr">
        <is>
          <t>01.7.15.07-0014</t>
        </is>
      </c>
      <c r="C42" s="265" t="inlineStr">
        <is>
          <t>Дюбели распорные полипропиленовые</t>
        </is>
      </c>
      <c r="D42" s="390" t="inlineStr">
        <is>
          <t>100 шт</t>
        </is>
      </c>
      <c r="E42" s="447" t="n">
        <v>0.4</v>
      </c>
      <c r="F42" s="248" t="n">
        <v>86</v>
      </c>
      <c r="G42" s="207">
        <f>ROUND(E42*F42,2)</f>
        <v/>
      </c>
      <c r="H42" s="209">
        <f>G42/$G$56</f>
        <v/>
      </c>
      <c r="I42" s="207">
        <f>ROUND(F42*Прил.10!$D$13,2)</f>
        <v/>
      </c>
      <c r="J42" s="207">
        <f>ROUND(I42*E42,2)</f>
        <v/>
      </c>
    </row>
    <row r="43" hidden="1" outlineLevel="1" ht="14.25" customFormat="1" customHeight="1" s="297">
      <c r="A43" s="372" t="n">
        <v>15</v>
      </c>
      <c r="B43" s="264" t="inlineStr">
        <is>
          <t>20.1.02.06-0001</t>
        </is>
      </c>
      <c r="C43" s="265" t="inlineStr">
        <is>
          <t>Жир паяльный</t>
        </is>
      </c>
      <c r="D43" s="390" t="inlineStr">
        <is>
          <t>кг</t>
        </is>
      </c>
      <c r="E43" s="447" t="n">
        <v>0.2</v>
      </c>
      <c r="F43" s="248" t="n">
        <v>100.8</v>
      </c>
      <c r="G43" s="207">
        <f>ROUND(E43*F43,2)</f>
        <v/>
      </c>
      <c r="H43" s="209">
        <f>G43/$G$56</f>
        <v/>
      </c>
      <c r="I43" s="207">
        <f>ROUND(F43*Прил.10!$D$13,2)</f>
        <v/>
      </c>
      <c r="J43" s="207">
        <f>ROUND(I43*E43,2)</f>
        <v/>
      </c>
    </row>
    <row r="44" hidden="1" outlineLevel="1" ht="14.25" customFormat="1" customHeight="1" s="297">
      <c r="A44" s="372" t="n">
        <v>16</v>
      </c>
      <c r="B44" s="264" t="inlineStr">
        <is>
          <t>14.4.03.03-0002</t>
        </is>
      </c>
      <c r="C44" s="265" t="inlineStr">
        <is>
          <t>Лак битумный: БТ-123</t>
        </is>
      </c>
      <c r="D44" s="390" t="inlineStr">
        <is>
          <t>т</t>
        </is>
      </c>
      <c r="E44" s="447" t="n">
        <v>0.0022</v>
      </c>
      <c r="F44" s="248" t="n">
        <v>7826.9</v>
      </c>
      <c r="G44" s="207">
        <f>ROUND(E44*F44,2)</f>
        <v/>
      </c>
      <c r="H44" s="209">
        <f>G44/$G$56</f>
        <v/>
      </c>
      <c r="I44" s="207">
        <f>ROUND(F44*Прил.10!$D$13,2)</f>
        <v/>
      </c>
      <c r="J44" s="207">
        <f>ROUND(I44*E44,2)</f>
        <v/>
      </c>
    </row>
    <row r="45" hidden="1" outlineLevel="1" ht="14.25" customFormat="1" customHeight="1" s="297">
      <c r="A45" s="372" t="n">
        <v>17</v>
      </c>
      <c r="B45" s="264" t="inlineStr">
        <is>
          <t>01.7.06.07-0001</t>
        </is>
      </c>
      <c r="C45" s="265" t="inlineStr">
        <is>
          <t>Лента К226</t>
        </is>
      </c>
      <c r="D45" s="390" t="inlineStr">
        <is>
          <t>100 м</t>
        </is>
      </c>
      <c r="E45" s="447" t="n">
        <v>0.0735</v>
      </c>
      <c r="F45" s="248" t="n">
        <v>120</v>
      </c>
      <c r="G45" s="207">
        <f>ROUND(E45*F45,2)</f>
        <v/>
      </c>
      <c r="H45" s="209">
        <f>G45/$G$56</f>
        <v/>
      </c>
      <c r="I45" s="207">
        <f>ROUND(F45*Прил.10!$D$13,2)</f>
        <v/>
      </c>
      <c r="J45" s="207">
        <f>ROUND(I45*E45,2)</f>
        <v/>
      </c>
    </row>
    <row r="46" hidden="1" outlineLevel="1" ht="14.25" customFormat="1" customHeight="1" s="297">
      <c r="A46" s="372" t="n">
        <v>18</v>
      </c>
      <c r="B46" s="264" t="inlineStr">
        <is>
          <t>01.7.15.03-0042</t>
        </is>
      </c>
      <c r="C46" s="265" t="inlineStr">
        <is>
          <t>Болты с гайками и шайбами строительные</t>
        </is>
      </c>
      <c r="D46" s="390" t="inlineStr">
        <is>
          <t>кг</t>
        </is>
      </c>
      <c r="E46" s="447" t="n">
        <v>0.8</v>
      </c>
      <c r="F46" s="248" t="n">
        <v>9.039999999999999</v>
      </c>
      <c r="G46" s="207">
        <f>ROUND(E46*F46,2)</f>
        <v/>
      </c>
      <c r="H46" s="209">
        <f>G46/$G$56</f>
        <v/>
      </c>
      <c r="I46" s="207">
        <f>ROUND(F46*Прил.10!$D$13,2)</f>
        <v/>
      </c>
      <c r="J46" s="207">
        <f>ROUND(I46*E46,2)</f>
        <v/>
      </c>
    </row>
    <row r="47" hidden="1" outlineLevel="1" ht="38.25" customFormat="1" customHeight="1" s="297">
      <c r="A47" s="372" t="n">
        <v>19</v>
      </c>
      <c r="B47" s="264" t="inlineStr">
        <is>
          <t>01.7.06.05-0041</t>
        </is>
      </c>
      <c r="C47" s="265" t="inlineStr">
        <is>
          <t>Лента изоляционная прорезиненная односторонняя ширина 20 мм, толщина 0,25-0,35 мм</t>
        </is>
      </c>
      <c r="D47" s="390" t="inlineStr">
        <is>
          <t>кг</t>
        </is>
      </c>
      <c r="E47" s="447" t="n">
        <v>0.2</v>
      </c>
      <c r="F47" s="248" t="n">
        <v>30.4</v>
      </c>
      <c r="G47" s="207">
        <f>ROUND(E47*F47,2)</f>
        <v/>
      </c>
      <c r="H47" s="209">
        <f>G47/$G$56</f>
        <v/>
      </c>
      <c r="I47" s="207">
        <f>ROUND(F47*Прил.10!$D$13,2)</f>
        <v/>
      </c>
      <c r="J47" s="207">
        <f>ROUND(I47*E47,2)</f>
        <v/>
      </c>
    </row>
    <row r="48" hidden="1" outlineLevel="1" ht="14.25" customFormat="1" customHeight="1" s="297">
      <c r="A48" s="372" t="n">
        <v>20</v>
      </c>
      <c r="B48" s="264" t="inlineStr">
        <is>
          <t>01.7.15.14-0165</t>
        </is>
      </c>
      <c r="C48" s="265" t="inlineStr">
        <is>
          <t>Шурупы с полукруглой головкой: 4x40 мм</t>
        </is>
      </c>
      <c r="D48" s="390" t="inlineStr">
        <is>
          <t>т</t>
        </is>
      </c>
      <c r="E48" s="447" t="n">
        <v>0.0003</v>
      </c>
      <c r="F48" s="248" t="n">
        <v>12430</v>
      </c>
      <c r="G48" s="207">
        <f>ROUND(E48*F48,2)</f>
        <v/>
      </c>
      <c r="H48" s="209">
        <f>G48/$G$56</f>
        <v/>
      </c>
      <c r="I48" s="207">
        <f>ROUND(F48*Прил.10!$D$13,2)</f>
        <v/>
      </c>
      <c r="J48" s="207">
        <f>ROUND(I48*E48,2)</f>
        <v/>
      </c>
    </row>
    <row r="49" hidden="1" outlineLevel="1" ht="14.25" customFormat="1" customHeight="1" s="297">
      <c r="A49" s="372" t="n">
        <v>21</v>
      </c>
      <c r="B49" s="264" t="inlineStr">
        <is>
          <t>25.2.01.01-0017</t>
        </is>
      </c>
      <c r="C49" s="265" t="inlineStr">
        <is>
          <t>Бирки маркировочные пластмассовые</t>
        </is>
      </c>
      <c r="D49" s="390" t="inlineStr">
        <is>
          <t>100 шт</t>
        </is>
      </c>
      <c r="E49" s="447" t="n">
        <v>0.05</v>
      </c>
      <c r="F49" s="248" t="n">
        <v>30.74</v>
      </c>
      <c r="G49" s="207">
        <f>ROUND(E49*F49,2)</f>
        <v/>
      </c>
      <c r="H49" s="209">
        <f>G49/$G$56</f>
        <v/>
      </c>
      <c r="I49" s="207">
        <f>ROUND(F49*Прил.10!$D$13,2)</f>
        <v/>
      </c>
      <c r="J49" s="207">
        <f>ROUND(I49*E49,2)</f>
        <v/>
      </c>
    </row>
    <row r="50" hidden="1" outlineLevel="1" ht="14.25" customFormat="1" customHeight="1" s="297">
      <c r="A50" s="372" t="n">
        <v>22</v>
      </c>
      <c r="B50" s="264" t="inlineStr">
        <is>
          <t>01.3.01.05-0009</t>
        </is>
      </c>
      <c r="C50" s="265" t="inlineStr">
        <is>
          <t>Парафины нефтяные твердые марки Т-1</t>
        </is>
      </c>
      <c r="D50" s="390" t="inlineStr">
        <is>
          <t>т</t>
        </is>
      </c>
      <c r="E50" s="447" t="n">
        <v>0.0001</v>
      </c>
      <c r="F50" s="248" t="n">
        <v>8105.71</v>
      </c>
      <c r="G50" s="207">
        <f>ROUND(E50*F50,2)</f>
        <v/>
      </c>
      <c r="H50" s="209">
        <f>G50/$G$56</f>
        <v/>
      </c>
      <c r="I50" s="207">
        <f>ROUND(F50*Прил.10!$D$13,2)</f>
        <v/>
      </c>
      <c r="J50" s="207">
        <f>ROUND(I50*E50,2)</f>
        <v/>
      </c>
    </row>
    <row r="51" hidden="1" outlineLevel="1" ht="25.5" customFormat="1" customHeight="1" s="297">
      <c r="A51" s="372" t="n">
        <v>23</v>
      </c>
      <c r="B51" s="264" t="inlineStr">
        <is>
          <t>10.3.02.03-0013</t>
        </is>
      </c>
      <c r="C51" s="265" t="inlineStr">
        <is>
          <t>Припои оловянно-свинцовые бессурьмянистые марки: ПОС61</t>
        </is>
      </c>
      <c r="D51" s="390" t="inlineStr">
        <is>
          <t>кг</t>
        </is>
      </c>
      <c r="E51" s="447" t="n">
        <v>0.0039</v>
      </c>
      <c r="F51" s="248" t="n">
        <v>114.22</v>
      </c>
      <c r="G51" s="207">
        <f>ROUND(E51*F51,2)</f>
        <v/>
      </c>
      <c r="H51" s="209">
        <f>G51/$G$56</f>
        <v/>
      </c>
      <c r="I51" s="207">
        <f>ROUND(F51*Прил.10!$D$13,2)</f>
        <v/>
      </c>
      <c r="J51" s="207">
        <f>ROUND(I51*E51,2)</f>
        <v/>
      </c>
    </row>
    <row r="52" hidden="1" outlineLevel="1" ht="14.25" customFormat="1" customHeight="1" s="297">
      <c r="A52" s="372" t="n">
        <v>24</v>
      </c>
      <c r="B52" s="264" t="inlineStr">
        <is>
          <t>24.3.01.01-0002</t>
        </is>
      </c>
      <c r="C52" s="265" t="inlineStr">
        <is>
          <t>Трубка полихлорвиниловая</t>
        </is>
      </c>
      <c r="D52" s="390" t="inlineStr">
        <is>
          <t>кг</t>
        </is>
      </c>
      <c r="E52" s="447" t="n">
        <v>0.002</v>
      </c>
      <c r="F52" s="248" t="n">
        <v>35.7</v>
      </c>
      <c r="G52" s="207">
        <f>ROUND(E52*F52,2)</f>
        <v/>
      </c>
      <c r="H52" s="209">
        <f>G52/$G$56</f>
        <v/>
      </c>
      <c r="I52" s="207">
        <f>ROUND(F52*Прил.10!$D$13,2)</f>
        <v/>
      </c>
      <c r="J52" s="207">
        <f>ROUND(I52*E52,2)</f>
        <v/>
      </c>
    </row>
    <row r="53" hidden="1" outlineLevel="1" ht="25.5" customFormat="1" customHeight="1" s="297">
      <c r="A53" s="372" t="n">
        <v>25</v>
      </c>
      <c r="B53" s="264" t="inlineStr">
        <is>
          <t>01.3.01.07-0009</t>
        </is>
      </c>
      <c r="C53" s="265" t="inlineStr">
        <is>
          <t>Спирт этиловый ректификованный технический, сорт I</t>
        </is>
      </c>
      <c r="D53" s="390" t="inlineStr">
        <is>
          <t>кг</t>
        </is>
      </c>
      <c r="E53" s="447" t="n">
        <v>0.0015</v>
      </c>
      <c r="F53" s="248" t="n">
        <v>38.89</v>
      </c>
      <c r="G53" s="207">
        <f>ROUND(E53*F53,2)</f>
        <v/>
      </c>
      <c r="H53" s="209">
        <f>G53/$G$56</f>
        <v/>
      </c>
      <c r="I53" s="207">
        <f>ROUND(F53*Прил.10!$D$13,2)</f>
        <v/>
      </c>
      <c r="J53" s="207">
        <f>ROUND(I53*E53,2)</f>
        <v/>
      </c>
    </row>
    <row r="54" hidden="1" outlineLevel="1" ht="14.25" customFormat="1" customHeight="1" s="297">
      <c r="A54" s="372" t="n">
        <v>26</v>
      </c>
      <c r="B54" s="264" t="inlineStr">
        <is>
          <t>01.3.05.17-0002</t>
        </is>
      </c>
      <c r="C54" s="265" t="inlineStr">
        <is>
          <t>Канифоль сосновая</t>
        </is>
      </c>
      <c r="D54" s="390" t="inlineStr">
        <is>
          <t>кг</t>
        </is>
      </c>
      <c r="E54" s="447" t="n">
        <v>0.001</v>
      </c>
      <c r="F54" s="248" t="n">
        <v>27.74</v>
      </c>
      <c r="G54" s="207">
        <f>ROUND(E54*F54,2)</f>
        <v/>
      </c>
      <c r="H54" s="209">
        <f>G54/$G$56</f>
        <v/>
      </c>
      <c r="I54" s="207">
        <f>ROUND(F54*Прил.10!$D$13,2)</f>
        <v/>
      </c>
      <c r="J54" s="207">
        <f>ROUND(I54*E54,2)</f>
        <v/>
      </c>
    </row>
    <row r="55" collapsed="1" ht="14.25" customFormat="1" customHeight="1" s="297">
      <c r="A55" s="372" t="n"/>
      <c r="B55" s="372" t="n"/>
      <c r="C55" s="371" t="inlineStr">
        <is>
          <t>Итого прочие материалы</t>
        </is>
      </c>
      <c r="D55" s="372" t="n"/>
      <c r="E55" s="450" t="n"/>
      <c r="F55" s="374" t="n"/>
      <c r="G55" s="207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297">
      <c r="A56" s="372" t="n"/>
      <c r="B56" s="372" t="n"/>
      <c r="C56" s="361" t="inlineStr">
        <is>
          <t>Итого по разделу «Материалы»</t>
        </is>
      </c>
      <c r="D56" s="372" t="n"/>
      <c r="E56" s="373" t="n"/>
      <c r="F56" s="374" t="n"/>
      <c r="G56" s="207">
        <f>G37+G55</f>
        <v/>
      </c>
      <c r="H56" s="375">
        <f>G56/$G$56</f>
        <v/>
      </c>
      <c r="I56" s="207" t="n"/>
      <c r="J56" s="207">
        <f>J37+J55</f>
        <v/>
      </c>
    </row>
    <row r="57" ht="14.25" customFormat="1" customHeight="1" s="297">
      <c r="A57" s="372" t="n"/>
      <c r="B57" s="372" t="n"/>
      <c r="C57" s="371" t="inlineStr">
        <is>
          <t>ИТОГО ПО РМ</t>
        </is>
      </c>
      <c r="D57" s="372" t="n"/>
      <c r="E57" s="373" t="n"/>
      <c r="F57" s="374" t="n"/>
      <c r="G57" s="207">
        <f>G14+G27+G56</f>
        <v/>
      </c>
      <c r="H57" s="375" t="n"/>
      <c r="I57" s="207" t="n"/>
      <c r="J57" s="207">
        <f>J14+J27+J56</f>
        <v/>
      </c>
    </row>
    <row r="58" ht="14.25" customFormat="1" customHeight="1" s="297">
      <c r="A58" s="372" t="n"/>
      <c r="B58" s="372" t="n"/>
      <c r="C58" s="371" t="inlineStr">
        <is>
          <t>Накладные расходы</t>
        </is>
      </c>
      <c r="D58" s="203">
        <f>ROUND(G58/(G$16+$G$14),2)</f>
        <v/>
      </c>
      <c r="E58" s="373" t="n"/>
      <c r="F58" s="374" t="n"/>
      <c r="G58" s="207" t="n">
        <v>660.3099999999999</v>
      </c>
      <c r="H58" s="375" t="n"/>
      <c r="I58" s="207" t="n"/>
      <c r="J58" s="207">
        <f>ROUND(D58*(J14+J16),2)</f>
        <v/>
      </c>
    </row>
    <row r="59" ht="14.25" customFormat="1" customHeight="1" s="297">
      <c r="A59" s="372" t="n"/>
      <c r="B59" s="372" t="n"/>
      <c r="C59" s="371" t="inlineStr">
        <is>
          <t>Сметная прибыль</t>
        </is>
      </c>
      <c r="D59" s="203">
        <f>ROUND(G59/(G$14+G$16),2)</f>
        <v/>
      </c>
      <c r="E59" s="373" t="n"/>
      <c r="F59" s="374" t="n"/>
      <c r="G59" s="207" t="n">
        <v>452.02</v>
      </c>
      <c r="H59" s="375" t="n"/>
      <c r="I59" s="207" t="n"/>
      <c r="J59" s="207">
        <f>ROUND(D59*(J14+J16),2)</f>
        <v/>
      </c>
    </row>
    <row r="60" ht="14.25" customFormat="1" customHeight="1" s="297">
      <c r="A60" s="372" t="n"/>
      <c r="B60" s="372" t="n"/>
      <c r="C60" s="371" t="inlineStr">
        <is>
          <t>Итого СМР (с НР и СП)</t>
        </is>
      </c>
      <c r="D60" s="372" t="n"/>
      <c r="E60" s="373" t="n"/>
      <c r="F60" s="374" t="n"/>
      <c r="G60" s="207">
        <f>G14+G27+G56+G58+G59</f>
        <v/>
      </c>
      <c r="H60" s="375" t="n"/>
      <c r="I60" s="207" t="n"/>
      <c r="J60" s="207">
        <f>J14+J27+J56+J58+J59</f>
        <v/>
      </c>
    </row>
    <row r="61" ht="14.25" customFormat="1" customHeight="1" s="297">
      <c r="A61" s="372" t="n"/>
      <c r="B61" s="372" t="n"/>
      <c r="C61" s="371" t="inlineStr">
        <is>
          <t>ВСЕГО СМР + ОБОРУДОВАНИЕ</t>
        </is>
      </c>
      <c r="D61" s="372" t="n"/>
      <c r="E61" s="373" t="n"/>
      <c r="F61" s="374" t="n"/>
      <c r="G61" s="207">
        <f>G60+G32</f>
        <v/>
      </c>
      <c r="H61" s="375" t="n"/>
      <c r="I61" s="207" t="n"/>
      <c r="J61" s="207">
        <f>J60+J32</f>
        <v/>
      </c>
    </row>
    <row r="62" ht="34.5" customFormat="1" customHeight="1" s="297">
      <c r="A62" s="372" t="n"/>
      <c r="B62" s="372" t="n"/>
      <c r="C62" s="371" t="inlineStr">
        <is>
          <t>ИТОГО ПОКАЗАТЕЛЬ НА ЕД. ИЗМ.</t>
        </is>
      </c>
      <c r="D62" s="372" t="inlineStr">
        <is>
          <t>1км</t>
        </is>
      </c>
      <c r="E62" s="450" t="n">
        <v>1</v>
      </c>
      <c r="F62" s="374" t="n"/>
      <c r="G62" s="207">
        <f>G61/E62</f>
        <v/>
      </c>
      <c r="H62" s="375" t="n"/>
      <c r="I62" s="207" t="n"/>
      <c r="J62" s="207">
        <f>J61/E62</f>
        <v/>
      </c>
    </row>
    <row r="64" ht="14.25" customFormat="1" customHeight="1" s="297">
      <c r="A64" s="290" t="inlineStr">
        <is>
          <t>Составил ______________________    Д.Ю. Нефедова</t>
        </is>
      </c>
    </row>
    <row r="65" ht="14.25" customFormat="1" customHeight="1" s="297">
      <c r="A65" s="298" t="inlineStr">
        <is>
          <t xml:space="preserve">                         (подпись, инициалы, фамилия)</t>
        </is>
      </c>
    </row>
    <row r="66" ht="14.25" customFormat="1" customHeight="1" s="297">
      <c r="A66" s="290" t="n"/>
    </row>
    <row r="67" ht="14.25" customFormat="1" customHeight="1" s="297">
      <c r="A67" s="290" t="inlineStr">
        <is>
          <t>Проверил ______________________        А.В. Костянецкая</t>
        </is>
      </c>
    </row>
    <row r="68" ht="14.25" customFormat="1" customHeight="1" s="297">
      <c r="A68" s="298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4" workbookViewId="0">
      <selection activeCell="D20" sqref="D20"/>
    </sheetView>
  </sheetViews>
  <sheetFormatPr baseColWidth="8" defaultRowHeight="15"/>
  <cols>
    <col width="5.7109375" customWidth="1" style="318" min="1" max="1"/>
    <col width="17.5703125" customWidth="1" style="318" min="2" max="2"/>
    <col width="39.140625" customWidth="1" style="318" min="3" max="3"/>
    <col width="10.7109375" customWidth="1" style="318" min="4" max="4"/>
    <col width="13.85546875" customWidth="1" style="318" min="5" max="5"/>
    <col width="13.28515625" customWidth="1" style="318" min="6" max="6"/>
    <col width="14.140625" customWidth="1" style="318" min="7" max="7"/>
  </cols>
  <sheetData>
    <row r="1">
      <c r="A1" s="385" t="inlineStr">
        <is>
          <t>Приложение №6</t>
        </is>
      </c>
    </row>
    <row r="2" ht="21.75" customHeight="1" s="318">
      <c r="A2" s="385" t="n"/>
      <c r="B2" s="385" t="n"/>
      <c r="C2" s="385" t="n"/>
      <c r="D2" s="385" t="n"/>
      <c r="E2" s="385" t="n"/>
      <c r="F2" s="385" t="n"/>
      <c r="G2" s="385" t="n"/>
    </row>
    <row r="3">
      <c r="A3" s="340" t="inlineStr">
        <is>
          <t>Расчет стоимости оборудования</t>
        </is>
      </c>
    </row>
    <row r="4" ht="25.5" customHeight="1" s="318">
      <c r="A4" s="343" t="inlineStr">
        <is>
          <t>Наименование разрабатываемого показателя УНЦ — Контрольный (силовой) кабель, сечение жилы 10 мм2, количество жил 5 шт.</t>
        </is>
      </c>
    </row>
    <row r="5">
      <c r="A5" s="290" t="n"/>
      <c r="B5" s="290" t="n"/>
      <c r="C5" s="290" t="n"/>
      <c r="D5" s="290" t="n"/>
      <c r="E5" s="290" t="n"/>
      <c r="F5" s="290" t="n"/>
      <c r="G5" s="290" t="n"/>
    </row>
    <row r="6" ht="30.2" customHeight="1" s="318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72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36" t="n"/>
    </row>
    <row r="7">
      <c r="A7" s="438" t="n"/>
      <c r="B7" s="438" t="n"/>
      <c r="C7" s="438" t="n"/>
      <c r="D7" s="438" t="n"/>
      <c r="E7" s="438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18">
      <c r="A9" s="236" t="n"/>
      <c r="B9" s="371" t="inlineStr">
        <is>
          <t>ИНЖЕНЕРНОЕ ОБОРУДОВАНИЕ</t>
        </is>
      </c>
      <c r="C9" s="435" t="n"/>
      <c r="D9" s="435" t="n"/>
      <c r="E9" s="435" t="n"/>
      <c r="F9" s="435" t="n"/>
      <c r="G9" s="436" t="n"/>
    </row>
    <row r="10" ht="27" customHeight="1" s="318">
      <c r="A10" s="372" t="n"/>
      <c r="B10" s="361" t="n"/>
      <c r="C10" s="371" t="inlineStr">
        <is>
          <t>ИТОГО ИНЖЕНЕРНОЕ ОБОРУДОВАНИЕ</t>
        </is>
      </c>
      <c r="D10" s="361" t="n"/>
      <c r="E10" s="148" t="n"/>
      <c r="F10" s="374" t="n"/>
      <c r="G10" s="374" t="n">
        <v>0</v>
      </c>
    </row>
    <row r="11">
      <c r="A11" s="372" t="n"/>
      <c r="B11" s="371" t="inlineStr">
        <is>
          <t>ТЕХНОЛОГИЧЕСКОЕ ОБОРУДОВАНИЕ</t>
        </is>
      </c>
      <c r="C11" s="435" t="n"/>
      <c r="D11" s="435" t="n"/>
      <c r="E11" s="435" t="n"/>
      <c r="F11" s="435" t="n"/>
      <c r="G11" s="436" t="n"/>
    </row>
    <row r="12" ht="25.5" customHeight="1" s="318">
      <c r="A12" s="372" t="n"/>
      <c r="B12" s="371" t="n"/>
      <c r="C12" s="371" t="inlineStr">
        <is>
          <t>ИТОГО ТЕХНОЛОГИЧЕСКОЕ ОБОРУДОВАНИЕ</t>
        </is>
      </c>
      <c r="D12" s="371" t="n"/>
      <c r="E12" s="389" t="n"/>
      <c r="F12" s="374" t="n"/>
      <c r="G12" s="207" t="n">
        <v>0</v>
      </c>
    </row>
    <row r="13" ht="19.5" customHeight="1" s="318">
      <c r="A13" s="372" t="n"/>
      <c r="B13" s="371" t="n"/>
      <c r="C13" s="371" t="inlineStr">
        <is>
          <t>Всего по разделу «Оборудование»</t>
        </is>
      </c>
      <c r="D13" s="371" t="n"/>
      <c r="E13" s="389" t="n"/>
      <c r="F13" s="374" t="n"/>
      <c r="G13" s="207" t="n">
        <v>0</v>
      </c>
    </row>
    <row r="14">
      <c r="A14" s="295" t="n"/>
      <c r="B14" s="296" t="n"/>
      <c r="C14" s="295" t="n"/>
      <c r="D14" s="295" t="n"/>
      <c r="E14" s="295" t="n"/>
      <c r="F14" s="295" t="n"/>
      <c r="G14" s="295" t="n"/>
    </row>
    <row r="15">
      <c r="A15" s="290" t="inlineStr">
        <is>
          <t>Составил ______________________    Д.Ю. Нефедова</t>
        </is>
      </c>
      <c r="B15" s="297" t="n"/>
      <c r="C15" s="297" t="n"/>
      <c r="D15" s="295" t="n"/>
      <c r="E15" s="295" t="n"/>
      <c r="F15" s="295" t="n"/>
      <c r="G15" s="295" t="n"/>
    </row>
    <row r="16">
      <c r="A16" s="298" t="inlineStr">
        <is>
          <t xml:space="preserve">                         (подпись, инициалы, фамилия)</t>
        </is>
      </c>
      <c r="B16" s="297" t="n"/>
      <c r="C16" s="297" t="n"/>
      <c r="D16" s="295" t="n"/>
      <c r="E16" s="295" t="n"/>
      <c r="F16" s="295" t="n"/>
      <c r="G16" s="295" t="n"/>
    </row>
    <row r="17">
      <c r="A17" s="290" t="n"/>
      <c r="B17" s="297" t="n"/>
      <c r="C17" s="297" t="n"/>
      <c r="D17" s="295" t="n"/>
      <c r="E17" s="295" t="n"/>
      <c r="F17" s="295" t="n"/>
      <c r="G17" s="295" t="n"/>
    </row>
    <row r="18">
      <c r="A18" s="290" t="inlineStr">
        <is>
          <t>Проверил ______________________        А.В. Костянецкая</t>
        </is>
      </c>
      <c r="B18" s="297" t="n"/>
      <c r="C18" s="297" t="n"/>
      <c r="D18" s="295" t="n"/>
      <c r="E18" s="295" t="n"/>
      <c r="F18" s="295" t="n"/>
      <c r="G18" s="295" t="n"/>
    </row>
    <row r="19">
      <c r="A19" s="298" t="inlineStr">
        <is>
          <t xml:space="preserve">                        (подпись, инициалы, фамилия)</t>
        </is>
      </c>
      <c r="B19" s="297" t="n"/>
      <c r="C19" s="297" t="n"/>
      <c r="D19" s="295" t="n"/>
      <c r="E19" s="295" t="n"/>
      <c r="F19" s="295" t="n"/>
      <c r="G19" s="29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4" workbookViewId="0">
      <selection activeCell="C14" sqref="C14"/>
    </sheetView>
  </sheetViews>
  <sheetFormatPr baseColWidth="8" defaultColWidth="8.85546875" defaultRowHeight="15"/>
  <cols>
    <col width="14.42578125" customWidth="1" style="318" min="1" max="1"/>
    <col width="29.5703125" customWidth="1" style="318" min="2" max="2"/>
    <col width="39.140625" customWidth="1" style="318" min="3" max="3"/>
    <col width="48.140625" customWidth="1" style="318" min="4" max="4"/>
    <col width="8.85546875" customWidth="1" style="318" min="5" max="5"/>
  </cols>
  <sheetData>
    <row r="1">
      <c r="B1" s="290" t="n"/>
      <c r="C1" s="290" t="n"/>
      <c r="D1" s="385" t="inlineStr">
        <is>
          <t>Приложение №7</t>
        </is>
      </c>
    </row>
    <row r="2">
      <c r="A2" s="385" t="n"/>
      <c r="B2" s="385" t="n"/>
      <c r="C2" s="385" t="n"/>
      <c r="D2" s="385" t="n"/>
    </row>
    <row r="3" ht="24.75" customHeight="1" s="318">
      <c r="A3" s="340" t="inlineStr">
        <is>
          <t>Расчет показателя УНЦ</t>
        </is>
      </c>
    </row>
    <row r="4" ht="24.75" customHeight="1" s="318">
      <c r="A4" s="340" t="n"/>
      <c r="B4" s="340" t="n"/>
      <c r="C4" s="340" t="n"/>
      <c r="D4" s="340" t="n"/>
    </row>
    <row r="5" ht="24.6" customHeight="1" s="318">
      <c r="A5" s="343" t="inlineStr">
        <is>
          <t xml:space="preserve">Наименование разрабатываемого показателя УНЦ - </t>
        </is>
      </c>
      <c r="D5" s="343">
        <f>'Прил.5 Расчет СМР и ОБ'!D6:J6</f>
        <v/>
      </c>
    </row>
    <row r="6" ht="19.9" customHeight="1" s="318">
      <c r="A6" s="343" t="inlineStr">
        <is>
          <t>Единица измерения  — 1 км</t>
        </is>
      </c>
      <c r="D6" s="343" t="n"/>
    </row>
    <row r="7">
      <c r="A7" s="290" t="n"/>
      <c r="B7" s="290" t="n"/>
      <c r="C7" s="290" t="n"/>
      <c r="D7" s="290" t="n"/>
    </row>
    <row r="8" ht="14.45" customHeight="1" s="318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 ht="15" customHeight="1" s="318">
      <c r="A9" s="438" t="n"/>
      <c r="B9" s="438" t="n"/>
      <c r="C9" s="438" t="n"/>
      <c r="D9" s="438" t="n"/>
    </row>
    <row r="10">
      <c r="A10" s="372" t="n">
        <v>1</v>
      </c>
      <c r="B10" s="372" t="n">
        <v>2</v>
      </c>
      <c r="C10" s="372" t="n">
        <v>3</v>
      </c>
      <c r="D10" s="372" t="n">
        <v>4</v>
      </c>
    </row>
    <row r="11" ht="41.45" customHeight="1" s="318">
      <c r="A11" s="372" t="inlineStr">
        <is>
          <t>Н3-05-02</t>
        </is>
      </c>
      <c r="B11" s="372" t="inlineStr">
        <is>
          <t xml:space="preserve">УНЦ контрольного (силового) кабеля </t>
        </is>
      </c>
      <c r="C11" s="292">
        <f>D5</f>
        <v/>
      </c>
      <c r="D11" s="293">
        <f>'Прил.4 РМ'!C41/1000</f>
        <v/>
      </c>
      <c r="E11" s="294" t="n"/>
    </row>
    <row r="12">
      <c r="A12" s="295" t="n"/>
      <c r="B12" s="296" t="n"/>
      <c r="C12" s="295" t="n"/>
      <c r="D12" s="295" t="n"/>
    </row>
    <row r="13">
      <c r="A13" s="290" t="inlineStr">
        <is>
          <t>Составил ______________________      Д.Ю. Нефедова</t>
        </is>
      </c>
      <c r="B13" s="297" t="n"/>
      <c r="C13" s="297" t="n"/>
      <c r="D13" s="295" t="n"/>
    </row>
    <row r="14">
      <c r="A14" s="298" t="inlineStr">
        <is>
          <t xml:space="preserve">                         (подпись, инициалы, фамилия)</t>
        </is>
      </c>
      <c r="B14" s="297" t="n"/>
      <c r="C14" s="297" t="n"/>
      <c r="D14" s="295" t="n"/>
    </row>
    <row r="15">
      <c r="A15" s="290" t="n"/>
      <c r="B15" s="297" t="n"/>
      <c r="C15" s="297" t="n"/>
      <c r="D15" s="295" t="n"/>
    </row>
    <row r="16">
      <c r="A16" s="290" t="inlineStr">
        <is>
          <t>Проверил ______________________        А.В. Костянецкая</t>
        </is>
      </c>
      <c r="B16" s="297" t="n"/>
      <c r="C16" s="297" t="n"/>
      <c r="D16" s="295" t="n"/>
    </row>
    <row r="17">
      <c r="A17" s="298" t="inlineStr">
        <is>
          <t xml:space="preserve">                        (подпись, инициалы, фамилия)</t>
        </is>
      </c>
      <c r="B17" s="297" t="n"/>
      <c r="C17" s="297" t="n"/>
      <c r="D17" s="29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3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18" min="1" max="1"/>
    <col width="40.7109375" customWidth="1" style="318" min="2" max="2"/>
    <col width="37" customWidth="1" style="318" min="3" max="3"/>
    <col width="32" customWidth="1" style="318" min="4" max="4"/>
    <col width="9.140625" customWidth="1" style="318" min="5" max="5"/>
  </cols>
  <sheetData>
    <row r="4" ht="15.75" customHeight="1" s="318">
      <c r="B4" s="351" t="inlineStr">
        <is>
          <t>Приложение № 10</t>
        </is>
      </c>
    </row>
    <row r="5" ht="18.75" customHeight="1" s="318">
      <c r="B5" s="172" t="n"/>
    </row>
    <row r="6" ht="15.75" customHeight="1" s="318">
      <c r="B6" s="356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18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18">
      <c r="B10" s="357" t="n">
        <v>1</v>
      </c>
      <c r="C10" s="357" t="n">
        <v>2</v>
      </c>
      <c r="D10" s="357" t="n">
        <v>3</v>
      </c>
    </row>
    <row r="11" ht="45" customHeight="1" s="318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29.25" customHeight="1" s="318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13.47</v>
      </c>
    </row>
    <row r="13" ht="29.25" customHeight="1" s="318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8.039999999999999</v>
      </c>
    </row>
    <row r="14" ht="30.75" customHeight="1" s="318">
      <c r="B14" s="357" t="inlineStr">
        <is>
          <t>Индекс изменения сметной стоимости на 1 квартал 2023 года. ОБ</t>
        </is>
      </c>
      <c r="C14" s="281" t="inlineStr">
        <is>
          <t>Письмо Минстроя России от 23.02.2023г. №9791-ИФ/09 прил.6</t>
        </is>
      </c>
      <c r="D14" s="357" t="n">
        <v>6.26</v>
      </c>
    </row>
    <row r="15" ht="89.45" customHeight="1" s="318">
      <c r="B15" s="357" t="inlineStr">
        <is>
          <t>Временные здания и сооружения</t>
        </is>
      </c>
      <c r="C15" s="357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18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18">
      <c r="B17" s="357" t="inlineStr">
        <is>
          <t>Строительный контроль</t>
        </is>
      </c>
      <c r="C17" s="357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18">
      <c r="B18" s="357" t="inlineStr">
        <is>
          <t>Авторский надзор - 0,2%</t>
        </is>
      </c>
      <c r="C18" s="357" t="inlineStr">
        <is>
          <t>Приказ от 4.08.2020 № 421/пр п.173</t>
        </is>
      </c>
      <c r="D18" s="175" t="n">
        <v>0.002</v>
      </c>
    </row>
    <row r="19" ht="24" customHeight="1" s="318">
      <c r="B19" s="357" t="inlineStr">
        <is>
          <t>Непредвиденные расходы</t>
        </is>
      </c>
      <c r="C19" s="357" t="inlineStr">
        <is>
          <t>Приказ от 4.08.2020 № 421/пр п.179</t>
        </is>
      </c>
      <c r="D19" s="175" t="n">
        <v>0.03</v>
      </c>
    </row>
    <row r="20" ht="18.75" customHeight="1" s="318">
      <c r="B20" s="275" t="n"/>
    </row>
    <row r="21" ht="18.75" customHeight="1" s="318">
      <c r="B21" s="275" t="n"/>
    </row>
    <row r="22" ht="18.75" customHeight="1" s="318">
      <c r="B22" s="275" t="n"/>
    </row>
    <row r="23" ht="18.75" customHeight="1" s="318">
      <c r="B23" s="275" t="n"/>
    </row>
    <row r="26">
      <c r="B26" s="290" t="inlineStr">
        <is>
          <t>Составил ______________________        Д.Ю. Нефедова</t>
        </is>
      </c>
      <c r="C26" s="297" t="n"/>
    </row>
    <row r="27">
      <c r="B27" s="298" t="inlineStr">
        <is>
          <t xml:space="preserve">                         (подпись, инициалы, фамилия)</t>
        </is>
      </c>
      <c r="C27" s="297" t="n"/>
    </row>
    <row r="28">
      <c r="B28" s="290" t="n"/>
      <c r="C28" s="297" t="n"/>
    </row>
    <row r="29">
      <c r="B29" s="290" t="inlineStr">
        <is>
          <t>Проверил ______________________        А.В. Костянецкая</t>
        </is>
      </c>
      <c r="C29" s="297" t="n"/>
    </row>
    <row r="30">
      <c r="B30" s="298" t="inlineStr">
        <is>
          <t xml:space="preserve">                        (подпись, инициалы, фамилия)</t>
        </is>
      </c>
      <c r="C30" s="29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K12" sqref="K12"/>
    </sheetView>
  </sheetViews>
  <sheetFormatPr baseColWidth="8" defaultColWidth="9.140625" defaultRowHeight="15"/>
  <cols>
    <col width="44.85546875" customWidth="1" style="318" min="2" max="2"/>
    <col width="13" customWidth="1" style="318" min="3" max="3"/>
    <col width="22.85546875" customWidth="1" style="318" min="4" max="4"/>
    <col width="21.5703125" customWidth="1" style="318" min="5" max="5"/>
    <col width="43.85546875" customWidth="1" style="318" min="6" max="6"/>
  </cols>
  <sheetData>
    <row r="1" s="318"/>
    <row r="2" ht="17.25" customHeight="1" s="318">
      <c r="A2" s="356" t="inlineStr">
        <is>
          <t>Расчет размера средств на оплату труда рабочих-строителей в текущем уровне цен (ФОТр.тек.)</t>
        </is>
      </c>
    </row>
    <row r="3" s="318"/>
    <row r="4" ht="18" customHeight="1" s="318">
      <c r="A4" s="319" t="inlineStr">
        <is>
          <t>Составлен в уровне цен на 01.01.2023 г.</t>
        </is>
      </c>
      <c r="B4" s="320" t="n"/>
      <c r="C4" s="320" t="n"/>
      <c r="D4" s="320" t="n"/>
      <c r="E4" s="320" t="n"/>
      <c r="F4" s="320" t="n"/>
      <c r="G4" s="320" t="n"/>
    </row>
    <row r="5" ht="15.75" customHeight="1" s="318">
      <c r="A5" s="321" t="inlineStr">
        <is>
          <t>№ пп.</t>
        </is>
      </c>
      <c r="B5" s="321" t="inlineStr">
        <is>
          <t>Наименование элемента</t>
        </is>
      </c>
      <c r="C5" s="321" t="inlineStr">
        <is>
          <t>Обозначение</t>
        </is>
      </c>
      <c r="D5" s="321" t="inlineStr">
        <is>
          <t>Формула</t>
        </is>
      </c>
      <c r="E5" s="321" t="inlineStr">
        <is>
          <t>Величина элемента</t>
        </is>
      </c>
      <c r="F5" s="321" t="inlineStr">
        <is>
          <t>Наименования обосновывающих документов</t>
        </is>
      </c>
      <c r="G5" s="320" t="n"/>
    </row>
    <row r="6" ht="15.75" customHeight="1" s="318">
      <c r="A6" s="321" t="n">
        <v>1</v>
      </c>
      <c r="B6" s="321" t="n">
        <v>2</v>
      </c>
      <c r="C6" s="321" t="n">
        <v>3</v>
      </c>
      <c r="D6" s="321" t="n">
        <v>4</v>
      </c>
      <c r="E6" s="321" t="n">
        <v>5</v>
      </c>
      <c r="F6" s="321" t="n">
        <v>6</v>
      </c>
      <c r="G6" s="320" t="n"/>
    </row>
    <row r="7" ht="110.25" customHeight="1" s="318">
      <c r="A7" s="322" t="inlineStr">
        <is>
          <t>1.1</t>
        </is>
      </c>
      <c r="B7" s="3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25" t="n">
        <v>47872.94</v>
      </c>
      <c r="F7" s="3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0" t="n"/>
    </row>
    <row r="8" ht="31.5" customHeight="1" s="318">
      <c r="A8" s="322" t="inlineStr">
        <is>
          <t>1.2</t>
        </is>
      </c>
      <c r="B8" s="327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26">
        <f>1973/12</f>
        <v/>
      </c>
      <c r="F8" s="327" t="inlineStr">
        <is>
          <t>Производственный календарь 2023 год
(40-часов.неделя)</t>
        </is>
      </c>
      <c r="G8" s="329" t="n"/>
    </row>
    <row r="9" ht="15.75" customHeight="1" s="318">
      <c r="A9" s="322" t="inlineStr">
        <is>
          <t>1.3</t>
        </is>
      </c>
      <c r="B9" s="327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26" t="n">
        <v>1</v>
      </c>
      <c r="F9" s="327" t="n"/>
      <c r="G9" s="329" t="n"/>
    </row>
    <row r="10" ht="15.75" customHeight="1" s="318">
      <c r="A10" s="322" t="inlineStr">
        <is>
          <t>1.4</t>
        </is>
      </c>
      <c r="B10" s="327" t="inlineStr">
        <is>
          <t>Средний разряд работ</t>
        </is>
      </c>
      <c r="C10" s="357" t="n"/>
      <c r="D10" s="357" t="n"/>
      <c r="E10" s="330" t="n">
        <v>3.9</v>
      </c>
      <c r="F10" s="327" t="inlineStr">
        <is>
          <t>РТМ</t>
        </is>
      </c>
      <c r="G10" s="329" t="n"/>
    </row>
    <row r="11" ht="78.75" customHeight="1" s="318">
      <c r="A11" s="322" t="inlineStr">
        <is>
          <t>1.5</t>
        </is>
      </c>
      <c r="B11" s="327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331" t="n">
        <v>1.324</v>
      </c>
      <c r="F11" s="3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0" t="n"/>
    </row>
    <row r="12" ht="78.75" customHeight="1" s="318">
      <c r="A12" s="322" t="inlineStr">
        <is>
          <t>1.6</t>
        </is>
      </c>
      <c r="B12" s="332" t="inlineStr">
        <is>
          <t>Коэффициент инфляции, определяемый поквартально</t>
        </is>
      </c>
      <c r="C12" s="357" t="inlineStr">
        <is>
          <t>Кинф</t>
        </is>
      </c>
      <c r="D12" s="357" t="inlineStr">
        <is>
          <t>-</t>
        </is>
      </c>
      <c r="E12" s="454" t="n">
        <v>1.139</v>
      </c>
      <c r="F12" s="3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9" t="n"/>
    </row>
    <row r="13" ht="63" customHeight="1" s="318">
      <c r="A13" s="335" t="inlineStr">
        <is>
          <t>1.7</t>
        </is>
      </c>
      <c r="B13" s="336" t="inlineStr">
        <is>
          <t>Размер средств на оплату труда рабочих-строителей в текущем уровне цен (ФОТр.тек.), руб/чел.-ч</t>
        </is>
      </c>
      <c r="C13" s="358" t="inlineStr">
        <is>
          <t>ФОТр.тек.</t>
        </is>
      </c>
      <c r="D13" s="358" t="inlineStr">
        <is>
          <t>(С1ср/tср*КТ*Т*Кув)*Кинф</t>
        </is>
      </c>
      <c r="E13" s="338">
        <f>((E7*E9/E8)*E11)*E12</f>
        <v/>
      </c>
      <c r="F13" s="3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2025-01-24T12:12:33Z</dcterms:modified>
  <cp:lastModifiedBy>REDMIBOOK</cp:lastModifiedBy>
  <cp:lastPrinted>2023-12-01T10:29:27Z</cp:lastPrinted>
</cp:coreProperties>
</file>