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30" sqref="C30"/>
    </sheetView>
  </sheetViews>
  <sheetFormatPr baseColWidth="8" defaultColWidth="9.140625" defaultRowHeight="15.75"/>
  <cols>
    <col width="9.140625" customWidth="1" style="208" min="1" max="2"/>
    <col width="51.7109375" customWidth="1" style="208" min="3" max="3"/>
    <col width="47" customWidth="1" style="208" min="4" max="4"/>
    <col width="37.42578125" customWidth="1" style="208" min="5" max="5"/>
    <col width="9.140625" customWidth="1" style="208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.2" customHeight="1" s="206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6">
      <c r="B6" s="162" t="n"/>
      <c r="C6" s="162" t="n"/>
      <c r="D6" s="162" t="n"/>
    </row>
    <row r="7" ht="64.5" customHeight="1" s="206">
      <c r="B7" s="237" t="inlineStr">
        <is>
          <t xml:space="preserve">Наименование разрабатываемого показателя УНЦ - Кабельные сооружения с трубами, диаметр трубы 225-300 мм </t>
        </is>
      </c>
    </row>
    <row r="8" ht="31.7" customHeight="1" s="206">
      <c r="B8" s="237" t="inlineStr">
        <is>
          <t>Сопоставимый уровень цен: 3 кв. 2017</t>
        </is>
      </c>
    </row>
    <row r="9" ht="15.75" customHeight="1" s="206">
      <c r="B9" s="237" t="inlineStr">
        <is>
          <t>Единица измерения  — 1 км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5" t="n"/>
    </row>
    <row r="12" ht="96.75" customHeight="1" s="206">
      <c r="B12" s="240" t="n">
        <v>1</v>
      </c>
      <c r="C12" s="220" t="inlineStr">
        <is>
          <t>Наименование объекта-представителя</t>
        </is>
      </c>
      <c r="D12" s="240" t="inlineStr">
        <is>
          <t>КЛ 220 кВ Хованская-Лесная, 1 и 2 цепь</t>
        </is>
      </c>
    </row>
    <row r="13">
      <c r="B13" s="240" t="n">
        <v>2</v>
      </c>
      <c r="C13" s="220" t="inlineStr">
        <is>
          <t>Наименование субъекта Российской Федерации</t>
        </is>
      </c>
      <c r="D13" s="240" t="inlineStr">
        <is>
          <t>г. Москва, Московская обл.</t>
        </is>
      </c>
    </row>
    <row r="14">
      <c r="B14" s="240" t="n">
        <v>3</v>
      </c>
      <c r="C14" s="220" t="inlineStr">
        <is>
          <t>Климатический район и подрайон</t>
        </is>
      </c>
      <c r="D14" s="240" t="inlineStr">
        <is>
          <t>IIВ</t>
        </is>
      </c>
    </row>
    <row r="15">
      <c r="B15" s="240" t="n">
        <v>4</v>
      </c>
      <c r="C15" s="220" t="inlineStr">
        <is>
          <t>Мощность объекта</t>
        </is>
      </c>
      <c r="D15" s="180" t="n">
        <v>2.656</v>
      </c>
    </row>
    <row r="16" ht="116.45" customHeight="1" s="206">
      <c r="B16" s="24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Труба: ПЭ 100 наружный диаметр 110 мм</t>
        </is>
      </c>
    </row>
    <row r="17" ht="79.5" customHeight="1" s="206">
      <c r="B17" s="24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SUM(D18:D21)</f>
        <v/>
      </c>
      <c r="E17" s="161" t="n"/>
    </row>
    <row r="18">
      <c r="B18" s="204" t="inlineStr">
        <is>
          <t>6.1</t>
        </is>
      </c>
      <c r="C18" s="220" t="inlineStr">
        <is>
          <t>строительно-монтажные работы</t>
        </is>
      </c>
      <c r="D18" s="197">
        <f>451345.07+1490797.27</f>
        <v/>
      </c>
    </row>
    <row r="19" ht="15.75" customHeight="1" s="206">
      <c r="B19" s="204" t="inlineStr">
        <is>
          <t>6.2</t>
        </is>
      </c>
      <c r="C19" s="220" t="inlineStr">
        <is>
          <t>оборудование и инвентарь</t>
        </is>
      </c>
      <c r="D19" s="197" t="n">
        <v>2914.35</v>
      </c>
    </row>
    <row r="20" ht="16.5" customHeight="1" s="206">
      <c r="B20" s="204" t="inlineStr">
        <is>
          <t>6.3</t>
        </is>
      </c>
      <c r="C20" s="220" t="inlineStr">
        <is>
          <t>пусконаладочные работы</t>
        </is>
      </c>
      <c r="D20" s="197" t="n"/>
    </row>
    <row r="21" ht="35.45" customHeight="1" s="206">
      <c r="B21" s="204" t="inlineStr">
        <is>
          <t>6.4</t>
        </is>
      </c>
      <c r="C21" s="143" t="inlineStr">
        <is>
          <t>прочие и лимитированные затраты</t>
        </is>
      </c>
      <c r="D21" s="197">
        <f>23598.78+D18*2.2%+(D18+D18*2.2%)*0</f>
        <v/>
      </c>
    </row>
    <row r="22">
      <c r="B22" s="240" t="n">
        <v>7</v>
      </c>
      <c r="C22" s="143" t="inlineStr">
        <is>
          <t>Сопоставимый уровень цен</t>
        </is>
      </c>
      <c r="D22" s="198" t="inlineStr">
        <is>
          <t>3 кв. 2017</t>
        </is>
      </c>
      <c r="E22" s="141" t="n"/>
    </row>
    <row r="23" ht="123" customHeight="1" s="206">
      <c r="B23" s="240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1" t="n"/>
    </row>
    <row r="24" ht="60.75" customHeight="1" s="206">
      <c r="B24" s="24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41" t="n"/>
    </row>
    <row r="25" ht="48.2" customHeight="1" s="206">
      <c r="B25" s="240" t="n">
        <v>10</v>
      </c>
      <c r="C25" s="220" t="inlineStr">
        <is>
          <t>Примечание</t>
        </is>
      </c>
      <c r="D25" s="240" t="n"/>
    </row>
    <row r="26">
      <c r="B26" s="140" t="n"/>
      <c r="C26" s="139" t="n"/>
      <c r="D26" s="139" t="n"/>
    </row>
    <row r="27" ht="37.5" customHeight="1" s="206">
      <c r="B27" s="138" t="n"/>
    </row>
    <row r="28">
      <c r="B28" s="208" t="inlineStr">
        <is>
          <t>Составил ______________________    Д.Ю. Нефедова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08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31"/>
  <sheetViews>
    <sheetView view="pageBreakPreview" zoomScaleNormal="70" workbookViewId="0">
      <selection activeCell="E24" sqref="E24"/>
    </sheetView>
  </sheetViews>
  <sheetFormatPr baseColWidth="8" defaultColWidth="9.140625" defaultRowHeight="15.75"/>
  <cols>
    <col width="5.5703125" customWidth="1" style="208" min="1" max="1"/>
    <col width="9.140625" customWidth="1" style="208" min="2" max="2"/>
    <col width="35.28515625" customWidth="1" style="208" min="3" max="3"/>
    <col width="13.85546875" customWidth="1" style="208" min="4" max="4"/>
    <col width="24.85546875" customWidth="1" style="208" min="5" max="5"/>
    <col width="15.5703125" customWidth="1" style="208" min="6" max="6"/>
    <col width="14.85546875" customWidth="1" style="208" min="7" max="7"/>
    <col width="16.140625" customWidth="1" style="208" min="8" max="8"/>
    <col width="12.140625" customWidth="1" style="208" min="9" max="9"/>
    <col width="14.140625" customWidth="1" style="208" min="10" max="10"/>
    <col width="18" customWidth="1" style="208" min="11" max="11"/>
    <col width="9.140625" customWidth="1" style="208" min="12" max="12"/>
  </cols>
  <sheetData>
    <row r="3">
      <c r="B3" s="235" t="inlineStr">
        <is>
          <t>Приложение № 2</t>
        </is>
      </c>
      <c r="K3" s="138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06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6">
      <c r="B8" s="116" t="n"/>
    </row>
    <row r="9" ht="15.75" customFormat="1" customHeight="1" s="208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Format="1" customHeight="1" s="208">
      <c r="B10" s="321" t="n"/>
      <c r="C10" s="321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2017 г., тыс. руб.</t>
        </is>
      </c>
      <c r="G10" s="319" t="n"/>
      <c r="H10" s="319" t="n"/>
      <c r="I10" s="319" t="n"/>
      <c r="J10" s="320" t="n"/>
    </row>
    <row r="11" ht="31.5" customFormat="1" customHeight="1" s="208">
      <c r="B11" s="322" t="n"/>
      <c r="C11" s="322" t="n"/>
      <c r="D11" s="322" t="n"/>
      <c r="E11" s="322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customFormat="1" s="208">
      <c r="B12" s="240" t="n">
        <v>1</v>
      </c>
      <c r="C12" s="240" t="inlineStr">
        <is>
          <t>Труба: ПЭ 100 наружный диаметр 110 мм</t>
        </is>
      </c>
      <c r="D12" s="204" t="inlineStr">
        <is>
          <t>02-01-01</t>
        </is>
      </c>
      <c r="E12" s="220" t="inlineStr">
        <is>
          <t>Прокладка КЛ  220  кВ.</t>
        </is>
      </c>
      <c r="F12" s="323" t="n">
        <v>59262.65</v>
      </c>
      <c r="G12" s="323" t="n">
        <v>1471997.48</v>
      </c>
      <c r="H12" s="323" t="n">
        <v>2914.35</v>
      </c>
      <c r="I12" s="323" t="n">
        <v>23202.76</v>
      </c>
      <c r="J12" s="323">
        <f>SUM(F12:I12)</f>
        <v/>
      </c>
      <c r="K12" s="324" t="n"/>
      <c r="L12" s="324" t="n"/>
      <c r="M12" s="324" t="n"/>
    </row>
    <row r="13" ht="31.5" customFormat="1" customHeight="1" s="208">
      <c r="B13" s="321" t="n"/>
      <c r="C13" s="321" t="n"/>
      <c r="D13" s="204" t="inlineStr">
        <is>
          <t>02-01-02</t>
        </is>
      </c>
      <c r="E13" s="220" t="inlineStr">
        <is>
          <t xml:space="preserve">Устройство закрытого перехода методом ГНБ </t>
        </is>
      </c>
      <c r="F13" s="323" t="n">
        <v>386425.61</v>
      </c>
      <c r="G13" s="323" t="n">
        <v>2085.95</v>
      </c>
      <c r="H13" s="323" t="n"/>
      <c r="I13" s="323" t="n">
        <v>396.02</v>
      </c>
      <c r="J13" s="323">
        <f>SUM(F13:I13)</f>
        <v/>
      </c>
      <c r="K13" s="324" t="n"/>
      <c r="L13" s="324" t="n"/>
      <c r="M13" s="324" t="n"/>
    </row>
    <row r="14" ht="47.25" customFormat="1" customHeight="1" s="208">
      <c r="B14" s="321" t="n"/>
      <c r="C14" s="321" t="n"/>
      <c r="D14" s="204" t="inlineStr">
        <is>
          <t>02-01-03</t>
        </is>
      </c>
      <c r="E14" s="220" t="inlineStr">
        <is>
          <t xml:space="preserve"> Заходы ВОЛС на ПС "Лесная" и ПС "Хованская"</t>
        </is>
      </c>
      <c r="F14" s="323" t="n">
        <v>4385.5</v>
      </c>
      <c r="G14" s="323" t="n">
        <v>6800.05</v>
      </c>
      <c r="H14" s="323" t="n"/>
      <c r="I14" s="323" t="n"/>
      <c r="J14" s="323">
        <f>SUM(F14:I14)</f>
        <v/>
      </c>
      <c r="K14" s="324" t="n"/>
    </row>
    <row r="15" ht="78.75" customFormat="1" customHeight="1" s="208">
      <c r="B15" s="322" t="n"/>
      <c r="C15" s="322" t="n"/>
      <c r="D15" s="204" t="inlineStr">
        <is>
          <t>02-01-04</t>
        </is>
      </c>
      <c r="E15" s="220" t="inlineStr">
        <is>
          <t xml:space="preserve"> Устройство транспозиционных колодцев кабельной трассы Лесная-Хованская. Муфта № 12</t>
        </is>
      </c>
      <c r="F15" s="323" t="n">
        <v>1271.31</v>
      </c>
      <c r="G15" s="323" t="n">
        <v>9913.790000000001</v>
      </c>
      <c r="H15" s="323" t="n"/>
      <c r="I15" s="323" t="n"/>
      <c r="J15" s="323">
        <f>SUM(F15:I15)</f>
        <v/>
      </c>
      <c r="K15" s="324" t="n"/>
    </row>
    <row r="16" ht="15.6" customFormat="1" customHeight="1" s="208">
      <c r="B16" s="239" t="inlineStr">
        <is>
          <t>Всего по объекту:</t>
        </is>
      </c>
      <c r="C16" s="319" t="n"/>
      <c r="D16" s="319" t="n"/>
      <c r="E16" s="320" t="n"/>
      <c r="F16" s="325">
        <f>SUM(F12:F15)</f>
        <v/>
      </c>
      <c r="G16" s="325">
        <f>SUM(G12:G15)</f>
        <v/>
      </c>
      <c r="H16" s="325">
        <f>SUM(H12:H15)</f>
        <v/>
      </c>
      <c r="I16" s="325">
        <f>SUM(I12:I15)</f>
        <v/>
      </c>
      <c r="J16" s="325">
        <f>SUM(F16:I16)</f>
        <v/>
      </c>
    </row>
    <row r="17" ht="28.5" customFormat="1" customHeight="1" s="208">
      <c r="B17" s="239" t="inlineStr">
        <is>
          <t>Всего по объекту в сопоставимом уровне цен 3 кв. 2017 г:</t>
        </is>
      </c>
      <c r="C17" s="319" t="n"/>
      <c r="D17" s="319" t="n"/>
      <c r="E17" s="320" t="n"/>
      <c r="F17" s="326">
        <f>F16</f>
        <v/>
      </c>
      <c r="G17" s="326">
        <f>G16</f>
        <v/>
      </c>
      <c r="H17" s="326">
        <f>H16</f>
        <v/>
      </c>
      <c r="I17" s="326">
        <f>I16</f>
        <v/>
      </c>
      <c r="J17" s="326">
        <f>SUM(F17:I17)</f>
        <v/>
      </c>
    </row>
    <row r="18" ht="15.6" customFormat="1" customHeight="1" s="208">
      <c r="B18" s="237" t="n"/>
    </row>
    <row r="19" ht="15.6" customFormat="1" customHeight="1" s="208"/>
    <row r="20" ht="15.6" customFormat="1" customHeight="1" s="208"/>
    <row r="21" ht="15.6" customFormat="1" customHeight="1" s="208">
      <c r="C21" s="208" t="inlineStr">
        <is>
          <t>Составил ______________________         Д.Ю. Нефедова</t>
        </is>
      </c>
    </row>
    <row r="22" ht="15.6" customFormat="1" customHeight="1" s="208">
      <c r="C22" s="138" t="inlineStr">
        <is>
          <t xml:space="preserve">                         (подпись, инициалы, фамилия)</t>
        </is>
      </c>
    </row>
    <row r="23" ht="15.6" customFormat="1" customHeight="1" s="208"/>
    <row r="24" ht="15.6" customFormat="1" customHeight="1" s="208">
      <c r="C24" s="208" t="inlineStr">
        <is>
          <t>Проверил ______________________         А.В. Костянецкая</t>
        </is>
      </c>
    </row>
    <row r="25" ht="15.6" customFormat="1" customHeight="1" s="208">
      <c r="C25" s="138" t="inlineStr">
        <is>
          <t xml:space="preserve">                        (подпись, инициалы, фамилия)</t>
        </is>
      </c>
    </row>
    <row r="26" ht="15.6" customFormat="1" customHeight="1" s="208"/>
    <row r="27" ht="15" customHeight="1" s="206"/>
    <row r="28" ht="15" customHeight="1" s="206"/>
    <row r="29" ht="15" customHeight="1" s="206"/>
    <row r="30" ht="15" customHeight="1" s="206"/>
    <row r="31" ht="15" customHeight="1" s="206"/>
  </sheetData>
  <mergeCells count="14">
    <mergeCell ref="B17:E17"/>
    <mergeCell ref="B3:J3"/>
    <mergeCell ref="D10:D11"/>
    <mergeCell ref="B4:K4"/>
    <mergeCell ref="D9:J9"/>
    <mergeCell ref="F10:J10"/>
    <mergeCell ref="B12:B15"/>
    <mergeCell ref="B16:E16"/>
    <mergeCell ref="C12:C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5"/>
  <sheetViews>
    <sheetView view="pageBreakPreview" zoomScale="85" zoomScaleSheetLayoutView="85" workbookViewId="0">
      <selection activeCell="D23" sqref="D23"/>
    </sheetView>
  </sheetViews>
  <sheetFormatPr baseColWidth="8" defaultColWidth="9.140625" defaultRowHeight="15.75"/>
  <cols>
    <col width="9.140625" customWidth="1" style="208" min="1" max="1"/>
    <col width="12.5703125" customWidth="1" style="208" min="2" max="2"/>
    <col width="22.42578125" customWidth="1" style="208" min="3" max="3"/>
    <col width="49.7109375" customWidth="1" style="208" min="4" max="4"/>
    <col width="10.140625" customWidth="1" style="146" min="5" max="5"/>
    <col width="20.7109375" customWidth="1" style="146" min="6" max="6"/>
    <col width="20" customWidth="1" style="138" min="7" max="7"/>
    <col width="16.7109375" customWidth="1" style="208" min="8" max="8"/>
    <col width="9.140625" customWidth="1" style="208" min="9" max="10"/>
    <col width="15" customWidth="1" style="208" min="11" max="11"/>
    <col width="9.140625" customWidth="1" style="208" min="12" max="12"/>
  </cols>
  <sheetData>
    <row r="2" s="206">
      <c r="A2" s="208" t="n"/>
      <c r="B2" s="208" t="n"/>
      <c r="C2" s="208" t="n"/>
      <c r="D2" s="208" t="n"/>
      <c r="E2" s="146" t="n"/>
      <c r="F2" s="146" t="n"/>
      <c r="G2" s="138" t="n"/>
      <c r="H2" s="208" t="n"/>
      <c r="I2" s="208" t="n"/>
      <c r="J2" s="208" t="n"/>
      <c r="K2" s="208" t="n"/>
      <c r="L2" s="208" t="n"/>
    </row>
    <row r="3">
      <c r="A3" s="235" t="inlineStr">
        <is>
          <t xml:space="preserve">Приложение № 3 </t>
        </is>
      </c>
    </row>
    <row r="4">
      <c r="A4" s="236" t="inlineStr">
        <is>
          <t>Объектная ресурсная ведомость</t>
        </is>
      </c>
    </row>
    <row r="5" ht="18.75" customHeight="1" s="206">
      <c r="A5" s="169" t="n"/>
      <c r="B5" s="169" t="n"/>
      <c r="C5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7" t="n"/>
    </row>
    <row r="7">
      <c r="A7" s="244" t="inlineStr">
        <is>
          <t xml:space="preserve">Наименование разрабатываемого показателя УНЦ -  Кабельные сооружения с трубами, диаметр трубы 225-300 мм </t>
        </is>
      </c>
    </row>
    <row r="8">
      <c r="A8" s="244" t="n"/>
      <c r="B8" s="244" t="n"/>
      <c r="C8" s="244" t="n"/>
      <c r="D8" s="244" t="n"/>
      <c r="G8" s="244" t="n"/>
      <c r="H8" s="244" t="n"/>
    </row>
    <row r="9" ht="38.25" customHeight="1" s="206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0" t="n"/>
    </row>
    <row r="10" ht="40.7" customHeight="1" s="206">
      <c r="A10" s="322" t="n"/>
      <c r="B10" s="322" t="n"/>
      <c r="C10" s="322" t="n"/>
      <c r="D10" s="322" t="n"/>
      <c r="E10" s="322" t="n"/>
      <c r="F10" s="322" t="n"/>
      <c r="G10" s="240" t="inlineStr">
        <is>
          <t>на ед.изм.</t>
        </is>
      </c>
      <c r="H10" s="240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49">
      <c r="A12" s="241" t="inlineStr">
        <is>
          <t>Затраты труда рабочих</t>
        </is>
      </c>
      <c r="B12" s="319" t="n"/>
      <c r="C12" s="319" t="n"/>
      <c r="D12" s="319" t="n"/>
      <c r="E12" s="320" t="n"/>
      <c r="F12" s="327">
        <f>SUM(F13:F13)</f>
        <v/>
      </c>
      <c r="G12" s="10" t="n"/>
      <c r="H12" s="328">
        <f>SUM(H13:H13)</f>
        <v/>
      </c>
    </row>
    <row r="13">
      <c r="A13" s="273" t="n">
        <v>1</v>
      </c>
      <c r="B13" s="150" t="n"/>
      <c r="C13" s="165" t="inlineStr">
        <is>
          <t>1-2-9</t>
        </is>
      </c>
      <c r="D13" s="164" t="inlineStr">
        <is>
          <t>Затраты труда рабочих (ср 2,9)</t>
        </is>
      </c>
      <c r="E13" s="255" t="inlineStr">
        <is>
          <t>чел.час</t>
        </is>
      </c>
      <c r="F13" s="130" t="n">
        <v>626.4299999999999</v>
      </c>
      <c r="G13" s="272" t="n">
        <v>8.460000000000001</v>
      </c>
      <c r="H13" s="163">
        <f>ROUND(F13*G13,2)</f>
        <v/>
      </c>
    </row>
    <row r="14">
      <c r="A14" s="241" t="inlineStr">
        <is>
          <t>Материалы</t>
        </is>
      </c>
      <c r="B14" s="319" t="n"/>
      <c r="C14" s="319" t="n"/>
      <c r="D14" s="319" t="n"/>
      <c r="E14" s="320" t="n"/>
      <c r="F14" s="176" t="n"/>
      <c r="G14" s="177" t="n"/>
      <c r="H14" s="328">
        <f>SUM(H15:H18)</f>
        <v/>
      </c>
    </row>
    <row r="15" ht="63.75" customHeight="1" s="206">
      <c r="A15" s="166" t="n">
        <v>2</v>
      </c>
      <c r="B15" s="242" t="n"/>
      <c r="C15" s="130" t="inlineStr">
        <is>
          <t>24.3.03.12-0009</t>
        </is>
      </c>
      <c r="D15" s="164" t="inlineStr">
        <is>
          <t>Трубы полиэтиленовые напорные с соэкструдированными слоями многослойные ПЭ100, стандартное размерное отношение SDR17, номинальный наружный диаметр 280 мм, толщина стенки 16,6 мм</t>
        </is>
      </c>
      <c r="E15" s="255" t="inlineStr">
        <is>
          <t>м</t>
        </is>
      </c>
      <c r="F15" s="130" t="n">
        <v>4710</v>
      </c>
      <c r="G15" s="272" t="n">
        <v>716.47</v>
      </c>
      <c r="H15" s="257">
        <f>ROUND(F15*G15,2)</f>
        <v/>
      </c>
      <c r="I15" s="160" t="n"/>
    </row>
    <row r="16" ht="38.25" customHeight="1" s="206">
      <c r="A16" s="166" t="n">
        <v>3</v>
      </c>
      <c r="B16" s="242" t="n"/>
      <c r="C16" s="130" t="inlineStr">
        <is>
          <t>24.3.05.02-0125</t>
        </is>
      </c>
      <c r="D16" s="164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E16" s="255" t="inlineStr">
        <is>
          <t>шт</t>
        </is>
      </c>
      <c r="F16" s="130" t="n">
        <v>24</v>
      </c>
      <c r="G16" s="272" t="n">
        <v>427.5</v>
      </c>
      <c r="H16" s="257">
        <f>ROUND(F16*G16,2)</f>
        <v/>
      </c>
      <c r="I16" s="160" t="n"/>
    </row>
    <row r="17" ht="25.5" customHeight="1" s="206">
      <c r="A17" s="166" t="n">
        <v>4</v>
      </c>
      <c r="B17" s="242" t="n"/>
      <c r="C17" s="130" t="inlineStr">
        <is>
          <t>11.1.03.03-0003</t>
        </is>
      </c>
      <c r="D17" s="164" t="inlineStr">
        <is>
          <t>Брусья необрезные хвойных пород длиной: 2-3,75 м, все ширины, толщиной 100-125 мм, III сорта</t>
        </is>
      </c>
      <c r="E17" s="255" t="inlineStr">
        <is>
          <t>м3</t>
        </is>
      </c>
      <c r="F17" s="130" t="n">
        <v>0.3768</v>
      </c>
      <c r="G17" s="272" t="n">
        <v>802.46</v>
      </c>
      <c r="H17" s="257">
        <f>ROUND(F17*G17,2)</f>
        <v/>
      </c>
      <c r="I17" s="160" t="n"/>
    </row>
    <row r="18">
      <c r="A18" s="166" t="n">
        <v>5</v>
      </c>
      <c r="B18" s="242" t="n"/>
      <c r="C18" s="130" t="inlineStr">
        <is>
          <t>01.3.01.01-0002</t>
        </is>
      </c>
      <c r="D18" s="164" t="inlineStr">
        <is>
          <t>Бензин автомобильный АИ-98, АИ-95 «Экстра», АИ-93</t>
        </is>
      </c>
      <c r="E18" s="255" t="inlineStr">
        <is>
          <t>т</t>
        </is>
      </c>
      <c r="F18" s="130" t="n">
        <v>0.0038</v>
      </c>
      <c r="G18" s="272" t="n">
        <v>4770</v>
      </c>
      <c r="H18" s="257">
        <f>ROUND(F18*G18,2)</f>
        <v/>
      </c>
      <c r="I18" s="160" t="n"/>
      <c r="J18" s="170" t="n"/>
    </row>
    <row r="21">
      <c r="B21" s="208" t="inlineStr">
        <is>
          <t>Составил ______________________     Д.Ю. Нефедова</t>
        </is>
      </c>
    </row>
    <row r="22">
      <c r="B22" s="138" t="inlineStr">
        <is>
          <t xml:space="preserve">                         (подпись, инициалы, фамилия)</t>
        </is>
      </c>
    </row>
    <row r="24">
      <c r="B24" s="208" t="inlineStr">
        <is>
          <t>Проверил ______________________        А.В. Костянецкая</t>
        </is>
      </c>
    </row>
    <row r="25">
      <c r="B25" s="138" t="inlineStr">
        <is>
          <t xml:space="preserve">                        (подпись, инициалы, фамилия)</t>
        </is>
      </c>
    </row>
  </sheetData>
  <mergeCells count="13">
    <mergeCell ref="A4:H4"/>
    <mergeCell ref="B9:B10"/>
    <mergeCell ref="A3:H3"/>
    <mergeCell ref="E9:E10"/>
    <mergeCell ref="A12:E12"/>
    <mergeCell ref="D9:D10"/>
    <mergeCell ref="C9:C10"/>
    <mergeCell ref="A7:H7"/>
    <mergeCell ref="A9:A10"/>
    <mergeCell ref="F9:F10"/>
    <mergeCell ref="C5:H5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E61" sqref="E61"/>
    </sheetView>
  </sheetViews>
  <sheetFormatPr baseColWidth="8" defaultColWidth="9.140625" defaultRowHeight="15"/>
  <cols>
    <col width="4.140625" customWidth="1" style="206" min="1" max="1"/>
    <col width="36.28515625" customWidth="1" style="206" min="2" max="2"/>
    <col width="18.85546875" customWidth="1" style="206" min="3" max="3"/>
    <col width="18.28515625" customWidth="1" style="206" min="4" max="4"/>
    <col width="18.85546875" customWidth="1" style="206" min="5" max="5"/>
    <col width="11.42578125" customWidth="1" style="206" min="6" max="6"/>
    <col width="14.42578125" customWidth="1" style="206" min="7" max="7"/>
    <col width="13.5703125" customWidth="1" style="206" min="12" max="12"/>
  </cols>
  <sheetData>
    <row r="1">
      <c r="B1" s="182" t="n"/>
      <c r="C1" s="182" t="n"/>
      <c r="D1" s="182" t="n"/>
      <c r="E1" s="182" t="n"/>
    </row>
    <row r="2">
      <c r="B2" s="182" t="n"/>
      <c r="C2" s="182" t="n"/>
      <c r="D2" s="182" t="n"/>
      <c r="E2" s="268" t="inlineStr">
        <is>
          <t>Приложение № 4</t>
        </is>
      </c>
    </row>
    <row r="3">
      <c r="B3" s="182" t="n"/>
      <c r="C3" s="182" t="n"/>
      <c r="D3" s="182" t="n"/>
      <c r="E3" s="182" t="n"/>
    </row>
    <row r="4">
      <c r="B4" s="182" t="n"/>
      <c r="C4" s="182" t="n"/>
      <c r="D4" s="182" t="n"/>
      <c r="E4" s="182" t="n"/>
    </row>
    <row r="5">
      <c r="B5" s="228" t="inlineStr">
        <is>
          <t>Ресурсная модель</t>
        </is>
      </c>
    </row>
    <row r="6">
      <c r="B6" s="159" t="n"/>
      <c r="C6" s="182" t="n"/>
      <c r="D6" s="182" t="n"/>
      <c r="E6" s="182" t="n"/>
    </row>
    <row r="7" ht="25.5" customHeight="1" s="206">
      <c r="B7" s="246" t="inlineStr">
        <is>
          <t xml:space="preserve">Наименование разрабатываемого показателя УНЦ — Кабельные сооружения с трубами, диаметр трубы 225-300 мм </t>
        </is>
      </c>
    </row>
    <row r="8">
      <c r="B8" s="247" t="inlineStr">
        <is>
          <t>Единица измерения  — 1 км</t>
        </is>
      </c>
    </row>
    <row r="9">
      <c r="B9" s="159" t="n"/>
      <c r="C9" s="182" t="n"/>
      <c r="D9" s="182" t="n"/>
      <c r="E9" s="182" t="n"/>
    </row>
    <row r="10" ht="51" customHeight="1" s="206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87">
        <f>'Прил.5 Расчет СМР и ОБ'!J14</f>
        <v/>
      </c>
      <c r="D11" s="154">
        <f>C11/$C$24</f>
        <v/>
      </c>
      <c r="E11" s="154">
        <f>C11/$C$40</f>
        <v/>
      </c>
    </row>
    <row r="12">
      <c r="B12" s="99" t="inlineStr">
        <is>
          <t>Эксплуатация машин основных</t>
        </is>
      </c>
      <c r="C12" s="187">
        <f>'Прил.5 Расчет СМР и ОБ'!J19</f>
        <v/>
      </c>
      <c r="D12" s="154">
        <f>C12/$C$24</f>
        <v/>
      </c>
      <c r="E12" s="154">
        <f>C12/$C$40</f>
        <v/>
      </c>
    </row>
    <row r="13">
      <c r="B13" s="99" t="inlineStr">
        <is>
          <t>Эксплуатация машин прочих</t>
        </is>
      </c>
      <c r="C13" s="187">
        <f>'Прил.5 Расчет СМР и ОБ'!J20</f>
        <v/>
      </c>
      <c r="D13" s="154">
        <f>C13/$C$24</f>
        <v/>
      </c>
      <c r="E13" s="154">
        <f>C13/$C$40</f>
        <v/>
      </c>
    </row>
    <row r="14">
      <c r="B14" s="99" t="inlineStr">
        <is>
          <t>ЭКСПЛУАТАЦИЯ МАШИН, ВСЕГО:</t>
        </is>
      </c>
      <c r="C14" s="187">
        <f>C13+C12</f>
        <v/>
      </c>
      <c r="D14" s="154">
        <f>C14/$C$24</f>
        <v/>
      </c>
      <c r="E14" s="154">
        <f>C14/$C$40</f>
        <v/>
      </c>
    </row>
    <row r="15">
      <c r="B15" s="99" t="inlineStr">
        <is>
          <t>в том числе зарплата машинистов</t>
        </is>
      </c>
      <c r="C15" s="187">
        <f>'Прил.5 Расчет СМР и ОБ'!J16</f>
        <v/>
      </c>
      <c r="D15" s="154">
        <f>C15/$C$24</f>
        <v/>
      </c>
      <c r="E15" s="154">
        <f>C15/$C$40</f>
        <v/>
      </c>
    </row>
    <row r="16">
      <c r="B16" s="99" t="inlineStr">
        <is>
          <t>Материалы основные</t>
        </is>
      </c>
      <c r="C16" s="187">
        <f>'Прил.5 Расчет СМР и ОБ'!J31</f>
        <v/>
      </c>
      <c r="D16" s="154">
        <f>C16/$C$24</f>
        <v/>
      </c>
      <c r="E16" s="154">
        <f>C16/$C$40</f>
        <v/>
      </c>
    </row>
    <row r="17">
      <c r="B17" s="99" t="inlineStr">
        <is>
          <t>Материалы прочие</t>
        </is>
      </c>
      <c r="C17" s="187">
        <f>'Прил.5 Расчет СМР и ОБ'!J35</f>
        <v/>
      </c>
      <c r="D17" s="154">
        <f>C17/$C$24</f>
        <v/>
      </c>
      <c r="E17" s="154">
        <f>C17/$C$40</f>
        <v/>
      </c>
      <c r="G17" s="329" t="n"/>
    </row>
    <row r="18">
      <c r="B18" s="99" t="inlineStr">
        <is>
          <t>МАТЕРИАЛЫ, ВСЕГО:</t>
        </is>
      </c>
      <c r="C18" s="187">
        <f>C17+C16</f>
        <v/>
      </c>
      <c r="D18" s="154">
        <f>C18/$C$24</f>
        <v/>
      </c>
      <c r="E18" s="154">
        <f>C18/$C$40</f>
        <v/>
      </c>
    </row>
    <row r="19">
      <c r="B19" s="99" t="inlineStr">
        <is>
          <t>ИТОГО</t>
        </is>
      </c>
      <c r="C19" s="187">
        <f>C18+C14+C11</f>
        <v/>
      </c>
      <c r="D19" s="154" t="n"/>
      <c r="E19" s="99" t="n"/>
    </row>
    <row r="20">
      <c r="B20" s="99" t="inlineStr">
        <is>
          <t>Сметная прибыль, руб.</t>
        </is>
      </c>
      <c r="C20" s="187">
        <f>ROUND(C21*(C11+C15),2)</f>
        <v/>
      </c>
      <c r="D20" s="154">
        <f>C20/$C$24</f>
        <v/>
      </c>
      <c r="E20" s="154">
        <f>C20/$C$40</f>
        <v/>
      </c>
    </row>
    <row r="21">
      <c r="B21" s="99" t="inlineStr">
        <is>
          <t>Сметная прибыль, %</t>
        </is>
      </c>
      <c r="C21" s="157">
        <f>'Прил.5 Расчет СМР и ОБ'!D39</f>
        <v/>
      </c>
      <c r="D21" s="154" t="n"/>
      <c r="E21" s="99" t="n"/>
    </row>
    <row r="22">
      <c r="B22" s="99" t="inlineStr">
        <is>
          <t>Накладные расходы, руб.</t>
        </is>
      </c>
      <c r="C22" s="187">
        <f>ROUND(C23*(C11+C15),2)</f>
        <v/>
      </c>
      <c r="D22" s="154">
        <f>C22/$C$24</f>
        <v/>
      </c>
      <c r="E22" s="154">
        <f>C22/$C$40</f>
        <v/>
      </c>
    </row>
    <row r="23">
      <c r="B23" s="99" t="inlineStr">
        <is>
          <t>Накладные расходы, %</t>
        </is>
      </c>
      <c r="C23" s="157">
        <f>'Прил.5 Расчет СМР и ОБ'!D38</f>
        <v/>
      </c>
      <c r="D23" s="154" t="n"/>
      <c r="E23" s="99" t="n"/>
    </row>
    <row r="24">
      <c r="B24" s="99" t="inlineStr">
        <is>
          <t>ВСЕГО СМР с НР и СП</t>
        </is>
      </c>
      <c r="C24" s="187">
        <f>C19+C20+C22</f>
        <v/>
      </c>
      <c r="D24" s="154">
        <f>C24/$C$24</f>
        <v/>
      </c>
      <c r="E24" s="154">
        <f>C24/$C$40</f>
        <v/>
      </c>
    </row>
    <row r="25" ht="25.5" customHeight="1" s="206">
      <c r="B25" s="99" t="inlineStr">
        <is>
          <t>ВСЕГО стоимость оборудования, в том числе</t>
        </is>
      </c>
      <c r="C25" s="187">
        <f>'Прил.5 Расчет СМР и ОБ'!J26</f>
        <v/>
      </c>
      <c r="D25" s="154" t="n"/>
      <c r="E25" s="154">
        <f>C25/$C$40</f>
        <v/>
      </c>
    </row>
    <row r="26" ht="25.5" customHeight="1" s="206">
      <c r="B26" s="99" t="inlineStr">
        <is>
          <t>стоимость оборудования технологического</t>
        </is>
      </c>
      <c r="C26" s="187">
        <f>'Прил.5 Расчет СМР и ОБ'!J27</f>
        <v/>
      </c>
      <c r="D26" s="154" t="n"/>
      <c r="E26" s="154">
        <f>C26/$C$40</f>
        <v/>
      </c>
    </row>
    <row r="27">
      <c r="B27" s="99" t="inlineStr">
        <is>
          <t>ИТОГО (СМР + ОБОРУДОВАНИЕ)</t>
        </is>
      </c>
      <c r="C27" s="156">
        <f>C24+C25</f>
        <v/>
      </c>
      <c r="D27" s="154" t="n"/>
      <c r="E27" s="154">
        <f>C27/$C$40</f>
        <v/>
      </c>
    </row>
    <row r="28" ht="33" customHeight="1" s="20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5" t="n"/>
    </row>
    <row r="29" ht="25.5" customHeight="1" s="206">
      <c r="B29" s="99" t="inlineStr">
        <is>
          <t>Временные здания и сооружения - 3,9%</t>
        </is>
      </c>
      <c r="C29" s="156">
        <f>ROUND(C24*3.9%,2)</f>
        <v/>
      </c>
      <c r="D29" s="99" t="n"/>
      <c r="E29" s="154">
        <f>C29/$C$40</f>
        <v/>
      </c>
    </row>
    <row r="30" ht="38.25" customHeight="1" s="206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6">
        <f>ROUND((C24+C29)*2.1%,2)</f>
        <v/>
      </c>
      <c r="D30" s="99" t="n"/>
      <c r="E30" s="154">
        <f>C30/$C$40</f>
        <v/>
      </c>
      <c r="F30" s="155" t="n"/>
    </row>
    <row r="31">
      <c r="B31" s="99" t="inlineStr">
        <is>
          <t>Пусконаладочные работы</t>
        </is>
      </c>
      <c r="C31" s="173" t="n">
        <v>0</v>
      </c>
      <c r="D31" s="99" t="n"/>
      <c r="E31" s="154">
        <f>C31/$C$40</f>
        <v/>
      </c>
    </row>
    <row r="32" ht="25.5" customHeight="1" s="206">
      <c r="B32" s="99" t="inlineStr">
        <is>
          <t>Затраты по перевозке работников к месту работы и обратно</t>
        </is>
      </c>
      <c r="C32" s="156">
        <f>ROUND(C27*0%,2)</f>
        <v/>
      </c>
      <c r="D32" s="99" t="n"/>
      <c r="E32" s="154">
        <f>C32/$C$40</f>
        <v/>
      </c>
    </row>
    <row r="33" ht="25.5" customHeight="1" s="206">
      <c r="B33" s="99" t="inlineStr">
        <is>
          <t>Затраты, связанные с осуществлением работ вахтовым методом</t>
        </is>
      </c>
      <c r="C33" s="156">
        <f>ROUND(C28*0%,2)</f>
        <v/>
      </c>
      <c r="D33" s="99" t="n"/>
      <c r="E33" s="154">
        <f>C33/$C$40</f>
        <v/>
      </c>
    </row>
    <row r="34" ht="51" customHeight="1" s="20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6">
        <f>ROUND(C29*0%,2)</f>
        <v/>
      </c>
      <c r="D34" s="99" t="n"/>
      <c r="E34" s="154">
        <f>C34/$C$40</f>
        <v/>
      </c>
      <c r="H34" s="160" t="n"/>
    </row>
    <row r="35" ht="76.7" customHeight="1" s="20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6">
        <f>ROUND(C30*0%,2)</f>
        <v/>
      </c>
      <c r="D35" s="99" t="n"/>
      <c r="E35" s="154">
        <f>C35/$C$40</f>
        <v/>
      </c>
    </row>
    <row r="36" ht="25.5" customHeight="1" s="206">
      <c r="B36" s="99" t="inlineStr">
        <is>
          <t>Строительный контроль и содержание службы заказчика - 2,14%</t>
        </is>
      </c>
      <c r="C36" s="156">
        <f>ROUND((C27+C32+C33+C34+C35+C29+C31+C30)*2.14%,2)</f>
        <v/>
      </c>
      <c r="D36" s="99" t="n"/>
      <c r="E36" s="154">
        <f>C36/$C$40</f>
        <v/>
      </c>
      <c r="L36" s="155" t="n"/>
    </row>
    <row r="37">
      <c r="B37" s="99" t="inlineStr">
        <is>
          <t>Авторский надзор - 0,2%</t>
        </is>
      </c>
      <c r="C37" s="156">
        <f>ROUND((C27+C32+C33+C34+C35+C29+C31+C30)*0.2%,2)</f>
        <v/>
      </c>
      <c r="D37" s="99" t="n"/>
      <c r="E37" s="154">
        <f>C37/$C$40</f>
        <v/>
      </c>
      <c r="L37" s="155" t="n"/>
    </row>
    <row r="38" ht="38.25" customHeight="1" s="206">
      <c r="B38" s="99" t="inlineStr">
        <is>
          <t>ИТОГО (СМР+ОБОРУДОВАНИЕ+ПРОЧ. ЗАТР., УЧТЕННЫЕ ПОКАЗАТЕЛЕМ)</t>
        </is>
      </c>
      <c r="C38" s="187">
        <f>C27+C32+C33+C34+C35+C29+C31+C30+C36+C37</f>
        <v/>
      </c>
      <c r="D38" s="99" t="n"/>
      <c r="E38" s="154">
        <f>C38/$C$40</f>
        <v/>
      </c>
    </row>
    <row r="39" ht="13.7" customHeight="1" s="206">
      <c r="B39" s="99" t="inlineStr">
        <is>
          <t>Непредвиденные расходы</t>
        </is>
      </c>
      <c r="C39" s="187">
        <f>ROUND(C38*3%,2)</f>
        <v/>
      </c>
      <c r="D39" s="99" t="n"/>
      <c r="E39" s="154">
        <f>C39/$C$38</f>
        <v/>
      </c>
    </row>
    <row r="40">
      <c r="B40" s="99" t="inlineStr">
        <is>
          <t>ВСЕГО:</t>
        </is>
      </c>
      <c r="C40" s="187">
        <f>C39+C38</f>
        <v/>
      </c>
      <c r="D40" s="99" t="n"/>
      <c r="E40" s="154">
        <f>C40/$C$40</f>
        <v/>
      </c>
    </row>
    <row r="41">
      <c r="B41" s="99" t="inlineStr">
        <is>
          <t>ИТОГО ПОКАЗАТЕЛЬ НА ЕД. ИЗМ.</t>
        </is>
      </c>
      <c r="C41" s="187">
        <f>C40/'Прил.5 Расчет СМР и ОБ'!E42</f>
        <v/>
      </c>
      <c r="D41" s="99" t="n"/>
      <c r="E41" s="99" t="n"/>
    </row>
    <row r="42">
      <c r="B42" s="189" t="n"/>
      <c r="C42" s="182" t="n"/>
      <c r="D42" s="182" t="n"/>
      <c r="E42" s="182" t="n"/>
    </row>
    <row r="43">
      <c r="B43" s="189" t="inlineStr">
        <is>
          <t>Составил ____________________________ Д.Ю. Нефедова</t>
        </is>
      </c>
      <c r="C43" s="182" t="n"/>
      <c r="D43" s="182" t="n"/>
      <c r="E43" s="182" t="n"/>
    </row>
    <row r="44">
      <c r="B44" s="189" t="inlineStr">
        <is>
          <t xml:space="preserve">(должность, подпись, инициалы, фамилия) </t>
        </is>
      </c>
      <c r="C44" s="182" t="n"/>
      <c r="D44" s="182" t="n"/>
      <c r="E44" s="182" t="n"/>
    </row>
    <row r="45">
      <c r="B45" s="189" t="n"/>
      <c r="C45" s="182" t="n"/>
      <c r="D45" s="182" t="n"/>
      <c r="E45" s="182" t="n"/>
    </row>
    <row r="46">
      <c r="B46" s="189" t="inlineStr">
        <is>
          <t>Проверил ____________________________ А.В. Костянецкая</t>
        </is>
      </c>
      <c r="C46" s="182" t="n"/>
      <c r="D46" s="182" t="n"/>
      <c r="E46" s="182" t="n"/>
    </row>
    <row r="47">
      <c r="B47" s="247" t="inlineStr">
        <is>
          <t>(должность, подпись, инициалы, фамилия)</t>
        </is>
      </c>
      <c r="D47" s="182" t="n"/>
      <c r="E47" s="182" t="n"/>
    </row>
    <row r="49">
      <c r="B49" s="182" t="n"/>
      <c r="C49" s="182" t="n"/>
      <c r="D49" s="182" t="n"/>
      <c r="E49" s="182" t="n"/>
    </row>
    <row r="50">
      <c r="B50" s="182" t="n"/>
      <c r="C50" s="182" t="n"/>
      <c r="D50" s="182" t="n"/>
      <c r="E50" s="18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8"/>
  <sheetViews>
    <sheetView view="pageBreakPreview" topLeftCell="A34" zoomScaleSheetLayoutView="100" workbookViewId="0">
      <selection activeCell="F46" sqref="F46"/>
    </sheetView>
  </sheetViews>
  <sheetFormatPr baseColWidth="8" defaultColWidth="9.140625" defaultRowHeight="15" outlineLevelRow="1"/>
  <cols>
    <col width="5.7109375" customWidth="1" style="192" min="1" max="1"/>
    <col width="22.5703125" customWidth="1" style="192" min="2" max="2"/>
    <col width="39.140625" customWidth="1" style="192" min="3" max="3"/>
    <col width="10.7109375" customWidth="1" style="178" min="4" max="4"/>
    <col width="12.7109375" customWidth="1" style="178" min="5" max="5"/>
    <col width="15" customWidth="1" style="178" min="6" max="6"/>
    <col width="16.42578125" customWidth="1" style="192" min="7" max="7"/>
    <col width="12.7109375" customWidth="1" style="192" min="8" max="8"/>
    <col width="13.85546875" customWidth="1" style="192" min="9" max="9"/>
    <col width="17.5703125" customWidth="1" style="192" min="10" max="10"/>
    <col width="10.85546875" customWidth="1" style="192" min="11" max="11"/>
    <col width="9.140625" customWidth="1" style="192" min="12" max="12"/>
  </cols>
  <sheetData>
    <row r="1">
      <c r="M1" s="192" t="n"/>
      <c r="N1" s="192" t="n"/>
    </row>
    <row r="2" ht="15.75" customHeight="1" s="206">
      <c r="H2" s="263" t="inlineStr">
        <is>
          <t>Приложение №5</t>
        </is>
      </c>
      <c r="M2" s="192" t="n"/>
      <c r="N2" s="192" t="n"/>
    </row>
    <row r="3">
      <c r="M3" s="192" t="n"/>
      <c r="N3" s="192" t="n"/>
    </row>
    <row r="4" ht="12.75" customFormat="1" customHeight="1" s="182">
      <c r="A4" s="228" t="inlineStr">
        <is>
          <t>Расчет стоимости СМР и оборудования</t>
        </is>
      </c>
    </row>
    <row r="5" ht="12.75" customFormat="1" customHeight="1" s="182">
      <c r="A5" s="228" t="n"/>
      <c r="B5" s="228" t="n"/>
      <c r="C5" s="275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82">
      <c r="A6" s="132" t="inlineStr">
        <is>
          <t>Наименование разрабатываемого показателя УНЦ</t>
        </is>
      </c>
      <c r="B6" s="131" t="n"/>
      <c r="C6" s="131" t="n"/>
      <c r="D6" s="267" t="inlineStr">
        <is>
          <t xml:space="preserve">Кабельные сооружения с трубами, диаметр трубы 225-300 мм </t>
        </is>
      </c>
    </row>
    <row r="7" ht="12.75" customFormat="1" customHeight="1" s="182">
      <c r="A7" s="231" t="inlineStr">
        <is>
          <t>Единица измерения  — 1 км</t>
        </is>
      </c>
      <c r="I7" s="246" t="n"/>
      <c r="J7" s="246" t="n"/>
    </row>
    <row r="8" ht="13.7" customFormat="1" customHeight="1" s="182">
      <c r="A8" s="231" t="n"/>
    </row>
    <row r="9" ht="27" customHeight="1" s="206">
      <c r="A9" s="255" t="inlineStr">
        <is>
          <t>№ пп.</t>
        </is>
      </c>
      <c r="B9" s="255" t="inlineStr">
        <is>
          <t>Код ресурса</t>
        </is>
      </c>
      <c r="C9" s="255" t="inlineStr">
        <is>
          <t>Наименование</t>
        </is>
      </c>
      <c r="D9" s="255" t="inlineStr">
        <is>
          <t>Ед. изм.</t>
        </is>
      </c>
      <c r="E9" s="255" t="inlineStr">
        <is>
          <t>Кол-во единиц по проектным данным</t>
        </is>
      </c>
      <c r="F9" s="255" t="inlineStr">
        <is>
          <t>Сметная стоимость в ценах на 01.01.2000 (руб.)</t>
        </is>
      </c>
      <c r="G9" s="320" t="n"/>
      <c r="H9" s="255" t="inlineStr">
        <is>
          <t>Удельный вес, %</t>
        </is>
      </c>
      <c r="I9" s="255" t="inlineStr">
        <is>
          <t>Сметная стоимость в ценах на 01.01.2023 (руб.)</t>
        </is>
      </c>
      <c r="J9" s="320" t="n"/>
      <c r="M9" s="192" t="n"/>
      <c r="N9" s="192" t="n"/>
    </row>
    <row r="10" ht="28.5" customHeight="1" s="206">
      <c r="A10" s="322" t="n"/>
      <c r="B10" s="322" t="n"/>
      <c r="C10" s="322" t="n"/>
      <c r="D10" s="322" t="n"/>
      <c r="E10" s="322" t="n"/>
      <c r="F10" s="255" t="inlineStr">
        <is>
          <t>на ед. изм.</t>
        </is>
      </c>
      <c r="G10" s="255" t="inlineStr">
        <is>
          <t>общая</t>
        </is>
      </c>
      <c r="H10" s="322" t="n"/>
      <c r="I10" s="255" t="inlineStr">
        <is>
          <t>на ед. изм.</t>
        </is>
      </c>
      <c r="J10" s="255" t="inlineStr">
        <is>
          <t>общая</t>
        </is>
      </c>
      <c r="M10" s="192" t="n"/>
      <c r="N10" s="192" t="n"/>
    </row>
    <row r="11">
      <c r="A11" s="255" t="n">
        <v>1</v>
      </c>
      <c r="B11" s="255" t="n">
        <v>2</v>
      </c>
      <c r="C11" s="255" t="n">
        <v>3</v>
      </c>
      <c r="D11" s="255" t="n">
        <v>4</v>
      </c>
      <c r="E11" s="255" t="n">
        <v>5</v>
      </c>
      <c r="F11" s="255" t="n">
        <v>6</v>
      </c>
      <c r="G11" s="255" t="n">
        <v>7</v>
      </c>
      <c r="H11" s="255" t="n">
        <v>8</v>
      </c>
      <c r="I11" s="249" t="n">
        <v>9</v>
      </c>
      <c r="J11" s="249" t="n">
        <v>10</v>
      </c>
      <c r="M11" s="192" t="n"/>
      <c r="N11" s="192" t="n"/>
    </row>
    <row r="12">
      <c r="A12" s="255" t="n"/>
      <c r="B12" s="253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21" t="n"/>
      <c r="J12" s="121" t="n"/>
    </row>
    <row r="13" ht="25.5" customHeight="1" s="206">
      <c r="A13" s="255" t="n">
        <v>1</v>
      </c>
      <c r="B13" s="130" t="inlineStr">
        <is>
          <t>1-2-9</t>
        </is>
      </c>
      <c r="C13" s="254" t="inlineStr">
        <is>
          <t>Затраты труда рабочих-строителей среднего разряда (2,9)</t>
        </is>
      </c>
      <c r="D13" s="255" t="inlineStr">
        <is>
          <t>чел.-ч.</t>
        </is>
      </c>
      <c r="E13" s="330">
        <f>G13/F13</f>
        <v/>
      </c>
      <c r="F13" s="26" t="n">
        <v>8.460000000000001</v>
      </c>
      <c r="G13" s="26">
        <f>Прил.3!H12</f>
        <v/>
      </c>
      <c r="H13" s="124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2">
      <c r="A14" s="255" t="n"/>
      <c r="B14" s="255" t="n"/>
      <c r="C14" s="253" t="inlineStr">
        <is>
          <t>Итого по разделу "Затраты труда рабочих-строителей"</t>
        </is>
      </c>
      <c r="D14" s="255" t="inlineStr">
        <is>
          <t>чел.-ч.</t>
        </is>
      </c>
      <c r="E14" s="330">
        <f>SUM(E13:E13)</f>
        <v/>
      </c>
      <c r="F14" s="26" t="n"/>
      <c r="G14" s="26">
        <f>SUM(G13:G13)</f>
        <v/>
      </c>
      <c r="H14" s="258" t="n">
        <v>1</v>
      </c>
      <c r="I14" s="121" t="n"/>
      <c r="J14" s="26">
        <f>SUM(J13:J13)</f>
        <v/>
      </c>
    </row>
    <row r="15" ht="14.25" customFormat="1" customHeight="1" s="192">
      <c r="A15" s="255" t="n"/>
      <c r="B15" s="254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21" t="n"/>
      <c r="J15" s="121" t="n"/>
    </row>
    <row r="16" ht="14.25" customFormat="1" customHeight="1" s="192">
      <c r="A16" s="255" t="n"/>
      <c r="B16" s="255" t="n"/>
      <c r="C16" s="254" t="inlineStr">
        <is>
          <t>Затраты труда машинистов</t>
        </is>
      </c>
      <c r="D16" s="255" t="inlineStr">
        <is>
          <t>чел.-ч.</t>
        </is>
      </c>
      <c r="E16" s="255" t="n">
        <v>0</v>
      </c>
      <c r="F16" s="272" t="n">
        <v>0</v>
      </c>
      <c r="G16" s="174" t="n">
        <v>0</v>
      </c>
      <c r="H16" s="124" t="n">
        <v>0</v>
      </c>
      <c r="I16" s="174" t="n">
        <v>0</v>
      </c>
      <c r="J16" s="174" t="n">
        <v>0</v>
      </c>
    </row>
    <row r="17" ht="14.25" customFormat="1" customHeight="1" s="192">
      <c r="A17" s="255" t="n"/>
      <c r="B17" s="253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21" t="n"/>
      <c r="J17" s="121" t="n"/>
    </row>
    <row r="18" ht="14.25" customFormat="1" customHeight="1" s="192">
      <c r="A18" s="255" t="n"/>
      <c r="B18" s="254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1" t="n"/>
      <c r="J18" s="121" t="n"/>
    </row>
    <row r="19" ht="14.25" customFormat="1" customHeight="1" s="192">
      <c r="A19" s="255" t="n"/>
      <c r="B19" s="255" t="n"/>
      <c r="C19" s="254" t="inlineStr">
        <is>
          <t>Итого основные машины и механизмы</t>
        </is>
      </c>
      <c r="D19" s="255" t="n"/>
      <c r="E19" s="330" t="n"/>
      <c r="F19" s="26" t="n"/>
      <c r="G19" s="26" t="n">
        <v>0</v>
      </c>
      <c r="H19" s="258" t="n">
        <v>0</v>
      </c>
      <c r="I19" s="123" t="n"/>
      <c r="J19" s="26" t="n">
        <v>0</v>
      </c>
    </row>
    <row r="20" ht="14.25" customFormat="1" customHeight="1" s="192">
      <c r="A20" s="255" t="n"/>
      <c r="B20" s="255" t="n"/>
      <c r="C20" s="254" t="inlineStr">
        <is>
          <t>Итого прочие машины и механизмы</t>
        </is>
      </c>
      <c r="D20" s="255" t="n"/>
      <c r="E20" s="256" t="n"/>
      <c r="F20" s="26" t="n"/>
      <c r="G20" s="123" t="n">
        <v>0</v>
      </c>
      <c r="H20" s="124" t="n">
        <v>0</v>
      </c>
      <c r="I20" s="26" t="n"/>
      <c r="J20" s="26" t="n">
        <v>0</v>
      </c>
    </row>
    <row r="21" ht="25.5" customFormat="1" customHeight="1" s="192">
      <c r="A21" s="255" t="n"/>
      <c r="B21" s="255" t="n"/>
      <c r="C21" s="253" t="inlineStr">
        <is>
          <t>Итого по разделу «Машины и механизмы»</t>
        </is>
      </c>
      <c r="D21" s="255" t="n"/>
      <c r="E21" s="256" t="n"/>
      <c r="F21" s="26" t="n"/>
      <c r="G21" s="26">
        <f>G20+G19</f>
        <v/>
      </c>
      <c r="H21" s="125" t="n">
        <v>0</v>
      </c>
      <c r="I21" s="126" t="n"/>
      <c r="J21" s="127">
        <f>J20+J19</f>
        <v/>
      </c>
    </row>
    <row r="22" ht="14.25" customFormat="1" customHeight="1" s="192">
      <c r="A22" s="255" t="n"/>
      <c r="B22" s="253" t="inlineStr">
        <is>
          <t>Оборудование</t>
        </is>
      </c>
      <c r="C22" s="319" t="n"/>
      <c r="D22" s="319" t="n"/>
      <c r="E22" s="319" t="n"/>
      <c r="F22" s="319" t="n"/>
      <c r="G22" s="319" t="n"/>
      <c r="H22" s="320" t="n"/>
      <c r="I22" s="121" t="n"/>
      <c r="J22" s="121" t="n"/>
    </row>
    <row r="23">
      <c r="A23" s="255" t="n"/>
      <c r="B23" s="254" t="inlineStr">
        <is>
          <t>Основное оборудование</t>
        </is>
      </c>
      <c r="C23" s="319" t="n"/>
      <c r="D23" s="319" t="n"/>
      <c r="E23" s="319" t="n"/>
      <c r="F23" s="319" t="n"/>
      <c r="G23" s="319" t="n"/>
      <c r="H23" s="320" t="n"/>
      <c r="I23" s="121" t="n"/>
      <c r="J23" s="121" t="n"/>
    </row>
    <row r="24">
      <c r="A24" s="255" t="n"/>
      <c r="B24" s="255" t="n"/>
      <c r="C24" s="254" t="inlineStr">
        <is>
          <t>Итого основное оборудование</t>
        </is>
      </c>
      <c r="D24" s="255" t="n"/>
      <c r="E24" s="331" t="n"/>
      <c r="F24" s="257" t="n"/>
      <c r="G24" s="26" t="n">
        <v>0</v>
      </c>
      <c r="H24" s="124" t="n">
        <v>0</v>
      </c>
      <c r="I24" s="123" t="n"/>
      <c r="J24" s="26" t="n">
        <v>0</v>
      </c>
    </row>
    <row r="25">
      <c r="A25" s="255" t="n"/>
      <c r="B25" s="255" t="n"/>
      <c r="C25" s="254" t="inlineStr">
        <is>
          <t>Итого прочее оборудование</t>
        </is>
      </c>
      <c r="D25" s="255" t="n"/>
      <c r="E25" s="330" t="n"/>
      <c r="F25" s="257" t="n"/>
      <c r="G25" s="26" t="n">
        <v>0</v>
      </c>
      <c r="H25" s="124" t="n">
        <v>0</v>
      </c>
      <c r="I25" s="123" t="n"/>
      <c r="J25" s="26" t="n">
        <v>0</v>
      </c>
    </row>
    <row r="26">
      <c r="A26" s="255" t="n"/>
      <c r="B26" s="255" t="n"/>
      <c r="C26" s="253" t="inlineStr">
        <is>
          <t>Итого по разделу «Оборудование»</t>
        </is>
      </c>
      <c r="D26" s="255" t="n"/>
      <c r="E26" s="256" t="n"/>
      <c r="F26" s="257" t="n"/>
      <c r="G26" s="26">
        <f>G24+G25</f>
        <v/>
      </c>
      <c r="H26" s="124" t="n">
        <v>0</v>
      </c>
      <c r="I26" s="123" t="n"/>
      <c r="J26" s="26" t="n">
        <v>0</v>
      </c>
    </row>
    <row r="27" ht="25.5" customHeight="1" s="206">
      <c r="A27" s="255" t="n"/>
      <c r="B27" s="255" t="n"/>
      <c r="C27" s="254" t="inlineStr">
        <is>
          <t>в том числе технологическое оборудование</t>
        </is>
      </c>
      <c r="D27" s="255" t="n"/>
      <c r="E27" s="331" t="n"/>
      <c r="F27" s="257" t="n"/>
      <c r="G27" s="26">
        <f>'Прил.6 Расчет ОБ'!G12</f>
        <v/>
      </c>
      <c r="H27" s="258" t="n"/>
      <c r="I27" s="123" t="n"/>
      <c r="J27" s="26">
        <f>J26</f>
        <v/>
      </c>
    </row>
    <row r="28" ht="14.25" customFormat="1" customHeight="1" s="192">
      <c r="A28" s="255" t="n"/>
      <c r="B28" s="253" t="inlineStr">
        <is>
          <t>Материалы</t>
        </is>
      </c>
      <c r="C28" s="319" t="n"/>
      <c r="D28" s="319" t="n"/>
      <c r="E28" s="319" t="n"/>
      <c r="F28" s="319" t="n"/>
      <c r="G28" s="319" t="n"/>
      <c r="H28" s="320" t="n"/>
      <c r="I28" s="121" t="n"/>
      <c r="J28" s="121" t="n"/>
    </row>
    <row r="29" ht="14.25" customFormat="1" customHeight="1" s="192">
      <c r="A29" s="249" t="n"/>
      <c r="B29" s="248" t="inlineStr">
        <is>
          <t>Основные материалы</t>
        </is>
      </c>
      <c r="C29" s="332" t="n"/>
      <c r="D29" s="332" t="n"/>
      <c r="E29" s="332" t="n"/>
      <c r="F29" s="332" t="n"/>
      <c r="G29" s="332" t="n"/>
      <c r="H29" s="333" t="n"/>
      <c r="I29" s="133" t="n"/>
      <c r="J29" s="133" t="n"/>
    </row>
    <row r="30" ht="76.5" customFormat="1" customHeight="1" s="192">
      <c r="A30" s="255" t="n">
        <v>2</v>
      </c>
      <c r="B30" s="130" t="inlineStr">
        <is>
          <t>24.3.03.12-0009</t>
        </is>
      </c>
      <c r="C30" s="164" t="inlineStr">
        <is>
          <t>Трубы полиэтиленовые напорные с соэкструдированными слоями многослойные ПЭ100, стандартное размерное отношение SDR17, номинальный наружный диаметр 280 мм, толщина стенки 16,6 мм</t>
        </is>
      </c>
      <c r="D30" s="255" t="inlineStr">
        <is>
          <t>м</t>
        </is>
      </c>
      <c r="E30" s="331" t="n">
        <v>4710</v>
      </c>
      <c r="F30" s="272" t="n">
        <v>716.47</v>
      </c>
      <c r="G30" s="26">
        <f>ROUND(E30*F30,2)</f>
        <v/>
      </c>
      <c r="H30" s="124">
        <f>G30/$G$36</f>
        <v/>
      </c>
      <c r="I30" s="26">
        <f>ROUND(F30*Прил.10!$D$13,2)</f>
        <v/>
      </c>
      <c r="J30" s="26">
        <f>ROUND(I30*E30,2)</f>
        <v/>
      </c>
    </row>
    <row r="31" ht="14.25" customFormat="1" customHeight="1" s="192">
      <c r="A31" s="266" t="n"/>
      <c r="B31" s="135" t="n"/>
      <c r="C31" s="136" t="inlineStr">
        <is>
          <t>Итого основные материалы</t>
        </is>
      </c>
      <c r="D31" s="266" t="n"/>
      <c r="E31" s="334" t="n"/>
      <c r="F31" s="127" t="n"/>
      <c r="G31" s="127">
        <f>SUM(G30:G30)</f>
        <v/>
      </c>
      <c r="H31" s="124">
        <f>G31/$G$36</f>
        <v/>
      </c>
      <c r="I31" s="26" t="n"/>
      <c r="J31" s="127">
        <f>SUM(J30:J30)</f>
        <v/>
      </c>
    </row>
    <row r="32" outlineLevel="1" ht="38.25" customFormat="1" customHeight="1" s="192">
      <c r="A32" s="255" t="n">
        <v>3</v>
      </c>
      <c r="B32" s="130" t="inlineStr">
        <is>
          <t>24.3.05.02-0125</t>
        </is>
      </c>
      <c r="C32" s="164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D32" s="255" t="inlineStr">
        <is>
          <t>шт</t>
        </is>
      </c>
      <c r="E32" s="331" t="n">
        <v>24</v>
      </c>
      <c r="F32" s="272" t="n">
        <v>427.5</v>
      </c>
      <c r="G32" s="26">
        <f>ROUND(E32*F32,2)</f>
        <v/>
      </c>
      <c r="H32" s="124">
        <f>G32/$G$36</f>
        <v/>
      </c>
      <c r="I32" s="26">
        <f>ROUND(F32*Прил.10!$D$13,2)</f>
        <v/>
      </c>
      <c r="J32" s="26">
        <f>ROUND(I32*E32,2)</f>
        <v/>
      </c>
    </row>
    <row r="33" outlineLevel="1" ht="38.25" customFormat="1" customHeight="1" s="192">
      <c r="A33" s="255" t="n">
        <v>4</v>
      </c>
      <c r="B33" s="130" t="inlineStr">
        <is>
          <t>11.1.03.03-0003</t>
        </is>
      </c>
      <c r="C33" s="164" t="inlineStr">
        <is>
          <t>Брусья необрезные хвойных пород длиной: 2-3,75 м, все ширины, толщиной 100-125 мм, III сорта</t>
        </is>
      </c>
      <c r="D33" s="255" t="inlineStr">
        <is>
          <t>м3</t>
        </is>
      </c>
      <c r="E33" s="331" t="n">
        <v>0.3768</v>
      </c>
      <c r="F33" s="272" t="n">
        <v>802.46</v>
      </c>
      <c r="G33" s="26">
        <f>ROUND(E33*F33,2)</f>
        <v/>
      </c>
      <c r="H33" s="124">
        <f>G33/$G$36</f>
        <v/>
      </c>
      <c r="I33" s="26">
        <f>ROUND(F33*Прил.10!$D$13,2)</f>
        <v/>
      </c>
      <c r="J33" s="26">
        <f>ROUND(I33*E33,2)</f>
        <v/>
      </c>
    </row>
    <row r="34" outlineLevel="1" ht="25.5" customFormat="1" customHeight="1" s="192">
      <c r="A34" s="255" t="n">
        <v>5</v>
      </c>
      <c r="B34" s="130" t="inlineStr">
        <is>
          <t>01.3.01.01-0002</t>
        </is>
      </c>
      <c r="C34" s="164" t="inlineStr">
        <is>
          <t>Бензин автомобильный АИ-98, АИ-95 «Экстра», АИ-93</t>
        </is>
      </c>
      <c r="D34" s="255" t="inlineStr">
        <is>
          <t>т</t>
        </is>
      </c>
      <c r="E34" s="331" t="n">
        <v>0.0038</v>
      </c>
      <c r="F34" s="272" t="n">
        <v>4770</v>
      </c>
      <c r="G34" s="26">
        <f>ROUND(E34*F34,2)</f>
        <v/>
      </c>
      <c r="H34" s="124">
        <f>G34/$G$36</f>
        <v/>
      </c>
      <c r="I34" s="26">
        <f>ROUND(F34*Прил.10!$D$13,2)</f>
        <v/>
      </c>
      <c r="J34" s="26">
        <f>ROUND(I34*E34,2)</f>
        <v/>
      </c>
    </row>
    <row r="35" ht="14.25" customFormat="1" customHeight="1" s="192">
      <c r="A35" s="255" t="n"/>
      <c r="B35" s="255" t="n"/>
      <c r="C35" s="254" t="inlineStr">
        <is>
          <t>Итого прочие материалы</t>
        </is>
      </c>
      <c r="D35" s="255" t="n"/>
      <c r="E35" s="331" t="n"/>
      <c r="F35" s="257" t="n"/>
      <c r="G35" s="26">
        <f>SUM(G32:G34)</f>
        <v/>
      </c>
      <c r="H35" s="124">
        <f>G35/$G$36</f>
        <v/>
      </c>
      <c r="I35" s="26" t="n"/>
      <c r="J35" s="26">
        <f>SUM(J32:J34)</f>
        <v/>
      </c>
    </row>
    <row r="36" ht="14.25" customFormat="1" customHeight="1" s="192">
      <c r="A36" s="255" t="n"/>
      <c r="B36" s="255" t="n"/>
      <c r="C36" s="253" t="inlineStr">
        <is>
          <t>Итого по разделу «Материалы»</t>
        </is>
      </c>
      <c r="D36" s="255" t="n"/>
      <c r="E36" s="256" t="n"/>
      <c r="F36" s="257" t="n"/>
      <c r="G36" s="26">
        <f>G31+G35</f>
        <v/>
      </c>
      <c r="H36" s="258">
        <f>G36/$G$36</f>
        <v/>
      </c>
      <c r="I36" s="26" t="n"/>
      <c r="J36" s="26">
        <f>J31+J35</f>
        <v/>
      </c>
    </row>
    <row r="37" ht="14.25" customFormat="1" customHeight="1" s="192">
      <c r="A37" s="255" t="n"/>
      <c r="B37" s="255" t="n"/>
      <c r="C37" s="254" t="inlineStr">
        <is>
          <t>ИТОГО ПО РМ</t>
        </is>
      </c>
      <c r="D37" s="255" t="n"/>
      <c r="E37" s="256" t="n"/>
      <c r="F37" s="257" t="n"/>
      <c r="G37" s="26">
        <f>G14+G21+G36</f>
        <v/>
      </c>
      <c r="H37" s="258" t="n"/>
      <c r="I37" s="26" t="n"/>
      <c r="J37" s="26">
        <f>J14+J21+J36</f>
        <v/>
      </c>
    </row>
    <row r="38" ht="14.25" customFormat="1" customHeight="1" s="192">
      <c r="A38" s="255" t="n"/>
      <c r="B38" s="255" t="n"/>
      <c r="C38" s="254" t="inlineStr">
        <is>
          <t>Накладные расходы</t>
        </is>
      </c>
      <c r="D38" s="179">
        <f>ROUND(G38/(G$16+$G$14),2)</f>
        <v/>
      </c>
      <c r="E38" s="256" t="n"/>
      <c r="F38" s="257" t="n"/>
      <c r="G38" s="26" t="n">
        <v>5299.6</v>
      </c>
      <c r="H38" s="258" t="n"/>
      <c r="I38" s="26" t="n"/>
      <c r="J38" s="26">
        <f>ROUND(D38*(J14+J16),2)</f>
        <v/>
      </c>
    </row>
    <row r="39" ht="14.25" customFormat="1" customHeight="1" s="192">
      <c r="A39" s="255" t="n"/>
      <c r="B39" s="255" t="n"/>
      <c r="C39" s="254" t="inlineStr">
        <is>
          <t>Сметная прибыль</t>
        </is>
      </c>
      <c r="D39" s="179">
        <f>ROUND(G39/(G$14+G$16),2)</f>
        <v/>
      </c>
      <c r="E39" s="256" t="n"/>
      <c r="F39" s="257" t="n"/>
      <c r="G39" s="26" t="n">
        <v>3444.74</v>
      </c>
      <c r="H39" s="258" t="n"/>
      <c r="I39" s="26" t="n"/>
      <c r="J39" s="26">
        <f>ROUND(D39*(J14+J16),2)</f>
        <v/>
      </c>
    </row>
    <row r="40" ht="14.25" customFormat="1" customHeight="1" s="192">
      <c r="A40" s="255" t="n"/>
      <c r="B40" s="255" t="n"/>
      <c r="C40" s="254" t="inlineStr">
        <is>
          <t>Итого СМР (с НР и СП)</t>
        </is>
      </c>
      <c r="D40" s="255" t="n"/>
      <c r="E40" s="256" t="n"/>
      <c r="F40" s="257" t="n"/>
      <c r="G40" s="26">
        <f>G14+G21+G36+G38+G39</f>
        <v/>
      </c>
      <c r="H40" s="258" t="n"/>
      <c r="I40" s="26" t="n"/>
      <c r="J40" s="26">
        <f>J14+J21+J36+J38+J39</f>
        <v/>
      </c>
    </row>
    <row r="41" ht="14.25" customFormat="1" customHeight="1" s="192">
      <c r="A41" s="255" t="n"/>
      <c r="B41" s="255" t="n"/>
      <c r="C41" s="254" t="inlineStr">
        <is>
          <t>ВСЕГО СМР + ОБОРУДОВАНИЕ</t>
        </is>
      </c>
      <c r="D41" s="255" t="n"/>
      <c r="E41" s="256" t="n"/>
      <c r="F41" s="257" t="n"/>
      <c r="G41" s="26">
        <f>G40+G26</f>
        <v/>
      </c>
      <c r="H41" s="258" t="n"/>
      <c r="I41" s="26" t="n"/>
      <c r="J41" s="26">
        <f>J40+J26</f>
        <v/>
      </c>
    </row>
    <row r="42" ht="34.5" customFormat="1" customHeight="1" s="192">
      <c r="A42" s="255" t="n"/>
      <c r="B42" s="255" t="n"/>
      <c r="C42" s="254" t="inlineStr">
        <is>
          <t>ИТОГО ПОКАЗАТЕЛЬ НА ЕД. ИЗМ.</t>
        </is>
      </c>
      <c r="D42" s="255" t="inlineStr">
        <is>
          <t>1 км</t>
        </is>
      </c>
      <c r="E42" s="256" t="n">
        <v>4.71</v>
      </c>
      <c r="F42" s="257" t="n"/>
      <c r="G42" s="26">
        <f>G41/E42</f>
        <v/>
      </c>
      <c r="H42" s="258" t="n"/>
      <c r="I42" s="26" t="n"/>
      <c r="J42" s="26">
        <f>J41/E42</f>
        <v/>
      </c>
    </row>
    <row r="44" ht="14.25" customFormat="1" customHeight="1" s="192">
      <c r="A44" s="182" t="inlineStr">
        <is>
          <t>Составил ______________________   Д.Ю. Нефедова</t>
        </is>
      </c>
      <c r="D44" s="178" t="n"/>
      <c r="E44" s="178" t="n"/>
      <c r="F44" s="178" t="n"/>
    </row>
    <row r="45" ht="14.25" customFormat="1" customHeight="1" s="192">
      <c r="A45" s="193" t="inlineStr">
        <is>
          <t xml:space="preserve">                         (подпись, инициалы, фамилия)</t>
        </is>
      </c>
      <c r="D45" s="178" t="n"/>
      <c r="E45" s="178" t="n"/>
      <c r="F45" s="178" t="n"/>
    </row>
    <row r="46" ht="14.25" customFormat="1" customHeight="1" s="192">
      <c r="A46" s="182" t="n"/>
      <c r="D46" s="178" t="n"/>
      <c r="E46" s="178" t="n"/>
      <c r="F46" s="178" t="n"/>
    </row>
    <row r="47" ht="14.25" customFormat="1" customHeight="1" s="192">
      <c r="A47" s="182" t="inlineStr">
        <is>
          <t>Проверил ______________________        А.В. Костянецкая</t>
        </is>
      </c>
      <c r="D47" s="178" t="n"/>
      <c r="E47" s="178" t="n"/>
      <c r="F47" s="178" t="n"/>
    </row>
    <row r="48" ht="14.25" customFormat="1" customHeight="1" s="192">
      <c r="A48" s="193" t="inlineStr">
        <is>
          <t xml:space="preserve">                        (подпись, инициалы, фамилия)</t>
        </is>
      </c>
      <c r="D48" s="178" t="n"/>
      <c r="E48" s="178" t="n"/>
      <c r="F48" s="178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22:H22"/>
    <mergeCell ref="B9:B10"/>
    <mergeCell ref="D9:D10"/>
    <mergeCell ref="B18:H18"/>
    <mergeCell ref="B12:H12"/>
    <mergeCell ref="D6:J6"/>
    <mergeCell ref="A8:H8"/>
    <mergeCell ref="F9:G9"/>
    <mergeCell ref="B23:H23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1" sqref="D21"/>
    </sheetView>
  </sheetViews>
  <sheetFormatPr baseColWidth="8" defaultRowHeight="15"/>
  <cols>
    <col width="5.7109375" customWidth="1" style="206" min="1" max="1"/>
    <col width="17.5703125" customWidth="1" style="206" min="2" max="2"/>
    <col width="39.140625" customWidth="1" style="206" min="3" max="3"/>
    <col width="10.7109375" customWidth="1" style="206" min="4" max="4"/>
    <col width="13.85546875" customWidth="1" style="206" min="5" max="5"/>
    <col width="13.28515625" customWidth="1" style="206" min="6" max="6"/>
    <col width="14.140625" customWidth="1" style="206" min="7" max="7"/>
  </cols>
  <sheetData>
    <row r="1">
      <c r="A1" s="268" t="inlineStr">
        <is>
          <t>Приложение №6</t>
        </is>
      </c>
    </row>
    <row r="2" ht="21.75" customHeight="1" s="206">
      <c r="A2" s="268" t="n"/>
      <c r="B2" s="268" t="n"/>
      <c r="C2" s="268" t="n"/>
      <c r="D2" s="268" t="n"/>
      <c r="E2" s="268" t="n"/>
      <c r="F2" s="268" t="n"/>
      <c r="G2" s="268" t="n"/>
    </row>
    <row r="3">
      <c r="A3" s="228" t="inlineStr">
        <is>
          <t>Расчет стоимости оборудования</t>
        </is>
      </c>
    </row>
    <row r="4" ht="25.5" customHeight="1" s="206">
      <c r="A4" s="231" t="inlineStr">
        <is>
          <t xml:space="preserve">Наименование разрабатываемого показателя УНЦ — Кабельные сооружения с трубами, диаметр трубы 225-300 мм </t>
        </is>
      </c>
    </row>
    <row r="5">
      <c r="A5" s="182" t="n"/>
      <c r="B5" s="182" t="n"/>
      <c r="C5" s="182" t="n"/>
      <c r="D5" s="182" t="n"/>
      <c r="E5" s="182" t="n"/>
      <c r="F5" s="182" t="n"/>
      <c r="G5" s="182" t="n"/>
    </row>
    <row r="6" ht="30.2" customHeight="1" s="206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55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06">
      <c r="A9" s="99" t="n"/>
      <c r="B9" s="254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6">
      <c r="A10" s="255" t="n"/>
      <c r="B10" s="253" t="n"/>
      <c r="C10" s="254" t="inlineStr">
        <is>
          <t>ИТОГО ИНЖЕНЕРНОЕ ОБОРУДОВАНИЕ</t>
        </is>
      </c>
      <c r="D10" s="253" t="n"/>
      <c r="E10" s="100" t="n"/>
      <c r="F10" s="257" t="n"/>
      <c r="G10" s="257" t="n">
        <v>0</v>
      </c>
    </row>
    <row r="11">
      <c r="A11" s="255" t="n"/>
      <c r="B11" s="254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25.5" customHeight="1" s="206">
      <c r="A12" s="255" t="n"/>
      <c r="B12" s="254" t="n"/>
      <c r="C12" s="254" t="inlineStr">
        <is>
          <t>ИТОГО ТЕХНОЛОГИЧЕСКОЕ ОБОРУДОВАНИЕ</t>
        </is>
      </c>
      <c r="D12" s="254" t="n"/>
      <c r="E12" s="272" t="n"/>
      <c r="F12" s="257" t="n"/>
      <c r="G12" s="26" t="n">
        <v>0</v>
      </c>
    </row>
    <row r="13" ht="19.5" customHeight="1" s="206">
      <c r="A13" s="255" t="n"/>
      <c r="B13" s="254" t="n"/>
      <c r="C13" s="254" t="inlineStr">
        <is>
          <t>Всего по разделу «Оборудование»</t>
        </is>
      </c>
      <c r="D13" s="254" t="n"/>
      <c r="E13" s="272" t="n"/>
      <c r="F13" s="257" t="n"/>
      <c r="G13" s="26">
        <f>G10+G12</f>
        <v/>
      </c>
    </row>
    <row r="14">
      <c r="A14" s="190" t="n"/>
      <c r="B14" s="191" t="n"/>
      <c r="C14" s="190" t="n"/>
      <c r="D14" s="190" t="n"/>
      <c r="E14" s="190" t="n"/>
      <c r="F14" s="190" t="n"/>
      <c r="G14" s="190" t="n"/>
    </row>
    <row r="15">
      <c r="A15" s="182" t="inlineStr">
        <is>
          <t>Составил ______________________    Д.Ю. Нефедова</t>
        </is>
      </c>
      <c r="B15" s="192" t="n"/>
      <c r="C15" s="192" t="n"/>
      <c r="D15" s="190" t="n"/>
      <c r="E15" s="190" t="n"/>
      <c r="F15" s="190" t="n"/>
      <c r="G15" s="190" t="n"/>
    </row>
    <row r="16">
      <c r="A16" s="193" t="inlineStr">
        <is>
          <t xml:space="preserve">                         (подпись, инициалы, фамилия)</t>
        </is>
      </c>
      <c r="B16" s="192" t="n"/>
      <c r="C16" s="192" t="n"/>
      <c r="D16" s="190" t="n"/>
      <c r="E16" s="190" t="n"/>
      <c r="F16" s="190" t="n"/>
      <c r="G16" s="190" t="n"/>
    </row>
    <row r="17">
      <c r="A17" s="182" t="n"/>
      <c r="B17" s="192" t="n"/>
      <c r="C17" s="192" t="n"/>
      <c r="D17" s="190" t="n"/>
      <c r="E17" s="190" t="n"/>
      <c r="F17" s="190" t="n"/>
      <c r="G17" s="190" t="n"/>
    </row>
    <row r="18">
      <c r="A18" s="182" t="inlineStr">
        <is>
          <t>Проверил ______________________        А.В. Костянецкая</t>
        </is>
      </c>
      <c r="B18" s="192" t="n"/>
      <c r="C18" s="192" t="n"/>
      <c r="D18" s="190" t="n"/>
      <c r="E18" s="190" t="n"/>
      <c r="F18" s="190" t="n"/>
      <c r="G18" s="190" t="n"/>
    </row>
    <row r="19">
      <c r="A19" s="193" t="inlineStr">
        <is>
          <t xml:space="preserve">                        (подпись, инициалы, фамилия)</t>
        </is>
      </c>
      <c r="B19" s="192" t="n"/>
      <c r="C19" s="192" t="n"/>
      <c r="D19" s="190" t="n"/>
      <c r="E19" s="190" t="n"/>
      <c r="F19" s="190" t="n"/>
      <c r="G19" s="19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06" min="1" max="1"/>
    <col width="29.5703125" customWidth="1" style="206" min="2" max="2"/>
    <col width="39.140625" customWidth="1" style="206" min="3" max="3"/>
    <col width="48.140625" customWidth="1" style="206" min="4" max="4"/>
    <col width="8.85546875" customWidth="1" style="206" min="5" max="5"/>
  </cols>
  <sheetData>
    <row r="1">
      <c r="B1" s="182" t="n"/>
      <c r="C1" s="182" t="n"/>
      <c r="D1" s="268" t="inlineStr">
        <is>
          <t>Приложение №7</t>
        </is>
      </c>
    </row>
    <row r="2">
      <c r="A2" s="268" t="n"/>
      <c r="B2" s="268" t="n"/>
      <c r="C2" s="268" t="n"/>
      <c r="D2" s="268" t="n"/>
    </row>
    <row r="3" ht="24.75" customHeight="1" s="206">
      <c r="A3" s="228" t="inlineStr">
        <is>
          <t>Расчет показателя УНЦ</t>
        </is>
      </c>
    </row>
    <row r="4" ht="24.75" customHeight="1" s="206">
      <c r="A4" s="228" t="n"/>
      <c r="B4" s="228" t="n"/>
      <c r="C4" s="228" t="n"/>
      <c r="D4" s="228" t="n"/>
    </row>
    <row r="5" ht="24.6" customHeight="1" s="206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206">
      <c r="A6" s="231" t="inlineStr">
        <is>
          <t>Единица измерения  — 1 км</t>
        </is>
      </c>
      <c r="D6" s="231" t="n"/>
    </row>
    <row r="7">
      <c r="A7" s="182" t="n"/>
      <c r="B7" s="182" t="n"/>
      <c r="C7" s="182" t="n"/>
      <c r="D7" s="182" t="n"/>
    </row>
    <row r="8" ht="14.45" customHeight="1" s="206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06">
      <c r="A9" s="322" t="n"/>
      <c r="B9" s="322" t="n"/>
      <c r="C9" s="322" t="n"/>
      <c r="D9" s="322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41.45" customHeight="1" s="206">
      <c r="A11" s="255" t="inlineStr">
        <is>
          <t>Н4-03</t>
        </is>
      </c>
      <c r="B11" s="255" t="inlineStr">
        <is>
          <t xml:space="preserve">УНЦ кабельного сооружения с трубами </t>
        </is>
      </c>
      <c r="C11" s="187">
        <f>D5</f>
        <v/>
      </c>
      <c r="D11" s="188">
        <f>'Прил.4 РМ'!C41/1000</f>
        <v/>
      </c>
      <c r="E11" s="189" t="n"/>
    </row>
    <row r="12">
      <c r="A12" s="190" t="n"/>
      <c r="B12" s="191" t="n"/>
      <c r="C12" s="190" t="n"/>
      <c r="D12" s="190" t="n"/>
    </row>
    <row r="13">
      <c r="A13" s="182" t="inlineStr">
        <is>
          <t>Составил ______________________      Д.Ю. Нефедова</t>
        </is>
      </c>
      <c r="B13" s="192" t="n"/>
      <c r="C13" s="192" t="n"/>
      <c r="D13" s="190" t="n"/>
    </row>
    <row r="14">
      <c r="A14" s="193" t="inlineStr">
        <is>
          <t xml:space="preserve">                         (подпись, инициалы, фамилия)</t>
        </is>
      </c>
      <c r="B14" s="192" t="n"/>
      <c r="C14" s="192" t="n"/>
      <c r="D14" s="190" t="n"/>
    </row>
    <row r="15">
      <c r="A15" s="182" t="n"/>
      <c r="B15" s="192" t="n"/>
      <c r="C15" s="192" t="n"/>
      <c r="D15" s="190" t="n"/>
    </row>
    <row r="16">
      <c r="A16" s="182" t="inlineStr">
        <is>
          <t>Проверил ______________________        А.В. Костянецкая</t>
        </is>
      </c>
      <c r="B16" s="192" t="n"/>
      <c r="C16" s="192" t="n"/>
      <c r="D16" s="190" t="n"/>
    </row>
    <row r="17">
      <c r="A17" s="193" t="inlineStr">
        <is>
          <t xml:space="preserve">                        (подпись, инициалы, фамилия)</t>
        </is>
      </c>
      <c r="B17" s="192" t="n"/>
      <c r="C17" s="192" t="n"/>
      <c r="D17" s="19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06" min="2" max="2"/>
    <col width="37" customWidth="1" style="206" min="3" max="3"/>
    <col width="32" customWidth="1" style="206" min="4" max="4"/>
  </cols>
  <sheetData>
    <row r="4" ht="15.75" customHeight="1" s="206">
      <c r="B4" s="235" t="inlineStr">
        <is>
          <t>Приложение № 10</t>
        </is>
      </c>
    </row>
    <row r="5" ht="18.75" customHeight="1" s="206">
      <c r="B5" s="115" t="n"/>
    </row>
    <row r="6" ht="15.75" customHeight="1" s="206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206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6">
      <c r="B10" s="240" t="n">
        <v>1</v>
      </c>
      <c r="C10" s="240" t="n">
        <v>2</v>
      </c>
      <c r="D10" s="240" t="n">
        <v>3</v>
      </c>
    </row>
    <row r="11" ht="45" customHeight="1" s="206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6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206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206">
      <c r="B14" s="24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0" t="n">
        <v>6.26</v>
      </c>
    </row>
    <row r="15" ht="89.45" customHeight="1" s="206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06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7" customHeight="1" s="206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17" t="n">
        <v>0.0214</v>
      </c>
    </row>
    <row r="18" ht="31.7" customHeight="1" s="206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17" t="n">
        <v>0.002</v>
      </c>
    </row>
    <row r="19" ht="24" customHeight="1" s="206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17" t="n">
        <v>0.03</v>
      </c>
    </row>
    <row r="20" ht="18.75" customHeight="1" s="206">
      <c r="B20" s="116" t="n"/>
    </row>
    <row r="21" ht="18.75" customHeight="1" s="206">
      <c r="B21" s="116" t="n"/>
    </row>
    <row r="22" ht="18.75" customHeight="1" s="206">
      <c r="B22" s="116" t="n"/>
    </row>
    <row r="23" ht="18.75" customHeight="1" s="206">
      <c r="B23" s="116" t="n"/>
    </row>
    <row r="26">
      <c r="B26" s="182" t="inlineStr">
        <is>
          <t>Составил ______________________        Д.Ю. Нефедова</t>
        </is>
      </c>
      <c r="C26" s="192" t="n"/>
    </row>
    <row r="27">
      <c r="B27" s="193" t="inlineStr">
        <is>
          <t xml:space="preserve">                         (подпись, инициалы, фамилия)</t>
        </is>
      </c>
      <c r="C27" s="192" t="n"/>
    </row>
    <row r="28">
      <c r="B28" s="182" t="n"/>
      <c r="C28" s="192" t="n"/>
    </row>
    <row r="29">
      <c r="B29" s="182" t="inlineStr">
        <is>
          <t>Проверил ______________________        А.В. Костянецкая</t>
        </is>
      </c>
      <c r="C29" s="192" t="n"/>
    </row>
    <row r="30">
      <c r="B30" s="193" t="inlineStr">
        <is>
          <t xml:space="preserve">                        (подпись, инициалы, фамилия)</t>
        </is>
      </c>
      <c r="C30" s="19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Z20" sqref="Z20"/>
    </sheetView>
  </sheetViews>
  <sheetFormatPr baseColWidth="8" defaultColWidth="9.140625" defaultRowHeight="15"/>
  <cols>
    <col width="44.85546875" customWidth="1" style="206" min="2" max="2"/>
    <col width="13" customWidth="1" style="206" min="3" max="3"/>
    <col width="22.85546875" customWidth="1" style="206" min="4" max="4"/>
    <col width="21.5703125" customWidth="1" style="206" min="5" max="5"/>
    <col width="43.85546875" customWidth="1" style="206" min="6" max="6"/>
  </cols>
  <sheetData>
    <row r="1" s="206"/>
    <row r="2" ht="17.25" customHeight="1" s="206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6"/>
    <row r="4" ht="18" customHeight="1" s="206">
      <c r="A4" s="207" t="inlineStr">
        <is>
          <t>Составлен в уровне цен на 01.01.2023 г.</t>
        </is>
      </c>
      <c r="B4" s="208" t="n"/>
      <c r="C4" s="208" t="n"/>
      <c r="D4" s="208" t="n"/>
      <c r="E4" s="208" t="n"/>
      <c r="F4" s="208" t="n"/>
      <c r="G4" s="208" t="n"/>
    </row>
    <row r="5" ht="15.75" customHeight="1" s="206">
      <c r="A5" s="209" t="inlineStr">
        <is>
          <t>№ пп.</t>
        </is>
      </c>
      <c r="B5" s="209" t="inlineStr">
        <is>
          <t>Наименование элемента</t>
        </is>
      </c>
      <c r="C5" s="209" t="inlineStr">
        <is>
          <t>Обозначение</t>
        </is>
      </c>
      <c r="D5" s="209" t="inlineStr">
        <is>
          <t>Формула</t>
        </is>
      </c>
      <c r="E5" s="209" t="inlineStr">
        <is>
          <t>Величина элемента</t>
        </is>
      </c>
      <c r="F5" s="209" t="inlineStr">
        <is>
          <t>Наименования обосновывающих документов</t>
        </is>
      </c>
      <c r="G5" s="208" t="n"/>
    </row>
    <row r="6" ht="15.75" customHeight="1" s="206">
      <c r="A6" s="209" t="n">
        <v>1</v>
      </c>
      <c r="B6" s="209" t="n">
        <v>2</v>
      </c>
      <c r="C6" s="209" t="n">
        <v>3</v>
      </c>
      <c r="D6" s="209" t="n">
        <v>4</v>
      </c>
      <c r="E6" s="209" t="n">
        <v>5</v>
      </c>
      <c r="F6" s="209" t="n">
        <v>6</v>
      </c>
      <c r="G6" s="208" t="n"/>
    </row>
    <row r="7" ht="110.25" customHeight="1" s="206">
      <c r="A7" s="210" t="inlineStr">
        <is>
          <t>1.1</t>
        </is>
      </c>
      <c r="B7" s="2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13" t="n">
        <v>47872.94</v>
      </c>
      <c r="F7" s="2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8" t="n"/>
    </row>
    <row r="8" ht="31.5" customHeight="1" s="206">
      <c r="A8" s="210" t="inlineStr">
        <is>
          <t>1.2</t>
        </is>
      </c>
      <c r="B8" s="215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14">
        <f>1973/12</f>
        <v/>
      </c>
      <c r="F8" s="215" t="inlineStr">
        <is>
          <t>Производственный календарь 2023 год
(40-часов.неделя)</t>
        </is>
      </c>
      <c r="G8" s="217" t="n"/>
    </row>
    <row r="9" ht="15.75" customHeight="1" s="206">
      <c r="A9" s="210" t="inlineStr">
        <is>
          <t>1.3</t>
        </is>
      </c>
      <c r="B9" s="215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14" t="n">
        <v>1</v>
      </c>
      <c r="F9" s="215" t="n"/>
      <c r="G9" s="217" t="n"/>
    </row>
    <row r="10" ht="15.75" customHeight="1" s="206">
      <c r="A10" s="210" t="inlineStr">
        <is>
          <t>1.4</t>
        </is>
      </c>
      <c r="B10" s="215" t="inlineStr">
        <is>
          <t>Средний разряд работ</t>
        </is>
      </c>
      <c r="C10" s="240" t="n"/>
      <c r="D10" s="240" t="n"/>
      <c r="E10" s="218" t="n">
        <v>2.9</v>
      </c>
      <c r="F10" s="215" t="inlineStr">
        <is>
          <t>РТМ</t>
        </is>
      </c>
      <c r="G10" s="217" t="n"/>
    </row>
    <row r="11" ht="78.75" customHeight="1" s="206">
      <c r="A11" s="210" t="inlineStr">
        <is>
          <t>1.5</t>
        </is>
      </c>
      <c r="B11" s="215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219" t="n">
        <v>1.176</v>
      </c>
      <c r="F1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8" t="n"/>
    </row>
    <row r="12" ht="78.75" customHeight="1" s="206">
      <c r="A12" s="210" t="inlineStr">
        <is>
          <t>1.6</t>
        </is>
      </c>
      <c r="B12" s="220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335" t="n">
        <v>1.139</v>
      </c>
      <c r="F12" s="2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n"/>
    </row>
    <row r="13" ht="63" customHeight="1" s="206">
      <c r="A13" s="223" t="inlineStr">
        <is>
          <t>1.7</t>
        </is>
      </c>
      <c r="B13" s="224" t="inlineStr">
        <is>
          <t>Размер средств на оплату труда рабочих-строителей в текущем уровне цен (ФОТр.тек.), руб/чел.-ч</t>
        </is>
      </c>
      <c r="C13" s="225" t="inlineStr">
        <is>
          <t>ФОТр.тек.</t>
        </is>
      </c>
      <c r="D13" s="225" t="inlineStr">
        <is>
          <t>(С1ср/tср*КТ*Т*Кув)*Кинф</t>
        </is>
      </c>
      <c r="E13" s="226">
        <f>((E7*E9/E8)*E11)*E12</f>
        <v/>
      </c>
      <c r="F13" s="2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2025-01-24T12:12:35Z</dcterms:modified>
  <cp:lastModifiedBy>REDMIBOOK</cp:lastModifiedBy>
  <cp:lastPrinted>2023-12-01T11:27:19Z</cp:lastPrinted>
</cp:coreProperties>
</file>