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1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wrapText="1"/>
    </xf>
    <xf numFmtId="0" fontId="16" fillId="0" borderId="1" applyAlignment="1" pivotButton="0" quotePrefix="0" xfId="0">
      <alignment horizontal="left" vertical="top" wrapText="1"/>
    </xf>
    <xf numFmtId="0" fontId="16" fillId="4" borderId="1" applyAlignment="1" pivotButton="0" quotePrefix="0" xfId="0">
      <alignment vertical="top" wrapText="1"/>
    </xf>
    <xf numFmtId="0" fontId="16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6" fontId="1" fillId="4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10" fontId="20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9" fontId="16" fillId="4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2" fontId="16" fillId="0" borderId="5" applyAlignment="1" pivotButton="0" quotePrefix="0" xfId="0">
      <alignment horizontal="right" vertical="center"/>
    </xf>
    <xf numFmtId="2" fontId="16" fillId="0" borderId="4" applyAlignment="1" pivotButton="0" quotePrefix="0" xfId="0">
      <alignment horizontal="right" vertical="center"/>
    </xf>
    <xf numFmtId="2" fontId="16" fillId="0" borderId="5" applyAlignment="1" pivotButton="0" quotePrefix="0" xfId="0">
      <alignment horizontal="right" vertical="center" wrapText="1"/>
    </xf>
    <xf numFmtId="2" fontId="16" fillId="0" borderId="4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49" fontId="16" fillId="0" borderId="5" applyAlignment="1" pivotButton="0" quotePrefix="0" xfId="0">
      <alignment horizontal="left" vertical="center" wrapText="1"/>
    </xf>
    <xf numFmtId="49" fontId="16" fillId="0" borderId="4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9" fontId="16" fillId="0" borderId="1" applyAlignment="1" pivotButton="0" quotePrefix="0" xfId="0">
      <alignment horizontal="lef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9" zoomScale="70" zoomScaleNormal="55" workbookViewId="0">
      <selection activeCell="D29" sqref="D29:E29"/>
    </sheetView>
  </sheetViews>
  <sheetFormatPr baseColWidth="8" defaultColWidth="9.140625" defaultRowHeight="15.75"/>
  <cols>
    <col width="9.140625" customWidth="1" style="312" min="1" max="2"/>
    <col width="36.85546875" customWidth="1" style="312" min="3" max="3"/>
    <col width="36.5703125" customWidth="1" style="312" min="4" max="5"/>
    <col width="37.42578125" customWidth="1" style="312" min="6" max="6"/>
    <col width="9.140625" customWidth="1" style="312" min="7" max="7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>
      <c r="B5" s="230" t="n"/>
      <c r="C5" s="230" t="n"/>
      <c r="D5" s="230" t="n"/>
      <c r="E5" s="230" t="n"/>
    </row>
    <row r="6">
      <c r="B6" s="230" t="n"/>
      <c r="C6" s="230" t="n"/>
      <c r="D6" s="230" t="n"/>
      <c r="E6" s="230" t="n"/>
    </row>
    <row r="7">
      <c r="B7" s="341" t="inlineStr">
        <is>
          <t>Наименование разрабатываемого показателя УНЦ — Кабельный колодец</t>
        </is>
      </c>
      <c r="F7" s="229" t="n"/>
    </row>
    <row r="8" ht="31.7" customHeight="1" s="310">
      <c r="B8" s="341" t="inlineStr">
        <is>
          <t>Сопоставимый уровень цен: 3 кв 2019</t>
        </is>
      </c>
    </row>
    <row r="9">
      <c r="B9" s="341" t="inlineStr">
        <is>
          <t>Единица измерения  — 1 шт</t>
        </is>
      </c>
      <c r="F9" s="229" t="n"/>
    </row>
    <row r="10">
      <c r="B10" s="341" t="n"/>
    </row>
    <row r="11">
      <c r="B11" s="353" t="inlineStr">
        <is>
          <t>№ п/п</t>
        </is>
      </c>
      <c r="C11" s="353" t="inlineStr">
        <is>
          <t>Параметр</t>
        </is>
      </c>
      <c r="D11" s="324" t="inlineStr">
        <is>
          <t>Объект-представитель 1</t>
        </is>
      </c>
      <c r="E11" s="324" t="inlineStr">
        <is>
          <t>Объект-представитель 2</t>
        </is>
      </c>
      <c r="F11" s="229" t="n"/>
    </row>
    <row r="12" ht="119.45" customHeight="1" s="310">
      <c r="B12" s="353" t="n">
        <v>1</v>
      </c>
      <c r="C12" s="324" t="inlineStr">
        <is>
          <t>Наименование объекта-представителя</t>
        </is>
      </c>
      <c r="D12" s="353" t="inlineStr">
        <is>
          <t>Строительство КТПМ 35 кВ в районе РП 1868 с КЛ 35</t>
        </is>
      </c>
      <c r="E12" s="353" t="inlineStr">
        <is>
          <t>Строительство КЛ 35 кВ Приморская-1,2,3,6</t>
        </is>
      </c>
    </row>
    <row r="13" ht="31.7" customHeight="1" s="310">
      <c r="B13" s="353" t="n">
        <v>2</v>
      </c>
      <c r="C13" s="324" t="inlineStr">
        <is>
          <t>Наименование субъекта Российской Федерации</t>
        </is>
      </c>
      <c r="D13" s="353" t="inlineStr">
        <is>
          <t>г. Санкт-Петербург</t>
        </is>
      </c>
      <c r="E13" s="353" t="inlineStr">
        <is>
          <t>г. Санкт-Петербург</t>
        </is>
      </c>
    </row>
    <row r="14">
      <c r="B14" s="353" t="n">
        <v>3</v>
      </c>
      <c r="C14" s="324" t="inlineStr">
        <is>
          <t>Климатический район и подрайон</t>
        </is>
      </c>
      <c r="D14" s="353" t="inlineStr">
        <is>
          <t>IIВ</t>
        </is>
      </c>
      <c r="E14" s="353" t="inlineStr">
        <is>
          <t>IIВ</t>
        </is>
      </c>
    </row>
    <row r="15">
      <c r="B15" s="353" t="n">
        <v>4</v>
      </c>
      <c r="C15" s="324" t="inlineStr">
        <is>
          <t>Мощность объекта</t>
        </is>
      </c>
      <c r="D15" s="353" t="n">
        <v>1</v>
      </c>
      <c r="E15" s="353" t="n">
        <v>2</v>
      </c>
    </row>
    <row r="16" ht="99" customHeight="1" s="31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ПКЭТ-1500</t>
        </is>
      </c>
      <c r="E16" s="353" t="inlineStr">
        <is>
          <t>ПКЭТ-1500</t>
        </is>
      </c>
    </row>
    <row r="17" ht="78.75" customHeight="1" s="31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72">
        <f>SUM(E18:E21)</f>
        <v/>
      </c>
      <c r="F17" s="225" t="n"/>
    </row>
    <row r="18">
      <c r="B18" s="228" t="inlineStr">
        <is>
          <t>6.1</t>
        </is>
      </c>
      <c r="C18" s="324" t="inlineStr">
        <is>
          <t>строительно-монтажные работы</t>
        </is>
      </c>
      <c r="D18" s="272" t="n">
        <v>580.98</v>
      </c>
      <c r="E18" s="272" t="n">
        <v>2400.65</v>
      </c>
    </row>
    <row r="19" ht="15.75" customHeight="1" s="310">
      <c r="B19" s="228" t="inlineStr">
        <is>
          <t>6.2</t>
        </is>
      </c>
      <c r="C19" s="324" t="inlineStr">
        <is>
          <t>оборудование и инвентарь</t>
        </is>
      </c>
      <c r="D19" s="272" t="n">
        <v>0</v>
      </c>
      <c r="E19" s="272" t="n">
        <v>0</v>
      </c>
    </row>
    <row r="20" ht="16.5" customHeight="1" s="310">
      <c r="B20" s="228" t="inlineStr">
        <is>
          <t>6.3</t>
        </is>
      </c>
      <c r="C20" s="324" t="inlineStr">
        <is>
          <t>пусконаладочные работы</t>
        </is>
      </c>
      <c r="D20" s="272" t="n">
        <v>0</v>
      </c>
      <c r="E20" s="272" t="n">
        <v>0</v>
      </c>
    </row>
    <row r="21" ht="35.45" customHeight="1" s="310">
      <c r="B21" s="228" t="inlineStr">
        <is>
          <t>6.4</t>
        </is>
      </c>
      <c r="C21" s="227" t="inlineStr">
        <is>
          <t>прочие и лимитированные затраты</t>
        </is>
      </c>
      <c r="D21" s="272">
        <f>D18*3.9%+(D18+D18*3.9%)*2.1%</f>
        <v/>
      </c>
      <c r="E21" s="272">
        <f>E18*3.9%+(E18+E18*3.9%)*2.1%</f>
        <v/>
      </c>
    </row>
    <row r="22">
      <c r="B22" s="353" t="n">
        <v>7</v>
      </c>
      <c r="C22" s="227" t="inlineStr">
        <is>
          <t>Сопоставимый уровень цен</t>
        </is>
      </c>
      <c r="D22" s="353" t="inlineStr">
        <is>
          <t>3 кв 2019</t>
        </is>
      </c>
      <c r="E22" s="353" t="inlineStr">
        <is>
          <t>3 кв 2019</t>
        </is>
      </c>
      <c r="F22" s="225" t="n"/>
    </row>
    <row r="23" ht="123" customHeight="1" s="310">
      <c r="B23" s="353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D17/5.77*6.02</f>
        <v/>
      </c>
      <c r="E23" s="272">
        <f>E17/5.86*6.02</f>
        <v/>
      </c>
    </row>
    <row r="24" ht="60.75" customHeight="1" s="31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72">
        <f>E23/E15</f>
        <v/>
      </c>
      <c r="F24" s="225" t="n"/>
    </row>
    <row r="25" ht="120.2" customHeight="1" s="310">
      <c r="B25" s="353" t="n">
        <v>10</v>
      </c>
      <c r="C25" s="324" t="inlineStr">
        <is>
          <t>Примечание</t>
        </is>
      </c>
      <c r="D25" s="324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324" t="n"/>
    </row>
    <row r="26">
      <c r="B26" s="223" t="n"/>
      <c r="C26" s="222" t="n"/>
      <c r="D26" s="222" t="n"/>
      <c r="E26" s="222" t="n"/>
    </row>
    <row r="27" ht="37.5" customHeight="1" s="310">
      <c r="B27" s="221" t="n"/>
    </row>
    <row r="28">
      <c r="B28" s="312" t="inlineStr">
        <is>
          <t>Составил ______________________    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57"/>
  <sheetViews>
    <sheetView view="pageBreakPreview" topLeftCell="A7" zoomScale="70" zoomScaleNormal="70" workbookViewId="0">
      <selection activeCell="D17" sqref="D17:J17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</cols>
  <sheetData>
    <row r="3">
      <c r="B3" s="339" t="inlineStr">
        <is>
          <t>Приложение № 2</t>
        </is>
      </c>
      <c r="K3" s="221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15.75" customHeight="1" s="310">
      <c r="B6" s="352" t="inlineStr">
        <is>
          <t>Наименование разрабатываемого показателя УНЦ —  Кабельный колодец</t>
        </is>
      </c>
      <c r="K6" s="221" t="n"/>
      <c r="L6" s="229" t="n"/>
    </row>
    <row r="7">
      <c r="B7" s="341" t="inlineStr">
        <is>
          <t>Единица измерения  — 1 шт</t>
        </is>
      </c>
      <c r="L7" s="229" t="n"/>
    </row>
    <row r="8">
      <c r="B8" s="341" t="n"/>
    </row>
    <row r="9" ht="15.75" customHeight="1" s="31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10">
      <c r="B10" s="438" t="n"/>
      <c r="C10" s="438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2019 г., тыс. руб.</t>
        </is>
      </c>
      <c r="G10" s="436" t="n"/>
      <c r="H10" s="436" t="n"/>
      <c r="I10" s="436" t="n"/>
      <c r="J10" s="437" t="n"/>
    </row>
    <row r="11" ht="31.7" customHeight="1" s="310">
      <c r="B11" s="439" t="n"/>
      <c r="C11" s="439" t="n"/>
      <c r="D11" s="439" t="n"/>
      <c r="E11" s="439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84.59999999999999" customHeight="1" s="310">
      <c r="B12" s="313" t="n">
        <v>1</v>
      </c>
      <c r="C12" s="353" t="inlineStr">
        <is>
          <t>ПКЭТ-1500</t>
        </is>
      </c>
      <c r="D12" s="440" t="inlineStr">
        <is>
          <t>02-01-01</t>
        </is>
      </c>
      <c r="E12" s="319" t="inlineStr">
        <is>
          <t>КЛ 35кВ с ВОЛС</t>
        </is>
      </c>
      <c r="F12" s="242">
        <f>100429*5.77/1000</f>
        <v/>
      </c>
      <c r="G12" s="242">
        <f>261*5.77/1000</f>
        <v/>
      </c>
      <c r="H12" s="313" t="n"/>
      <c r="I12" s="313" t="n"/>
      <c r="J12" s="244">
        <f>SUM(F12:I12)</f>
        <v/>
      </c>
    </row>
    <row r="13" hidden="1" ht="150.6" customHeight="1" s="310">
      <c r="B13" s="439" t="n"/>
      <c r="C13" s="439" t="n"/>
      <c r="D13" s="439" t="n"/>
      <c r="E13" s="439" t="n"/>
      <c r="F13" s="439" t="n"/>
      <c r="G13" s="439" t="n"/>
      <c r="H13" s="439" t="n"/>
      <c r="I13" s="439" t="n"/>
      <c r="J13" s="439" t="n"/>
    </row>
    <row r="14" ht="15.75" customHeight="1" s="310">
      <c r="B14" s="351" t="inlineStr">
        <is>
          <t>Всего по объекту:</t>
        </is>
      </c>
      <c r="C14" s="436" t="n"/>
      <c r="D14" s="436" t="n"/>
      <c r="E14" s="437" t="n"/>
      <c r="F14" s="243">
        <f>F12</f>
        <v/>
      </c>
      <c r="G14" s="243">
        <f>G12</f>
        <v/>
      </c>
      <c r="H14" s="232" t="n"/>
      <c r="I14" s="232" t="n"/>
      <c r="J14" s="245">
        <f>SUM(F14:I14)</f>
        <v/>
      </c>
    </row>
    <row r="15" ht="28.5" customHeight="1" s="310">
      <c r="B15" s="351" t="inlineStr">
        <is>
          <t>Всего по объекту в сопоставимом уровне цен 2кв.2019 г.:</t>
        </is>
      </c>
      <c r="C15" s="436" t="n"/>
      <c r="D15" s="436" t="n"/>
      <c r="E15" s="437" t="n"/>
      <c r="F15" s="243">
        <f>F14</f>
        <v/>
      </c>
      <c r="G15" s="243">
        <f>G14</f>
        <v/>
      </c>
      <c r="H15" s="232" t="n"/>
      <c r="I15" s="232" t="n"/>
      <c r="J15" s="245">
        <f>SUM(F15:I15)</f>
        <v/>
      </c>
    </row>
    <row r="16">
      <c r="B16" s="341" t="n"/>
    </row>
    <row r="17">
      <c r="B17" s="353" t="inlineStr">
        <is>
          <t>№ п/п</t>
        </is>
      </c>
      <c r="C17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353" t="inlineStr">
        <is>
          <t>Объект-представитель 2</t>
        </is>
      </c>
      <c r="E17" s="436" t="n"/>
      <c r="F17" s="436" t="n"/>
      <c r="G17" s="436" t="n"/>
      <c r="H17" s="436" t="n"/>
      <c r="I17" s="436" t="n"/>
      <c r="J17" s="437" t="n"/>
    </row>
    <row r="18" ht="15.75" customHeight="1" s="310">
      <c r="B18" s="438" t="n"/>
      <c r="C18" s="438" t="n"/>
      <c r="D18" s="353" t="inlineStr">
        <is>
          <t>Номер сметы</t>
        </is>
      </c>
      <c r="E18" s="353" t="inlineStr">
        <is>
          <t>Наименование сметы</t>
        </is>
      </c>
      <c r="F18" s="353" t="inlineStr">
        <is>
          <t>Сметная стоимость в уровне цен 3 кв. 2019 г., тыс. руб.</t>
        </is>
      </c>
      <c r="G18" s="436" t="n"/>
      <c r="H18" s="436" t="n"/>
      <c r="I18" s="436" t="n"/>
      <c r="J18" s="437" t="n"/>
    </row>
    <row r="19" ht="31.7" customHeight="1" s="310">
      <c r="B19" s="439" t="n"/>
      <c r="C19" s="439" t="n"/>
      <c r="D19" s="439" t="n"/>
      <c r="E19" s="439" t="n"/>
      <c r="F19" s="353" t="inlineStr">
        <is>
          <t>Строительные работы</t>
        </is>
      </c>
      <c r="G19" s="353" t="inlineStr">
        <is>
          <t>Монтажные работы</t>
        </is>
      </c>
      <c r="H19" s="353" t="inlineStr">
        <is>
          <t>Оборудование</t>
        </is>
      </c>
      <c r="I19" s="353" t="inlineStr">
        <is>
          <t>Прочее</t>
        </is>
      </c>
      <c r="J19" s="353" t="inlineStr">
        <is>
          <t>Всего</t>
        </is>
      </c>
    </row>
    <row r="20" ht="63" customHeight="1" s="310">
      <c r="B20" s="313" t="n">
        <v>1</v>
      </c>
      <c r="C20" s="354" t="inlineStr">
        <is>
          <t>ПКЭТ-1500</t>
        </is>
      </c>
      <c r="D20" s="246" t="inlineStr">
        <is>
          <t>02-01-02</t>
        </is>
      </c>
      <c r="E20" s="265" t="inlineStr">
        <is>
          <t>Кабельная линия  35 кВ  ПС 330кВ «Завод Ильич» - П/П «Ильюшин»»</t>
        </is>
      </c>
      <c r="F20" s="242">
        <f>202446.7*5.86/1000</f>
        <v/>
      </c>
      <c r="G20" s="242">
        <f>207220.3*5.86/1000</f>
        <v/>
      </c>
      <c r="H20" s="233" t="n"/>
      <c r="I20" s="233" t="n"/>
      <c r="J20" s="244">
        <f>SUM(F20:I20)</f>
        <v/>
      </c>
    </row>
    <row r="21">
      <c r="B21" s="351" t="inlineStr">
        <is>
          <t>Всего по объекту:</t>
        </is>
      </c>
      <c r="C21" s="436" t="n"/>
      <c r="D21" s="436" t="n"/>
      <c r="E21" s="437" t="n"/>
      <c r="F21" s="243">
        <f>SUM(F20:F20)</f>
        <v/>
      </c>
      <c r="G21" s="243">
        <f>SUM(G20:G20)</f>
        <v/>
      </c>
      <c r="H21" s="232" t="n"/>
      <c r="I21" s="232" t="n"/>
      <c r="J21" s="245">
        <f>SUM(F21:I21)</f>
        <v/>
      </c>
    </row>
    <row r="22" ht="28.5" customHeight="1" s="310">
      <c r="B22" s="351" t="inlineStr">
        <is>
          <t>Всего по объекту в сопоставимом уровне цен 3кв.2019 г:</t>
        </is>
      </c>
      <c r="C22" s="436" t="n"/>
      <c r="D22" s="436" t="n"/>
      <c r="E22" s="437" t="n"/>
      <c r="F22" s="243">
        <f>F21</f>
        <v/>
      </c>
      <c r="G22" s="243">
        <f>G21</f>
        <v/>
      </c>
      <c r="H22" s="232" t="n"/>
      <c r="I22" s="232" t="n"/>
      <c r="J22" s="245">
        <f>SUM(F22:I22)</f>
        <v/>
      </c>
    </row>
    <row r="25">
      <c r="B25" s="381" t="inlineStr">
        <is>
          <t>*</t>
        </is>
      </c>
      <c r="C25" s="312" t="inlineStr">
        <is>
          <t xml:space="preserve"> - стоимость с учетом исключения затрат на корректровку по транспортировке  свыше 30 км.</t>
        </is>
      </c>
    </row>
    <row r="29">
      <c r="B29" s="312" t="inlineStr">
        <is>
          <t>Составил ______________________        А.Р. Маркова</t>
        </is>
      </c>
    </row>
    <row r="30">
      <c r="B30" s="221" t="inlineStr">
        <is>
          <t xml:space="preserve">                         (подпись, инициалы, фамилия)</t>
        </is>
      </c>
    </row>
    <row r="32">
      <c r="B32" s="312" t="inlineStr">
        <is>
          <t>Проверил ______________________        А.В. Костянецкая</t>
        </is>
      </c>
    </row>
    <row r="33">
      <c r="B33" s="221" t="inlineStr">
        <is>
          <t xml:space="preserve">                        (подпись, инициалы, фамилия)</t>
        </is>
      </c>
    </row>
    <row r="52">
      <c r="B52" s="353" t="inlineStr">
        <is>
          <t>№ п/п</t>
        </is>
      </c>
      <c r="C52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52" s="353" t="inlineStr">
        <is>
          <t>Объект-представитель 2</t>
        </is>
      </c>
      <c r="E52" s="436" t="n"/>
      <c r="F52" s="436" t="n"/>
      <c r="G52" s="436" t="n"/>
      <c r="H52" s="436" t="n"/>
      <c r="I52" s="436" t="n"/>
      <c r="J52" s="437" t="n"/>
    </row>
    <row r="53">
      <c r="B53" s="438" t="n"/>
      <c r="C53" s="438" t="n"/>
      <c r="D53" s="353" t="inlineStr">
        <is>
          <t>Номер сметы</t>
        </is>
      </c>
      <c r="E53" s="353" t="inlineStr">
        <is>
          <t>Наименование сметы</t>
        </is>
      </c>
      <c r="F53" s="353" t="inlineStr">
        <is>
          <t>Сметная стоимость в уровне цен 4 кв. 2020 г., тыс. руб.</t>
        </is>
      </c>
      <c r="G53" s="436" t="n"/>
      <c r="H53" s="436" t="n"/>
      <c r="I53" s="436" t="n"/>
      <c r="J53" s="437" t="n"/>
    </row>
    <row r="54" ht="31.7" customHeight="1" s="310">
      <c r="B54" s="439" t="n"/>
      <c r="C54" s="439" t="n"/>
      <c r="D54" s="439" t="n"/>
      <c r="E54" s="439" t="n"/>
      <c r="F54" s="353" t="inlineStr">
        <is>
          <t>Строительные работы</t>
        </is>
      </c>
      <c r="G54" s="353" t="inlineStr">
        <is>
          <t>Монтажные работы</t>
        </is>
      </c>
      <c r="H54" s="353" t="inlineStr">
        <is>
          <t>Оборудование</t>
        </is>
      </c>
      <c r="I54" s="353" t="inlineStr">
        <is>
          <t>Прочее</t>
        </is>
      </c>
      <c r="J54" s="353" t="inlineStr">
        <is>
          <t>Всего</t>
        </is>
      </c>
    </row>
    <row r="55" ht="244.5" customHeight="1" s="310">
      <c r="B55" s="247" t="n">
        <v>1</v>
      </c>
      <c r="C55" s="249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55" s="246" t="inlineStr">
        <is>
          <t>02-01-02</t>
        </is>
      </c>
      <c r="E55" s="324" t="inlineStr">
        <is>
          <t>Конструктивно-строительные решения</t>
        </is>
      </c>
      <c r="F55" s="242">
        <f>14802540.18/1000*8.46</f>
        <v/>
      </c>
      <c r="G55" s="233" t="n"/>
      <c r="H55" s="233" t="n"/>
      <c r="I55" s="233" t="n"/>
      <c r="J55" s="244">
        <f>SUM(F55:I55)</f>
        <v/>
      </c>
    </row>
    <row r="56">
      <c r="B56" s="351" t="inlineStr">
        <is>
          <t>Всего по объекту:</t>
        </is>
      </c>
      <c r="C56" s="436" t="n"/>
      <c r="D56" s="436" t="n"/>
      <c r="E56" s="437" t="n"/>
      <c r="F56" s="243">
        <f>SUM(F55:F55)</f>
        <v/>
      </c>
      <c r="G56" s="232" t="n"/>
      <c r="H56" s="232" t="n"/>
      <c r="I56" s="232" t="n"/>
      <c r="J56" s="245">
        <f>SUM(F56:I56)</f>
        <v/>
      </c>
    </row>
    <row r="57" ht="28.5" customHeight="1" s="310">
      <c r="B57" s="351" t="inlineStr">
        <is>
          <t>Всего по объекту в сопоставимом уровне цен 4 кв. 2020 г:</t>
        </is>
      </c>
      <c r="C57" s="436" t="n"/>
      <c r="D57" s="436" t="n"/>
      <c r="E57" s="437" t="n"/>
      <c r="F57" s="243">
        <f>F56</f>
        <v/>
      </c>
      <c r="G57" s="232" t="n"/>
      <c r="H57" s="232" t="n"/>
      <c r="I57" s="232" t="n"/>
      <c r="J57" s="245">
        <f>SUM(F57:I57)</f>
        <v/>
      </c>
    </row>
  </sheetData>
  <mergeCells count="37">
    <mergeCell ref="F53:J53"/>
    <mergeCell ref="D9:J9"/>
    <mergeCell ref="B12:B13"/>
    <mergeCell ref="C17:C19"/>
    <mergeCell ref="F10:J10"/>
    <mergeCell ref="F12:F13"/>
    <mergeCell ref="B15:E15"/>
    <mergeCell ref="E10:E11"/>
    <mergeCell ref="B4:K4"/>
    <mergeCell ref="C12:C13"/>
    <mergeCell ref="I12:I13"/>
    <mergeCell ref="F18:J18"/>
    <mergeCell ref="B7:K7"/>
    <mergeCell ref="D12:D13"/>
    <mergeCell ref="B6:J6"/>
    <mergeCell ref="B22:E22"/>
    <mergeCell ref="D53:D54"/>
    <mergeCell ref="B56:E56"/>
    <mergeCell ref="D18:D19"/>
    <mergeCell ref="D52:J52"/>
    <mergeCell ref="B52:B54"/>
    <mergeCell ref="B21:E21"/>
    <mergeCell ref="J12:J13"/>
    <mergeCell ref="H12:H13"/>
    <mergeCell ref="B14:E14"/>
    <mergeCell ref="B17:B19"/>
    <mergeCell ref="B57:E57"/>
    <mergeCell ref="E53:E54"/>
    <mergeCell ref="B3:J3"/>
    <mergeCell ref="D10:D11"/>
    <mergeCell ref="D17:J17"/>
    <mergeCell ref="E18:E19"/>
    <mergeCell ref="E12:E13"/>
    <mergeCell ref="G12:G13"/>
    <mergeCell ref="C52:C54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52"/>
  <sheetViews>
    <sheetView view="pageBreakPreview" topLeftCell="A41" zoomScale="85" zoomScaleSheetLayoutView="85" workbookViewId="0">
      <selection activeCell="F51" sqref="F51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221" min="3" max="3"/>
    <col width="49.7109375" customWidth="1" style="290" min="4" max="4"/>
    <col width="10.140625" customWidth="1" style="289" min="5" max="5"/>
    <col width="20.7109375" customWidth="1" style="312" min="6" max="6"/>
    <col width="16.140625" customWidth="1" style="312" min="7" max="7"/>
    <col width="16.7109375" customWidth="1" style="312" min="8" max="8"/>
    <col width="9.140625" customWidth="1" style="312" min="16" max="16"/>
  </cols>
  <sheetData>
    <row r="2" s="310">
      <c r="A2" s="312" t="n"/>
      <c r="B2" s="312" t="n"/>
      <c r="C2" s="221" t="n"/>
      <c r="D2" s="290" t="n"/>
      <c r="E2" s="289" t="n"/>
      <c r="F2" s="312" t="n"/>
      <c r="G2" s="312" t="n"/>
      <c r="H2" s="312" t="n"/>
      <c r="P2" s="312" t="n"/>
    </row>
    <row r="3" s="310">
      <c r="A3" s="312" t="n"/>
      <c r="B3" s="312" t="n"/>
      <c r="C3" s="221" t="n"/>
      <c r="D3" s="290" t="n"/>
      <c r="E3" s="289" t="n"/>
      <c r="F3" s="312" t="n"/>
      <c r="G3" s="312" t="n"/>
      <c r="H3" s="312" t="n"/>
      <c r="P3" s="312" t="n"/>
    </row>
    <row r="4">
      <c r="A4" s="339" t="inlineStr">
        <is>
          <t xml:space="preserve">Приложение № 3 </t>
        </is>
      </c>
    </row>
    <row r="5">
      <c r="A5" s="340" t="inlineStr">
        <is>
          <t>Объектная ресурсная ведомость</t>
        </is>
      </c>
    </row>
    <row r="6">
      <c r="A6" s="341" t="n"/>
    </row>
    <row r="7">
      <c r="A7" s="352" t="inlineStr">
        <is>
          <t>Наименование разрабатываемого показателя УНЦ - Кабельный колодец</t>
        </is>
      </c>
    </row>
    <row r="8">
      <c r="A8" s="352" t="n"/>
      <c r="B8" s="352" t="n"/>
      <c r="C8" s="352" t="n"/>
      <c r="E8" s="290" t="n"/>
      <c r="F8" s="352" t="n"/>
      <c r="G8" s="352" t="n"/>
      <c r="H8" s="352" t="n"/>
    </row>
    <row r="9" ht="38.25" customHeight="1" s="31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63" t="inlineStr">
        <is>
          <t>Наименование ресурса</t>
        </is>
      </c>
      <c r="E9" s="364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37" t="n"/>
    </row>
    <row r="10" ht="40.7" customHeight="1" s="310">
      <c r="A10" s="439" t="n"/>
      <c r="B10" s="439" t="n"/>
      <c r="C10" s="439" t="n"/>
      <c r="D10" s="439" t="n"/>
      <c r="E10" s="439" t="n"/>
      <c r="F10" s="439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292" t="inlineStr">
        <is>
          <t>З</t>
        </is>
      </c>
      <c r="E11" s="291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36" t="n"/>
      <c r="C12" s="436" t="n"/>
      <c r="D12" s="436" t="n"/>
      <c r="E12" s="437" t="n"/>
      <c r="F12" s="238" t="n">
        <v>18.335212</v>
      </c>
      <c r="G12" s="238" t="n"/>
      <c r="H12" s="238">
        <f>SUM(H13:H18)</f>
        <v/>
      </c>
    </row>
    <row r="13">
      <c r="A13" s="361" t="n">
        <v>1</v>
      </c>
      <c r="B13" s="240" t="inlineStr">
        <is>
          <t> </t>
        </is>
      </c>
      <c r="C13" s="287" t="inlineStr">
        <is>
          <t>1-3-8</t>
        </is>
      </c>
      <c r="D13" s="276" t="inlineStr">
        <is>
          <t>Затраты труда рабочих (ср 3,8)</t>
        </is>
      </c>
      <c r="E13" s="275" t="inlineStr">
        <is>
          <t>чел.-ч</t>
        </is>
      </c>
      <c r="F13" s="273" t="n">
        <v>10.406</v>
      </c>
      <c r="G13" s="273" t="n">
        <v>9.4</v>
      </c>
      <c r="H13" s="235">
        <f>ROUND(F13*G13,2)</f>
        <v/>
      </c>
    </row>
    <row r="14">
      <c r="A14" s="361" t="n">
        <v>2</v>
      </c>
      <c r="B14" s="240" t="inlineStr">
        <is>
          <t> </t>
        </is>
      </c>
      <c r="C14" s="287" t="inlineStr">
        <is>
          <t>1-3-5</t>
        </is>
      </c>
      <c r="D14" s="276" t="inlineStr">
        <is>
          <t>Затраты труда рабочих (ср 3,5)</t>
        </is>
      </c>
      <c r="E14" s="275" t="inlineStr">
        <is>
          <t>чел.-ч</t>
        </is>
      </c>
      <c r="F14" s="273" t="n">
        <v>3.825</v>
      </c>
      <c r="G14" s="273" t="n">
        <v>9.07</v>
      </c>
      <c r="H14" s="235">
        <f>ROUND(F14*G14,2)</f>
        <v/>
      </c>
    </row>
    <row r="15">
      <c r="A15" s="361" t="n">
        <v>3</v>
      </c>
      <c r="B15" s="240" t="n"/>
      <c r="C15" s="287" t="inlineStr">
        <is>
          <t>1-3-1</t>
        </is>
      </c>
      <c r="D15" s="276" t="inlineStr">
        <is>
          <t>Затраты труда рабочих (ср 3,1)</t>
        </is>
      </c>
      <c r="E15" s="275" t="inlineStr">
        <is>
          <t>чел.-ч</t>
        </is>
      </c>
      <c r="F15" s="273" t="n">
        <v>1.31</v>
      </c>
      <c r="G15" s="273" t="n">
        <v>8.640000000000001</v>
      </c>
      <c r="H15" s="235">
        <f>ROUND(F15*G15,2)</f>
        <v/>
      </c>
    </row>
    <row r="16">
      <c r="A16" s="361" t="n">
        <v>4</v>
      </c>
      <c r="B16" s="240" t="n"/>
      <c r="C16" s="287" t="inlineStr">
        <is>
          <t>1-2-5</t>
        </is>
      </c>
      <c r="D16" s="276" t="inlineStr">
        <is>
          <t>Затраты труда рабочих (ср 2,5)</t>
        </is>
      </c>
      <c r="E16" s="275" t="inlineStr">
        <is>
          <t>чел.-ч</t>
        </is>
      </c>
      <c r="F16" s="273" t="n">
        <v>1.196</v>
      </c>
      <c r="G16" s="273" t="n">
        <v>8.17</v>
      </c>
      <c r="H16" s="235">
        <f>ROUND(F16*G16,2)</f>
        <v/>
      </c>
    </row>
    <row r="17">
      <c r="A17" s="361" t="n">
        <v>5</v>
      </c>
      <c r="B17" s="240" t="n"/>
      <c r="C17" s="287" t="inlineStr">
        <is>
          <t>1-2-0</t>
        </is>
      </c>
      <c r="D17" s="276" t="inlineStr">
        <is>
          <t>Затраты труда рабочих (ср 2,0)</t>
        </is>
      </c>
      <c r="E17" s="275" t="inlineStr">
        <is>
          <t>чел.-ч</t>
        </is>
      </c>
      <c r="F17" s="273" t="n">
        <v>1.1858</v>
      </c>
      <c r="G17" s="273" t="n">
        <v>7.8</v>
      </c>
      <c r="H17" s="235">
        <f>ROUND(F17*G17,2)</f>
        <v/>
      </c>
    </row>
    <row r="18">
      <c r="A18" s="361" t="n">
        <v>6</v>
      </c>
      <c r="B18" s="240" t="n"/>
      <c r="C18" s="287" t="inlineStr">
        <is>
          <t>1-1-5</t>
        </is>
      </c>
      <c r="D18" s="276" t="inlineStr">
        <is>
          <t>Затраты труда рабочих (ср 1,5)</t>
        </is>
      </c>
      <c r="E18" s="275" t="inlineStr">
        <is>
          <t>чел.-ч</t>
        </is>
      </c>
      <c r="F18" s="273" t="n">
        <v>0.412412</v>
      </c>
      <c r="G18" s="273" t="n">
        <v>7.49</v>
      </c>
      <c r="H18" s="235">
        <f>ROUND(F18*G18,2)</f>
        <v/>
      </c>
    </row>
    <row r="19">
      <c r="A19" s="360" t="inlineStr">
        <is>
          <t>Затраты труда машинистов</t>
        </is>
      </c>
      <c r="B19" s="436" t="n"/>
      <c r="C19" s="436" t="n"/>
      <c r="D19" s="436" t="n"/>
      <c r="E19" s="437" t="n"/>
      <c r="F19" s="360" t="n">
        <v>2.574202</v>
      </c>
      <c r="G19" s="238" t="n"/>
      <c r="H19" s="238">
        <f>H20</f>
        <v/>
      </c>
    </row>
    <row r="20">
      <c r="A20" s="361" t="n">
        <v>7</v>
      </c>
      <c r="B20" s="361" t="inlineStr">
        <is>
          <t> </t>
        </is>
      </c>
      <c r="C20" s="319" t="n">
        <v>2</v>
      </c>
      <c r="D20" s="363" t="inlineStr">
        <is>
          <t>Затраты труда машинистов(справочно)</t>
        </is>
      </c>
      <c r="E20" s="361" t="inlineStr">
        <is>
          <t>чел.-ч</t>
        </is>
      </c>
      <c r="F20" s="361" t="n">
        <v>2.574202</v>
      </c>
      <c r="G20" s="235" t="n"/>
      <c r="H20" s="235" t="n">
        <v>78.68000000000001</v>
      </c>
    </row>
    <row r="21" customFormat="1" s="237">
      <c r="A21" s="360" t="inlineStr">
        <is>
          <t>Машины и механизмы</t>
        </is>
      </c>
      <c r="B21" s="436" t="n"/>
      <c r="C21" s="436" t="n"/>
      <c r="D21" s="436" t="n"/>
      <c r="E21" s="437" t="n"/>
      <c r="F21" s="360" t="n"/>
      <c r="G21" s="238" t="n"/>
      <c r="H21" s="238">
        <f>SUM(H22:H31)</f>
        <v/>
      </c>
    </row>
    <row r="22" ht="19.15" customHeight="1" s="310">
      <c r="A22" s="361" t="n">
        <v>8</v>
      </c>
      <c r="B22" s="361" t="inlineStr">
        <is>
          <t> </t>
        </is>
      </c>
      <c r="C22" s="288" t="inlineStr">
        <is>
          <t>91.14.03-002</t>
        </is>
      </c>
      <c r="D22" s="275" t="inlineStr">
        <is>
          <t>Автомобили-самосвалы, грузоподъемность до 10 т</t>
        </is>
      </c>
      <c r="E22" s="275" t="inlineStr">
        <is>
          <t>маш.-ч.</t>
        </is>
      </c>
      <c r="F22" s="275" t="n">
        <v>2.82</v>
      </c>
      <c r="G22" s="275" t="n">
        <v>87.48999999999999</v>
      </c>
      <c r="H22" s="235">
        <f>ROUND(F22*G22,2)</f>
        <v/>
      </c>
    </row>
    <row r="23" ht="31.7" customFormat="1" customHeight="1" s="237">
      <c r="A23" s="361" t="n">
        <v>9</v>
      </c>
      <c r="B23" s="361" t="inlineStr">
        <is>
          <t> </t>
        </is>
      </c>
      <c r="C23" s="288" t="inlineStr">
        <is>
          <t>91.05.05-014</t>
        </is>
      </c>
      <c r="D23" s="275" t="inlineStr">
        <is>
          <t>Краны на автомобильном ходу, грузоподъемность 10 т</t>
        </is>
      </c>
      <c r="E23" s="275" t="inlineStr">
        <is>
          <t>маш.час</t>
        </is>
      </c>
      <c r="F23" s="275" t="n">
        <v>0.945</v>
      </c>
      <c r="G23" s="275" t="n">
        <v>111.99</v>
      </c>
      <c r="H23" s="235">
        <f>ROUND(F23*G23,2)</f>
        <v/>
      </c>
    </row>
    <row r="24" ht="31.7" customFormat="1" customHeight="1" s="237">
      <c r="A24" s="361" t="n">
        <v>10</v>
      </c>
      <c r="B24" s="361" t="inlineStr">
        <is>
          <t> </t>
        </is>
      </c>
      <c r="C24" s="288" t="inlineStr">
        <is>
          <t>91.05.06-012</t>
        </is>
      </c>
      <c r="D24" s="275" t="inlineStr">
        <is>
          <t>Краны на гусеничном ходу, грузоподъемность до 16 т</t>
        </is>
      </c>
      <c r="E24" s="275" t="inlineStr">
        <is>
          <t>маш.час</t>
        </is>
      </c>
      <c r="F24" s="275" t="n">
        <v>0.6626</v>
      </c>
      <c r="G24" s="275" t="n">
        <v>96.89</v>
      </c>
      <c r="H24" s="235">
        <f>ROUND(F24*G24,2)</f>
        <v/>
      </c>
    </row>
    <row r="25" ht="31.7" customFormat="1" customHeight="1" s="237">
      <c r="A25" s="361" t="n">
        <v>11</v>
      </c>
      <c r="B25" s="361" t="inlineStr">
        <is>
          <t> </t>
        </is>
      </c>
      <c r="C25" s="288" t="inlineStr">
        <is>
          <t>91.05.05-015</t>
        </is>
      </c>
      <c r="D25" s="275" t="inlineStr">
        <is>
          <t>Краны на автомобильном ходу, грузоподъемность 16 т</t>
        </is>
      </c>
      <c r="E25" s="275" t="inlineStr">
        <is>
          <t>маш.час</t>
        </is>
      </c>
      <c r="F25" s="275" t="n">
        <v>0.4982</v>
      </c>
      <c r="G25" s="275" t="n">
        <v>115.4</v>
      </c>
      <c r="H25" s="235">
        <f>ROUND(F25*G25,2)</f>
        <v/>
      </c>
    </row>
    <row r="26" ht="31.7" customFormat="1" customHeight="1" s="237">
      <c r="A26" s="361" t="n">
        <v>12</v>
      </c>
      <c r="B26" s="361" t="inlineStr">
        <is>
          <t> </t>
        </is>
      </c>
      <c r="C26" s="288" t="inlineStr">
        <is>
          <t>91.14.02-001</t>
        </is>
      </c>
      <c r="D26" s="275" t="inlineStr">
        <is>
          <t>Автомобили бортовые, грузоподъемность: до 5 т</t>
        </is>
      </c>
      <c r="E26" s="275" t="inlineStr">
        <is>
          <t>маш.час</t>
        </is>
      </c>
      <c r="F26" s="275" t="n">
        <v>0.6163</v>
      </c>
      <c r="G26" s="275" t="n">
        <v>65.7</v>
      </c>
      <c r="H26" s="235">
        <f>ROUND(F26*G26,2)</f>
        <v/>
      </c>
    </row>
    <row r="27" ht="31.7" customFormat="1" customHeight="1" s="237">
      <c r="A27" s="361" t="n">
        <v>13</v>
      </c>
      <c r="B27" s="361" t="inlineStr">
        <is>
          <t> </t>
        </is>
      </c>
      <c r="C27" s="288" t="inlineStr">
        <is>
          <t>91.01.05-086</t>
        </is>
      </c>
      <c r="D27" s="275" t="inlineStr">
        <is>
          <t>Экскаваторы одноковшовые дизельные на гусеничном ходу, емкость ковша 0,65 м3</t>
        </is>
      </c>
      <c r="E27" s="275" t="inlineStr">
        <is>
          <t>маш.час</t>
        </is>
      </c>
      <c r="F27" s="275" t="n">
        <v>0.2558</v>
      </c>
      <c r="G27" s="275" t="n">
        <v>115.25</v>
      </c>
      <c r="H27" s="235">
        <f>ROUND(F27*G27,2)</f>
        <v/>
      </c>
    </row>
    <row r="28" ht="47.25" customFormat="1" customHeight="1" s="237">
      <c r="A28" s="361" t="n">
        <v>14</v>
      </c>
      <c r="B28" s="361" t="inlineStr">
        <is>
          <t> </t>
        </is>
      </c>
      <c r="C28" s="288" t="inlineStr">
        <is>
          <t>91.18.01-007</t>
        </is>
      </c>
      <c r="D28" s="2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8" s="275" t="inlineStr">
        <is>
          <t>маш.час</t>
        </is>
      </c>
      <c r="F28" s="275" t="n">
        <v>0.1092</v>
      </c>
      <c r="G28" s="275" t="n">
        <v>90.02</v>
      </c>
      <c r="H28" s="235">
        <f>ROUND(F28*G28,2)</f>
        <v/>
      </c>
    </row>
    <row r="29" ht="31.7" customFormat="1" customHeight="1" s="237">
      <c r="A29" s="361" t="n">
        <v>15</v>
      </c>
      <c r="B29" s="361" t="inlineStr">
        <is>
          <t> </t>
        </is>
      </c>
      <c r="C29" s="288" t="inlineStr">
        <is>
          <t>91.17.04-233</t>
        </is>
      </c>
      <c r="D29" s="275" t="inlineStr">
        <is>
          <t>Установки для сварки: ручной дуговой (постоянного тока)</t>
        </is>
      </c>
      <c r="E29" s="275" t="inlineStr">
        <is>
          <t>маш.час</t>
        </is>
      </c>
      <c r="F29" s="275" t="n">
        <v>0.7392</v>
      </c>
      <c r="G29" s="275" t="n">
        <v>8.1</v>
      </c>
      <c r="H29" s="235">
        <f>ROUND(F29*G29,2)</f>
        <v/>
      </c>
    </row>
    <row r="30" ht="47.25" customFormat="1" customHeight="1" s="237">
      <c r="A30" s="361" t="n">
        <v>16</v>
      </c>
      <c r="B30" s="361" t="inlineStr">
        <is>
          <t> </t>
        </is>
      </c>
      <c r="C30" s="288" t="inlineStr">
        <is>
          <t>91.06.05-057</t>
        </is>
      </c>
      <c r="D30" s="275" t="inlineStr">
        <is>
          <t>Погрузчики одноковшовые универсальные фронтальные пневмоколесные, грузоподъемность 3 т</t>
        </is>
      </c>
      <c r="E30" s="275" t="inlineStr">
        <is>
          <t>маш.час</t>
        </is>
      </c>
      <c r="F30" s="275" t="n">
        <v>0.0416</v>
      </c>
      <c r="G30" s="275" t="n">
        <v>90.38</v>
      </c>
      <c r="H30" s="235">
        <f>ROUND(F30*G30,2)</f>
        <v/>
      </c>
    </row>
    <row r="31" ht="31.7" customHeight="1" s="310">
      <c r="A31" s="361" t="n">
        <v>17</v>
      </c>
      <c r="B31" s="361" t="inlineStr">
        <is>
          <t> </t>
        </is>
      </c>
      <c r="C31" s="288" t="inlineStr">
        <is>
          <t>91.08.09-023</t>
        </is>
      </c>
      <c r="D31" s="275" t="inlineStr">
        <is>
          <t>Трамбовки пневматические при работе от: передвижных компрессорных станций</t>
        </is>
      </c>
      <c r="E31" s="275" t="inlineStr">
        <is>
          <t>маш.час</t>
        </is>
      </c>
      <c r="F31" s="275" t="n">
        <v>0.2184</v>
      </c>
      <c r="G31" s="275" t="n">
        <v>0.55</v>
      </c>
      <c r="H31" s="235">
        <f>ROUND(F31*G31,2)</f>
        <v/>
      </c>
    </row>
    <row r="32">
      <c r="A32" s="360" t="inlineStr">
        <is>
          <t>Материалы</t>
        </is>
      </c>
      <c r="B32" s="436" t="n"/>
      <c r="C32" s="436" t="n"/>
      <c r="D32" s="436" t="n"/>
      <c r="E32" s="437" t="n"/>
      <c r="F32" s="360" t="n"/>
      <c r="G32" s="238" t="n"/>
      <c r="H32" s="238">
        <f>SUM(H33:H46)</f>
        <v/>
      </c>
    </row>
    <row r="33" ht="51" customHeight="1" s="310">
      <c r="A33" s="361" t="n">
        <v>18</v>
      </c>
      <c r="B33" s="361" t="inlineStr">
        <is>
          <t> </t>
        </is>
      </c>
      <c r="C33" s="288" t="inlineStr">
        <is>
          <t>22.2.02.23-0061</t>
        </is>
      </c>
      <c r="D33" s="276" t="inlineStr">
        <is>
          <t>Колодец полимерный герметичный для электрических сетей, марка "ПРОТЕКТОРФЛЕКС", диаметром 1500 мм, высотой 2700 мм</t>
        </is>
      </c>
      <c r="E33" s="275" t="inlineStr">
        <is>
          <t>компл.</t>
        </is>
      </c>
      <c r="F33" s="275" t="n">
        <v>1</v>
      </c>
      <c r="G33" s="275" t="n">
        <v>96951.02</v>
      </c>
      <c r="H33" s="235">
        <f>ROUND(F33*G33,2)</f>
        <v/>
      </c>
    </row>
    <row r="34" ht="35.45" customHeight="1" s="310">
      <c r="A34" s="361" t="n">
        <v>19</v>
      </c>
      <c r="B34" s="361" t="inlineStr">
        <is>
          <t> </t>
        </is>
      </c>
      <c r="C34" s="288" t="inlineStr">
        <is>
          <t>05.1.01.11-0046</t>
        </is>
      </c>
      <c r="D34" s="276" t="inlineStr">
        <is>
          <t>Плита днища: ПН20 /бетон В15 (М200), объем 0,59 м3, расход арматуры 79,44 кг / (серия 3.900.1-14)</t>
        </is>
      </c>
      <c r="E34" s="275" t="inlineStr">
        <is>
          <t>шт</t>
        </is>
      </c>
      <c r="F34" s="275" t="n">
        <v>1</v>
      </c>
      <c r="G34" s="275" t="n">
        <v>908.4400000000001</v>
      </c>
      <c r="H34" s="235">
        <f>ROUND(F34*G34,2)</f>
        <v/>
      </c>
    </row>
    <row r="35" ht="47.25" customHeight="1" s="310">
      <c r="A35" s="361" t="n">
        <v>20</v>
      </c>
      <c r="B35" s="361" t="inlineStr">
        <is>
          <t> </t>
        </is>
      </c>
      <c r="C35" s="288" t="inlineStr">
        <is>
          <t>05.1.06.09-0004</t>
        </is>
      </c>
      <c r="D35" s="276" t="inlineStr">
        <is>
          <t>Плита перекрытия: 1ПП20-1 /бетон В15 (М200), объем 0,55 м3, расход арматуры 49,65 кг/ (серия 3.900.1-14)</t>
        </is>
      </c>
      <c r="E35" s="275" t="inlineStr">
        <is>
          <t>шт</t>
        </is>
      </c>
      <c r="F35" s="275" t="n">
        <v>1</v>
      </c>
      <c r="G35" s="275" t="n">
        <v>681.39</v>
      </c>
      <c r="H35" s="235">
        <f>ROUND(F35*G35,2)</f>
        <v/>
      </c>
    </row>
    <row r="36" ht="31.7" customHeight="1" s="310">
      <c r="A36" s="361" t="n">
        <v>21</v>
      </c>
      <c r="B36" s="361" t="inlineStr">
        <is>
          <t> </t>
        </is>
      </c>
      <c r="C36" s="288" t="inlineStr">
        <is>
          <t>08.1.02.06-0034</t>
        </is>
      </c>
      <c r="D36" s="276" t="inlineStr">
        <is>
          <t>Люк чугунный тяжелый (ГОСТ 3634-99) марка Т(С250)-ТС-1- 60</t>
        </is>
      </c>
      <c r="E36" s="275" t="inlineStr">
        <is>
          <t>шт</t>
        </is>
      </c>
      <c r="F36" s="275" t="n">
        <v>1</v>
      </c>
      <c r="G36" s="275" t="n">
        <v>596.04</v>
      </c>
      <c r="H36" s="235">
        <f>ROUND(F36*G36,2)</f>
        <v/>
      </c>
    </row>
    <row r="37">
      <c r="A37" s="361" t="n">
        <v>22</v>
      </c>
      <c r="B37" s="361" t="inlineStr">
        <is>
          <t> </t>
        </is>
      </c>
      <c r="C37" s="288" t="inlineStr">
        <is>
          <t>14.4.02.09-0301</t>
        </is>
      </c>
      <c r="D37" s="276" t="inlineStr">
        <is>
          <t>Краска "Цинол"</t>
        </is>
      </c>
      <c r="E37" s="275" t="inlineStr">
        <is>
          <t>кг</t>
        </is>
      </c>
      <c r="F37" s="275" t="n">
        <v>0.506</v>
      </c>
      <c r="G37" s="275" t="n">
        <v>238.48</v>
      </c>
      <c r="H37" s="235">
        <f>ROUND(F37*G37,2)</f>
        <v/>
      </c>
    </row>
    <row r="38" ht="47.25" customHeight="1" s="310">
      <c r="A38" s="361" t="n">
        <v>23</v>
      </c>
      <c r="B38" s="361" t="inlineStr">
        <is>
          <t> </t>
        </is>
      </c>
      <c r="C38" s="288" t="inlineStr">
        <is>
          <t>02.3.01.02-0016</t>
        </is>
      </c>
      <c r="D38" s="276" t="inlineStr">
        <is>
          <t>Песок природный для строительных: работ средний с крупностью зерен размером свыше 5 мм - до 5% по массе</t>
        </is>
      </c>
      <c r="E38" s="275" t="inlineStr">
        <is>
          <t>м3</t>
        </is>
      </c>
      <c r="F38" s="275" t="n">
        <v>0.624</v>
      </c>
      <c r="G38" s="275" t="n">
        <v>55.26</v>
      </c>
      <c r="H38" s="235">
        <f>ROUND(F38*G38,2)</f>
        <v/>
      </c>
    </row>
    <row r="39" ht="47.25" customHeight="1" s="310">
      <c r="A39" s="361" t="n">
        <v>24</v>
      </c>
      <c r="B39" s="361" t="inlineStr">
        <is>
          <t> </t>
        </is>
      </c>
      <c r="C39" s="288" t="inlineStr">
        <is>
          <t>05.1.01.09-0042</t>
        </is>
      </c>
      <c r="D39" s="276" t="inlineStr">
        <is>
          <t>Кольцо опорное КО-6 /бетон В15 (М200), объем 0,02 м3, расход арматуры 1,10 кг / (серия 3.900.1-14)</t>
        </is>
      </c>
      <c r="E39" s="275" t="inlineStr">
        <is>
          <t>шт</t>
        </is>
      </c>
      <c r="F39" s="275" t="n">
        <v>1</v>
      </c>
      <c r="G39" s="275" t="n">
        <v>31.43</v>
      </c>
      <c r="H39" s="235">
        <f>ROUND(F39*G39,2)</f>
        <v/>
      </c>
    </row>
    <row r="40" ht="17.1" customHeight="1" s="310">
      <c r="A40" s="361" t="n">
        <v>25</v>
      </c>
      <c r="B40" s="361" t="n"/>
      <c r="C40" s="288" t="inlineStr">
        <is>
          <t>04.3.01.09-0014</t>
        </is>
      </c>
      <c r="D40" s="276" t="inlineStr">
        <is>
          <t>Раствор готовый кладочный цементный марки: 100</t>
        </is>
      </c>
      <c r="E40" s="275" t="inlineStr">
        <is>
          <t>м3</t>
        </is>
      </c>
      <c r="F40" s="275" t="n">
        <v>0.0197</v>
      </c>
      <c r="G40" s="275" t="n">
        <v>520.3</v>
      </c>
      <c r="H40" s="235">
        <f>ROUND(F40*G40,2)</f>
        <v/>
      </c>
    </row>
    <row r="41" ht="31.7" customHeight="1" s="310">
      <c r="A41" s="361" t="n">
        <v>26</v>
      </c>
      <c r="B41" s="361" t="n"/>
      <c r="C41" s="288" t="inlineStr">
        <is>
          <t>08.3.05.02-0101</t>
        </is>
      </c>
      <c r="D41" s="276" t="inlineStr">
        <is>
          <t>Сталь листовая углеродистая обыкновенного качества марки ВСт3пс5 толщиной: 4-6 мм</t>
        </is>
      </c>
      <c r="E41" s="275" t="inlineStr">
        <is>
          <t>т</t>
        </is>
      </c>
      <c r="F41" s="275" t="n">
        <v>0.0009</v>
      </c>
      <c r="G41" s="275" t="n">
        <v>5633.33</v>
      </c>
      <c r="H41" s="235">
        <f>ROUND(F41*G41,2)</f>
        <v/>
      </c>
    </row>
    <row r="42">
      <c r="A42" s="361" t="n">
        <v>27</v>
      </c>
      <c r="B42" s="361" t="n"/>
      <c r="C42" s="288" t="inlineStr">
        <is>
          <t>08.1.02.11-0001</t>
        </is>
      </c>
      <c r="D42" s="276" t="inlineStr">
        <is>
          <t>Поковки из квадратных заготовок, масса: 1,8 кг</t>
        </is>
      </c>
      <c r="E42" s="275" t="inlineStr">
        <is>
          <t>т</t>
        </is>
      </c>
      <c r="F42" s="275" t="n">
        <v>0.0005999999999999999</v>
      </c>
      <c r="G42" s="275" t="n">
        <v>5783.33</v>
      </c>
      <c r="H42" s="235">
        <f>ROUND(F42*G42,2)</f>
        <v/>
      </c>
    </row>
    <row r="43">
      <c r="A43" s="361" t="n">
        <v>28</v>
      </c>
      <c r="B43" s="361" t="n"/>
      <c r="C43" s="288" t="inlineStr">
        <is>
          <t>01.7.11.07-0034</t>
        </is>
      </c>
      <c r="D43" s="276" t="inlineStr">
        <is>
          <t>Электроды диаметром: 4 мм Э42А</t>
        </is>
      </c>
      <c r="E43" s="275" t="inlineStr">
        <is>
          <t>кг</t>
        </is>
      </c>
      <c r="F43" s="275" t="n">
        <v>0.286</v>
      </c>
      <c r="G43" s="275" t="n">
        <v>10.56</v>
      </c>
      <c r="H43" s="235">
        <f>ROUND(F43*G43,2)</f>
        <v/>
      </c>
    </row>
    <row r="44" ht="31.7" customHeight="1" s="310">
      <c r="A44" s="361" t="n">
        <v>29</v>
      </c>
      <c r="B44" s="361" t="n"/>
      <c r="C44" s="288" t="inlineStr">
        <is>
          <t>999-9950</t>
        </is>
      </c>
      <c r="D44" s="276" t="inlineStr">
        <is>
          <t>Вспомогательные ненормируемые ресурсы (2% от Оплаты труда рабочих)</t>
        </is>
      </c>
      <c r="E44" s="275" t="inlineStr">
        <is>
          <t>руб.</t>
        </is>
      </c>
      <c r="F44" s="275" t="n">
        <v>0.88</v>
      </c>
      <c r="G44" s="275" t="n">
        <v>1</v>
      </c>
      <c r="H44" s="235">
        <f>ROUND(F44*G44,2)</f>
        <v/>
      </c>
    </row>
    <row r="45">
      <c r="A45" s="361" t="n">
        <v>30</v>
      </c>
      <c r="B45" s="361" t="n"/>
      <c r="C45" s="288" t="inlineStr">
        <is>
          <t>04.1.02.05-0007</t>
        </is>
      </c>
      <c r="D45" s="276" t="inlineStr">
        <is>
          <t>Бетон тяжелый, класс: В20 (М250)</t>
        </is>
      </c>
      <c r="E45" s="275" t="inlineStr">
        <is>
          <t>м3</t>
        </is>
      </c>
      <c r="F45" s="275" t="n">
        <v>0.0008</v>
      </c>
      <c r="G45" s="275" t="n">
        <v>662.5</v>
      </c>
      <c r="H45" s="235">
        <f>ROUND(F45*G45,2)</f>
        <v/>
      </c>
    </row>
    <row r="46">
      <c r="A46" s="361" t="n">
        <v>31</v>
      </c>
      <c r="B46" s="361" t="n"/>
      <c r="C46" s="288" t="inlineStr">
        <is>
          <t>01.7.03.01-0001</t>
        </is>
      </c>
      <c r="D46" s="276" t="inlineStr">
        <is>
          <t>Вода</t>
        </is>
      </c>
      <c r="E46" s="275" t="inlineStr">
        <is>
          <t>м3</t>
        </is>
      </c>
      <c r="F46" s="275" t="n">
        <v>0.078</v>
      </c>
      <c r="G46" s="275" t="n">
        <v>2.44</v>
      </c>
      <c r="H46" s="235">
        <f>ROUND(F46*G46,2)</f>
        <v/>
      </c>
    </row>
    <row r="48">
      <c r="B48" s="312" t="inlineStr">
        <is>
          <t>Составил ______________________        А.Р. Маркова</t>
        </is>
      </c>
    </row>
    <row r="49">
      <c r="B49" s="221" t="inlineStr">
        <is>
          <t xml:space="preserve">                         (подпись, инициалы, фамилия)</t>
        </is>
      </c>
    </row>
    <row r="51">
      <c r="B51" s="312" t="inlineStr">
        <is>
          <t>Проверил ______________________        А.В. Костянецкая</t>
        </is>
      </c>
    </row>
    <row r="52">
      <c r="B52" s="221" t="inlineStr">
        <is>
          <t xml:space="preserve">                        (подпись, инициалы, фамилия)</t>
        </is>
      </c>
    </row>
  </sheetData>
  <mergeCells count="14">
    <mergeCell ref="A21:E21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19:E19"/>
    <mergeCell ref="A32:E32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11.42578125" customWidth="1" style="310" min="6" max="6"/>
    <col width="14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86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32" t="inlineStr">
        <is>
          <t>Ресурсная модель</t>
        </is>
      </c>
    </row>
    <row r="6">
      <c r="B6" s="261" t="n"/>
      <c r="C6" s="301" t="n"/>
      <c r="D6" s="301" t="n"/>
      <c r="E6" s="301" t="n"/>
    </row>
    <row r="7" ht="25.5" customHeight="1" s="310">
      <c r="B7" s="344" t="inlineStr">
        <is>
          <t>Наименование разрабатываемого показателя УНЦ — Кабельный колодец</t>
        </is>
      </c>
    </row>
    <row r="8">
      <c r="B8" s="365" t="inlineStr">
        <is>
          <t>Единица измерения  — 1 шт</t>
        </is>
      </c>
    </row>
    <row r="9">
      <c r="B9" s="261" t="n"/>
      <c r="C9" s="301" t="n"/>
      <c r="D9" s="301" t="n"/>
      <c r="E9" s="301" t="n"/>
    </row>
    <row r="10" ht="51" customHeight="1" s="310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53" t="inlineStr">
        <is>
          <t>Оплата труда рабочих</t>
        </is>
      </c>
      <c r="C11" s="303">
        <f>'Прил.5 Расчет СМР и ОБ'!J14</f>
        <v/>
      </c>
      <c r="D11" s="255">
        <f>C11/$C$24</f>
        <v/>
      </c>
      <c r="E11" s="255">
        <f>C11/$C$40</f>
        <v/>
      </c>
    </row>
    <row r="12">
      <c r="B12" s="253" t="inlineStr">
        <is>
          <t>Эксплуатация машин основных</t>
        </is>
      </c>
      <c r="C12" s="303">
        <f>'Прил.5 Расчет СМР и ОБ'!J25</f>
        <v/>
      </c>
      <c r="D12" s="255">
        <f>C12/$C$24</f>
        <v/>
      </c>
      <c r="E12" s="255">
        <f>C12/$C$40</f>
        <v/>
      </c>
    </row>
    <row r="13">
      <c r="B13" s="253" t="inlineStr">
        <is>
          <t>Эксплуатация машин прочих</t>
        </is>
      </c>
      <c r="C13" s="303">
        <f>'Прил.5 Расчет СМР и ОБ'!J31</f>
        <v/>
      </c>
      <c r="D13" s="255">
        <f>C13/$C$24</f>
        <v/>
      </c>
      <c r="E13" s="255">
        <f>C13/$C$40</f>
        <v/>
      </c>
    </row>
    <row r="14">
      <c r="B14" s="253" t="inlineStr">
        <is>
          <t>ЭКСПЛУАТАЦИЯ МАШИН, ВСЕГО:</t>
        </is>
      </c>
      <c r="C14" s="303">
        <f>C13+C12</f>
        <v/>
      </c>
      <c r="D14" s="255">
        <f>C14/$C$24</f>
        <v/>
      </c>
      <c r="E14" s="255">
        <f>C14/$C$40</f>
        <v/>
      </c>
    </row>
    <row r="15">
      <c r="B15" s="253" t="inlineStr">
        <is>
          <t>в том числе зарплата машинистов</t>
        </is>
      </c>
      <c r="C15" s="303">
        <f>'Прил.5 Расчет СМР и ОБ'!J16</f>
        <v/>
      </c>
      <c r="D15" s="255">
        <f>C15/$C$24</f>
        <v/>
      </c>
      <c r="E15" s="255">
        <f>C15/$C$40</f>
        <v/>
      </c>
    </row>
    <row r="16">
      <c r="B16" s="253" t="inlineStr">
        <is>
          <t>Материалы основные</t>
        </is>
      </c>
      <c r="C16" s="303">
        <f>'Прил.5 Расчет СМР и ОБ'!J42</f>
        <v/>
      </c>
      <c r="D16" s="255">
        <f>C16/$C$24</f>
        <v/>
      </c>
      <c r="E16" s="255">
        <f>C16/$C$40</f>
        <v/>
      </c>
    </row>
    <row r="17">
      <c r="B17" s="253" t="inlineStr">
        <is>
          <t>Материалы прочие</t>
        </is>
      </c>
      <c r="C17" s="303">
        <f>'Прил.5 Расчет СМР и ОБ'!J56</f>
        <v/>
      </c>
      <c r="D17" s="255">
        <f>C17/$C$24</f>
        <v/>
      </c>
      <c r="E17" s="255">
        <f>C17/$C$40</f>
        <v/>
      </c>
      <c r="G17" s="441" t="n"/>
    </row>
    <row r="18">
      <c r="B18" s="253" t="inlineStr">
        <is>
          <t>МАТЕРИАЛЫ, ВСЕГО:</t>
        </is>
      </c>
      <c r="C18" s="303">
        <f>C17+C16</f>
        <v/>
      </c>
      <c r="D18" s="255">
        <f>C18/$C$24</f>
        <v/>
      </c>
      <c r="E18" s="255">
        <f>C18/$C$40</f>
        <v/>
      </c>
    </row>
    <row r="19">
      <c r="B19" s="253" t="inlineStr">
        <is>
          <t>ИТОГО</t>
        </is>
      </c>
      <c r="C19" s="303">
        <f>C18+C14+C11</f>
        <v/>
      </c>
      <c r="D19" s="255" t="n"/>
      <c r="E19" s="253" t="n"/>
    </row>
    <row r="20">
      <c r="B20" s="253" t="inlineStr">
        <is>
          <t>Сметная прибыль, руб.</t>
        </is>
      </c>
      <c r="C20" s="303">
        <f>ROUND(C21*(C11+C15),2)</f>
        <v/>
      </c>
      <c r="D20" s="255">
        <f>C20/$C$24</f>
        <v/>
      </c>
      <c r="E20" s="255">
        <f>C20/$C$40</f>
        <v/>
      </c>
    </row>
    <row r="21">
      <c r="B21" s="253" t="inlineStr">
        <is>
          <t>Сметная прибыль, %</t>
        </is>
      </c>
      <c r="C21" s="258">
        <f>'Прил.5 Расчет СМР и ОБ'!D60</f>
        <v/>
      </c>
      <c r="D21" s="255" t="n"/>
      <c r="E21" s="253" t="n"/>
    </row>
    <row r="22">
      <c r="B22" s="253" t="inlineStr">
        <is>
          <t>Накладные расходы, руб.</t>
        </is>
      </c>
      <c r="C22" s="303">
        <f>ROUND(C23*(C11+C15),2)</f>
        <v/>
      </c>
      <c r="D22" s="255">
        <f>C22/$C$24</f>
        <v/>
      </c>
      <c r="E22" s="255">
        <f>C22/$C$40</f>
        <v/>
      </c>
    </row>
    <row r="23">
      <c r="B23" s="253" t="inlineStr">
        <is>
          <t>Накладные расходы, %</t>
        </is>
      </c>
      <c r="C23" s="258">
        <f>'Прил.5 Расчет СМР и ОБ'!D59</f>
        <v/>
      </c>
      <c r="D23" s="255" t="n"/>
      <c r="E23" s="253" t="n"/>
    </row>
    <row r="24">
      <c r="B24" s="253" t="inlineStr">
        <is>
          <t>ВСЕГО СМР с НР и СП</t>
        </is>
      </c>
      <c r="C24" s="303">
        <f>C19+C20+C22</f>
        <v/>
      </c>
      <c r="D24" s="255">
        <f>C24/$C$24</f>
        <v/>
      </c>
      <c r="E24" s="255">
        <f>C24/$C$40</f>
        <v/>
      </c>
    </row>
    <row r="25" ht="25.5" customHeight="1" s="310">
      <c r="B25" s="253" t="inlineStr">
        <is>
          <t>ВСЕГО стоимость оборудования, в том числе</t>
        </is>
      </c>
      <c r="C25" s="303">
        <f>'Прил.5 Расчет СМР и ОБ'!J37</f>
        <v/>
      </c>
      <c r="D25" s="255" t="n"/>
      <c r="E25" s="255">
        <f>C25/$C$40</f>
        <v/>
      </c>
    </row>
    <row r="26" ht="25.5" customHeight="1" s="310">
      <c r="B26" s="253" t="inlineStr">
        <is>
          <t>стоимость оборудования технологического</t>
        </is>
      </c>
      <c r="C26" s="303">
        <f>'Прил.5 Расчет СМР и ОБ'!J38</f>
        <v/>
      </c>
      <c r="D26" s="255" t="n"/>
      <c r="E26" s="255">
        <f>C26/$C$40</f>
        <v/>
      </c>
    </row>
    <row r="27">
      <c r="B27" s="253" t="inlineStr">
        <is>
          <t>ИТОГО (СМР + ОБОРУДОВАНИЕ)</t>
        </is>
      </c>
      <c r="C27" s="257">
        <f>C24+C25</f>
        <v/>
      </c>
      <c r="D27" s="255" t="n"/>
      <c r="E27" s="255">
        <f>C27/$C$40</f>
        <v/>
      </c>
    </row>
    <row r="28" ht="33" customHeight="1" s="310">
      <c r="B28" s="253" t="inlineStr">
        <is>
          <t>ПРОЧ. ЗАТР., УЧТЕННЫЕ ПОКАЗАТЕЛЕМ,  в том числе</t>
        </is>
      </c>
      <c r="C28" s="253" t="n"/>
      <c r="D28" s="253" t="n"/>
      <c r="E28" s="253" t="n"/>
      <c r="F28" s="256" t="n"/>
    </row>
    <row r="29" ht="25.5" customHeight="1" s="310">
      <c r="B29" s="253" t="inlineStr">
        <is>
          <t>Временные здания и сооружения - 3,9%</t>
        </is>
      </c>
      <c r="C29" s="257">
        <f>ROUND(C24*3.9%,2)</f>
        <v/>
      </c>
      <c r="D29" s="253" t="n"/>
      <c r="E29" s="255">
        <f>C29/$C$40</f>
        <v/>
      </c>
    </row>
    <row r="30" ht="38.25" customHeight="1" s="310">
      <c r="B30" s="253" t="inlineStr">
        <is>
          <t>Дополнительные затраты при производстве строительно-монтажных работ в зимнее время - 2,1%</t>
        </is>
      </c>
      <c r="C30" s="257">
        <f>ROUND((C24+C29)*2.1%,2)</f>
        <v/>
      </c>
      <c r="D30" s="253" t="n"/>
      <c r="E30" s="255">
        <f>C30/$C$40</f>
        <v/>
      </c>
      <c r="F30" s="256" t="n"/>
    </row>
    <row r="31">
      <c r="B31" s="253" t="inlineStr">
        <is>
          <t>Пусконаладочные работы</t>
        </is>
      </c>
      <c r="C31" s="257" t="n">
        <v>0</v>
      </c>
      <c r="D31" s="253" t="n"/>
      <c r="E31" s="255">
        <f>C31/$C$40</f>
        <v/>
      </c>
    </row>
    <row r="32" ht="25.5" customHeight="1" s="310">
      <c r="B32" s="253" t="inlineStr">
        <is>
          <t>Затраты по перевозке работников к месту работы и обратно</t>
        </is>
      </c>
      <c r="C32" s="257" t="n">
        <v>0</v>
      </c>
      <c r="D32" s="253" t="n"/>
      <c r="E32" s="255">
        <f>C32/$C$40</f>
        <v/>
      </c>
    </row>
    <row r="33" ht="25.5" customHeight="1" s="310">
      <c r="B33" s="253" t="inlineStr">
        <is>
          <t>Затраты, связанные с осуществлением работ вахтовым методом</t>
        </is>
      </c>
      <c r="C33" s="257">
        <f>ROUND($C$27*0,2)</f>
        <v/>
      </c>
      <c r="D33" s="253" t="n"/>
      <c r="E33" s="255">
        <f>C33/$C$40</f>
        <v/>
      </c>
    </row>
    <row r="34" ht="51" customHeight="1" s="310">
      <c r="B34" s="2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7" t="n">
        <v>0</v>
      </c>
      <c r="D34" s="253" t="n"/>
      <c r="E34" s="255">
        <f>C34/$C$40</f>
        <v/>
      </c>
      <c r="H34" s="263" t="n"/>
    </row>
    <row r="35" ht="76.7" customHeight="1" s="310">
      <c r="B35" s="2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7" t="n">
        <v>0</v>
      </c>
      <c r="D35" s="253" t="n"/>
      <c r="E35" s="255">
        <f>C35/$C$40</f>
        <v/>
      </c>
    </row>
    <row r="36" ht="25.5" customHeight="1" s="310">
      <c r="B36" s="253" t="inlineStr">
        <is>
          <t>Строительный контроль и содержание службы заказчика - 1,81%</t>
        </is>
      </c>
      <c r="C36" s="257">
        <f>ROUND((C27+C32+C33+C34+C35+C29+C31+C30)*1.81%,2)</f>
        <v/>
      </c>
      <c r="D36" s="253" t="n"/>
      <c r="E36" s="255">
        <f>C36/$C$40</f>
        <v/>
      </c>
      <c r="L36" s="256" t="n"/>
    </row>
    <row r="37">
      <c r="B37" s="253" t="inlineStr">
        <is>
          <t>Авторский надзор - 0,2%</t>
        </is>
      </c>
      <c r="C37" s="257">
        <f>ROUND((C27+C32+C33+C34+C35+C29+C31+C30)*0.2%,2)</f>
        <v/>
      </c>
      <c r="D37" s="253" t="n"/>
      <c r="E37" s="255">
        <f>C37/$C$40</f>
        <v/>
      </c>
      <c r="L37" s="256" t="n"/>
    </row>
    <row r="38" ht="38.25" customHeight="1" s="310">
      <c r="B38" s="253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53" t="n"/>
      <c r="E38" s="255">
        <f>C38/$C$40</f>
        <v/>
      </c>
    </row>
    <row r="39" ht="13.7" customHeight="1" s="310">
      <c r="B39" s="253" t="inlineStr">
        <is>
          <t>Непредвиденные расходы</t>
        </is>
      </c>
      <c r="C39" s="303">
        <f>ROUND(C38*3%,2)</f>
        <v/>
      </c>
      <c r="D39" s="253" t="n"/>
      <c r="E39" s="255">
        <f>C39/$C$38</f>
        <v/>
      </c>
    </row>
    <row r="40">
      <c r="B40" s="253" t="inlineStr">
        <is>
          <t>ВСЕГО:</t>
        </is>
      </c>
      <c r="C40" s="303">
        <f>C39+C38</f>
        <v/>
      </c>
      <c r="D40" s="253" t="n"/>
      <c r="E40" s="255">
        <f>C40/$C$40</f>
        <v/>
      </c>
    </row>
    <row r="41">
      <c r="B41" s="253" t="inlineStr">
        <is>
          <t>ИТОГО ПОКАЗАТЕЛЬ НА ЕД. ИЗМ.</t>
        </is>
      </c>
      <c r="C41" s="303">
        <f>C40/'Прил.5 Расчет СМР и ОБ'!E63</f>
        <v/>
      </c>
      <c r="D41" s="253" t="n"/>
      <c r="E41" s="253" t="n"/>
    </row>
    <row r="42">
      <c r="B42" s="305" t="n"/>
      <c r="C42" s="301" t="n"/>
      <c r="D42" s="301" t="n"/>
      <c r="E42" s="301" t="n"/>
    </row>
    <row r="43">
      <c r="B43" s="305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305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305" t="n"/>
      <c r="C45" s="301" t="n"/>
      <c r="D45" s="301" t="n"/>
      <c r="E45" s="301" t="n"/>
    </row>
    <row r="46">
      <c r="B46" s="305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65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tabSelected="1" view="pageBreakPreview" topLeftCell="A20" zoomScaleSheetLayoutView="100" workbookViewId="0">
      <selection activeCell="N57" sqref="N57"/>
    </sheetView>
  </sheetViews>
  <sheetFormatPr baseColWidth="8" defaultColWidth="9.140625" defaultRowHeight="15" outlineLevelRow="1"/>
  <cols>
    <col width="5.7109375" customWidth="1" style="308" min="1" max="1"/>
    <col width="22.5703125" customWidth="1" style="280" min="2" max="2"/>
    <col width="39.140625" customWidth="1" style="308" min="3" max="3"/>
    <col width="10.7109375" customWidth="1" style="280" min="4" max="4"/>
    <col width="12.7109375" customWidth="1" style="280" min="5" max="5"/>
    <col width="15" customWidth="1" style="284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10" min="13" max="13"/>
  </cols>
  <sheetData>
    <row r="1" s="310">
      <c r="A1" s="308" t="n"/>
      <c r="B1" s="280" t="n"/>
      <c r="C1" s="308" t="n"/>
      <c r="D1" s="280" t="n"/>
      <c r="E1" s="280" t="n"/>
      <c r="F1" s="284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0">
      <c r="A2" s="308" t="n"/>
      <c r="B2" s="280" t="n"/>
      <c r="C2" s="308" t="n"/>
      <c r="D2" s="280" t="n"/>
      <c r="E2" s="280" t="n"/>
      <c r="F2" s="284" t="n"/>
      <c r="G2" s="308" t="n"/>
      <c r="H2" s="381" t="inlineStr">
        <is>
          <t>Приложение №5</t>
        </is>
      </c>
      <c r="K2" s="308" t="n"/>
      <c r="L2" s="308" t="n"/>
      <c r="M2" s="308" t="n"/>
      <c r="N2" s="308" t="n"/>
    </row>
    <row r="3" s="310">
      <c r="A3" s="308" t="n"/>
      <c r="B3" s="280" t="n"/>
      <c r="C3" s="308" t="n"/>
      <c r="D3" s="280" t="n"/>
      <c r="E3" s="280" t="n"/>
      <c r="F3" s="284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1">
      <c r="A4" s="332" t="inlineStr">
        <is>
          <t>Расчет стоимости СМР и оборудования</t>
        </is>
      </c>
    </row>
    <row r="5" ht="12.75" customFormat="1" customHeight="1" s="301">
      <c r="A5" s="332" t="n"/>
      <c r="B5" s="332" t="n"/>
      <c r="C5" s="393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301">
      <c r="A6" s="209" t="inlineStr">
        <is>
          <t>Наименование разрабатываемого показателя УНЦ</t>
        </is>
      </c>
      <c r="B6" s="385" t="n"/>
      <c r="C6" s="208" t="n"/>
      <c r="D6" s="385" t="inlineStr">
        <is>
          <t>Кабельный колодец</t>
        </is>
      </c>
    </row>
    <row r="7" ht="12.75" customFormat="1" customHeight="1" s="301">
      <c r="A7" s="335" t="inlineStr">
        <is>
          <t>Единица измерения  — 1 шт</t>
        </is>
      </c>
      <c r="I7" s="344" t="n"/>
      <c r="J7" s="344" t="n"/>
    </row>
    <row r="8" ht="13.7" customFormat="1" customHeight="1" s="301">
      <c r="A8" s="335" t="n"/>
    </row>
    <row r="9" ht="27" customHeight="1" s="310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37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37" t="n"/>
      <c r="K9" s="308" t="n"/>
      <c r="L9" s="308" t="n"/>
      <c r="M9" s="308" t="n"/>
      <c r="N9" s="308" t="n"/>
    </row>
    <row r="10" ht="28.5" customHeight="1" s="310">
      <c r="A10" s="439" t="n"/>
      <c r="B10" s="439" t="n"/>
      <c r="C10" s="439" t="n"/>
      <c r="D10" s="439" t="n"/>
      <c r="E10" s="439" t="n"/>
      <c r="F10" s="373" t="inlineStr">
        <is>
          <t>на ед. изм.</t>
        </is>
      </c>
      <c r="G10" s="373" t="inlineStr">
        <is>
          <t>общая</t>
        </is>
      </c>
      <c r="H10" s="439" t="n"/>
      <c r="I10" s="373" t="inlineStr">
        <is>
          <t>на ед. изм.</t>
        </is>
      </c>
      <c r="J10" s="373" t="inlineStr">
        <is>
          <t>общая</t>
        </is>
      </c>
      <c r="K10" s="308" t="n"/>
      <c r="L10" s="308" t="n"/>
      <c r="M10" s="308" t="n"/>
      <c r="N10" s="308" t="n"/>
    </row>
    <row r="11" s="310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67" t="n">
        <v>9</v>
      </c>
      <c r="J11" s="367" t="n">
        <v>10</v>
      </c>
      <c r="K11" s="308" t="n"/>
      <c r="L11" s="308" t="n"/>
      <c r="M11" s="308" t="n"/>
      <c r="N11" s="308" t="n"/>
    </row>
    <row r="12">
      <c r="A12" s="373" t="n"/>
      <c r="B12" s="371" t="inlineStr">
        <is>
          <t>Затраты труда рабочих-строителей</t>
        </is>
      </c>
      <c r="C12" s="436" t="n"/>
      <c r="D12" s="436" t="n"/>
      <c r="E12" s="436" t="n"/>
      <c r="F12" s="436" t="n"/>
      <c r="G12" s="436" t="n"/>
      <c r="H12" s="437" t="n"/>
      <c r="I12" s="197" t="n"/>
      <c r="J12" s="197" t="n"/>
    </row>
    <row r="13" ht="25.5" customHeight="1" s="310">
      <c r="A13" s="373" t="n">
        <v>1</v>
      </c>
      <c r="B13" s="206" t="inlineStr">
        <is>
          <t>1-3-4</t>
        </is>
      </c>
      <c r="C13" s="372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442">
        <f>G13/F13</f>
        <v/>
      </c>
      <c r="F13" s="203" t="n">
        <v>8.970000000000001</v>
      </c>
      <c r="G13" s="203">
        <f>Прил.3!H12</f>
        <v/>
      </c>
      <c r="H13" s="205">
        <f>G13/G14</f>
        <v/>
      </c>
      <c r="I13" s="203">
        <f>ФОТр.тек.!E13</f>
        <v/>
      </c>
      <c r="J13" s="203">
        <f>ROUND(I13*E13,2)</f>
        <v/>
      </c>
    </row>
    <row r="14" ht="25.5" customFormat="1" customHeight="1" s="308">
      <c r="A14" s="373" t="n"/>
      <c r="B14" s="373" t="n"/>
      <c r="C14" s="371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42">
        <f>SUM(E13:E13)</f>
        <v/>
      </c>
      <c r="F14" s="203" t="n"/>
      <c r="G14" s="203">
        <f>SUM(G13:G13)</f>
        <v/>
      </c>
      <c r="H14" s="376" t="n">
        <v>1</v>
      </c>
      <c r="I14" s="197" t="n"/>
      <c r="J14" s="203">
        <f>SUM(J13:J13)</f>
        <v/>
      </c>
    </row>
    <row r="15" ht="14.25" customFormat="1" customHeight="1" s="308">
      <c r="A15" s="373" t="n"/>
      <c r="B15" s="372" t="inlineStr">
        <is>
          <t>Затраты труда машинистов</t>
        </is>
      </c>
      <c r="C15" s="436" t="n"/>
      <c r="D15" s="436" t="n"/>
      <c r="E15" s="436" t="n"/>
      <c r="F15" s="436" t="n"/>
      <c r="G15" s="436" t="n"/>
      <c r="H15" s="437" t="n"/>
      <c r="I15" s="197" t="n"/>
      <c r="J15" s="197" t="n"/>
    </row>
    <row r="16" ht="14.25" customFormat="1" customHeight="1" s="308">
      <c r="A16" s="373" t="n">
        <v>2</v>
      </c>
      <c r="B16" s="373" t="n">
        <v>2</v>
      </c>
      <c r="C16" s="372" t="inlineStr">
        <is>
          <t>Затраты труда машинистов(справочно)</t>
        </is>
      </c>
      <c r="D16" s="373" t="inlineStr">
        <is>
          <t>чел.-ч.</t>
        </is>
      </c>
      <c r="E16" s="442" t="n">
        <v>2.574202</v>
      </c>
      <c r="F16" s="203">
        <f>G16/E16</f>
        <v/>
      </c>
      <c r="G16" s="203">
        <f>Прил.3!H19</f>
        <v/>
      </c>
      <c r="H16" s="376" t="n">
        <v>1</v>
      </c>
      <c r="I16" s="203">
        <f>ROUND(F16*Прил.10!D11,2)</f>
        <v/>
      </c>
      <c r="J16" s="203">
        <f>ROUND(I16*E16,2)</f>
        <v/>
      </c>
    </row>
    <row r="17" ht="14.25" customFormat="1" customHeight="1" s="308">
      <c r="A17" s="373" t="n"/>
      <c r="B17" s="371" t="inlineStr">
        <is>
          <t>Машины и механизмы</t>
        </is>
      </c>
      <c r="C17" s="436" t="n"/>
      <c r="D17" s="436" t="n"/>
      <c r="E17" s="436" t="n"/>
      <c r="F17" s="436" t="n"/>
      <c r="G17" s="436" t="n"/>
      <c r="H17" s="437" t="n"/>
      <c r="I17" s="197" t="n"/>
      <c r="J17" s="197" t="n"/>
    </row>
    <row r="18" ht="14.25" customFormat="1" customHeight="1" s="308">
      <c r="A18" s="373" t="n"/>
      <c r="B18" s="372" t="inlineStr">
        <is>
          <t>Основные 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7" t="n"/>
      <c r="J18" s="197" t="n"/>
    </row>
    <row r="19" ht="25.5" customFormat="1" customHeight="1" s="308">
      <c r="A19" s="373" t="n">
        <v>3</v>
      </c>
      <c r="B19" s="279" t="inlineStr">
        <is>
          <t>91.14.03-002</t>
        </is>
      </c>
      <c r="C19" s="277" t="inlineStr">
        <is>
          <t>Автомобили-самосвалы, грузоподъемность до 10 т</t>
        </is>
      </c>
      <c r="D19" s="279" t="inlineStr">
        <is>
          <t>маш.-ч.</t>
        </is>
      </c>
      <c r="E19" s="279" t="n">
        <v>2.82</v>
      </c>
      <c r="F19" s="283" t="n">
        <v>87.48999999999999</v>
      </c>
      <c r="G19" s="283">
        <f>ROUND(E19*F19,2)</f>
        <v/>
      </c>
      <c r="H19" s="205">
        <f>G19/$G$32</f>
        <v/>
      </c>
      <c r="I19" s="203">
        <f>ROUND(F19*Прил.10!$D$12,2)</f>
        <v/>
      </c>
      <c r="J19" s="203">
        <f>ROUND(I19*E19,2)</f>
        <v/>
      </c>
    </row>
    <row r="20" ht="25.5" customFormat="1" customHeight="1" s="308">
      <c r="A20" s="373" t="n">
        <v>4</v>
      </c>
      <c r="B20" s="279" t="inlineStr">
        <is>
          <t>91.05.05-014</t>
        </is>
      </c>
      <c r="C20" s="277" t="inlineStr">
        <is>
          <t>Краны на автомобильном ходу, грузоподъемность 10 т</t>
        </is>
      </c>
      <c r="D20" s="279" t="inlineStr">
        <is>
          <t>маш.час</t>
        </is>
      </c>
      <c r="E20" s="443">
        <f>G20/F20</f>
        <v/>
      </c>
      <c r="F20" s="283" t="n">
        <v>111.99</v>
      </c>
      <c r="G20" s="203">
        <f>G21+G22</f>
        <v/>
      </c>
      <c r="H20" s="205">
        <f>G20/$G$32</f>
        <v/>
      </c>
      <c r="I20" s="203">
        <f>ROUND(F20*Прил.10!$D$12,2)</f>
        <v/>
      </c>
      <c r="J20" s="203">
        <f>ROUND(I20*E20,2)</f>
        <v/>
      </c>
    </row>
    <row r="21" hidden="1" outlineLevel="1" ht="25.5" customFormat="1" customHeight="1" s="308">
      <c r="A21" s="373" t="n"/>
      <c r="B21" s="279" t="inlineStr">
        <is>
          <t>91.05.05-014</t>
        </is>
      </c>
      <c r="C21" s="277" t="inlineStr">
        <is>
          <t>Краны на автомобильном ходу, грузоподъемность 10 т</t>
        </is>
      </c>
      <c r="D21" s="279" t="inlineStr">
        <is>
          <t>маш.час</t>
        </is>
      </c>
      <c r="E21" s="279" t="n">
        <v>0.945</v>
      </c>
      <c r="F21" s="283" t="n">
        <v>111.99</v>
      </c>
      <c r="G21" s="203">
        <f>ROUND(E21*F21,2)</f>
        <v/>
      </c>
      <c r="H21" s="205">
        <f>G21/$G$32</f>
        <v/>
      </c>
      <c r="I21" s="203">
        <f>ROUND(F21*Прил.10!$D$12,2)</f>
        <v/>
      </c>
      <c r="J21" s="203">
        <f>ROUND(I21*E21,2)</f>
        <v/>
      </c>
    </row>
    <row r="22" hidden="1" outlineLevel="1" ht="25.5" customFormat="1" customHeight="1" s="308">
      <c r="A22" s="373" t="n"/>
      <c r="B22" s="279" t="inlineStr">
        <is>
          <t>91.05.05-015</t>
        </is>
      </c>
      <c r="C22" s="277" t="inlineStr">
        <is>
          <t>Краны на автомобильном ходу, грузоподъемность 16 т</t>
        </is>
      </c>
      <c r="D22" s="279" t="inlineStr">
        <is>
          <t>маш.час</t>
        </is>
      </c>
      <c r="E22" s="443" t="n">
        <v>0.4982</v>
      </c>
      <c r="F22" s="283" t="n">
        <v>115.4</v>
      </c>
      <c r="G22" s="203">
        <f>ROUND(E22*F22,2)</f>
        <v/>
      </c>
      <c r="H22" s="205">
        <f>G22/$G$32</f>
        <v/>
      </c>
      <c r="I22" s="203">
        <f>ROUND(F22*Прил.10!$D$12,2)</f>
        <v/>
      </c>
      <c r="J22" s="203">
        <f>ROUND(I22*E22,2)</f>
        <v/>
      </c>
    </row>
    <row r="23" collapsed="1" ht="25.5" customFormat="1" customHeight="1" s="308">
      <c r="A23" s="373" t="n">
        <v>5</v>
      </c>
      <c r="B23" s="279" t="inlineStr">
        <is>
          <t>91.05.06-012</t>
        </is>
      </c>
      <c r="C23" s="277" t="inlineStr">
        <is>
          <t>Краны на гусеничном ходу, грузоподъемность до 16 т</t>
        </is>
      </c>
      <c r="D23" s="279" t="inlineStr">
        <is>
          <t>маш.час</t>
        </is>
      </c>
      <c r="E23" s="443" t="n">
        <v>0.6626</v>
      </c>
      <c r="F23" s="283" t="n">
        <v>96.89</v>
      </c>
      <c r="G23" s="203">
        <f>ROUND(E23*F23,2)</f>
        <v/>
      </c>
      <c r="H23" s="205">
        <f>G23/$G$32</f>
        <v/>
      </c>
      <c r="I23" s="203">
        <f>ROUND(F23*Прил.10!$D$12,2)</f>
        <v/>
      </c>
      <c r="J23" s="203">
        <f>ROUND(I23*E23,2)</f>
        <v/>
      </c>
    </row>
    <row r="24" ht="25.5" customFormat="1" customHeight="1" s="308">
      <c r="A24" s="373" t="n">
        <v>6</v>
      </c>
      <c r="B24" s="279" t="inlineStr">
        <is>
          <t>91.14.02-001</t>
        </is>
      </c>
      <c r="C24" s="277" t="inlineStr">
        <is>
          <t>Автомобили бортовые, грузоподъемность: до 5 т</t>
        </is>
      </c>
      <c r="D24" s="294" t="inlineStr">
        <is>
          <t>маш.час</t>
        </is>
      </c>
      <c r="E24" s="443" t="n">
        <v>0.6163</v>
      </c>
      <c r="F24" s="283" t="n">
        <v>65.7</v>
      </c>
      <c r="G24" s="203">
        <f>ROUND(E24*F24,2)</f>
        <v/>
      </c>
      <c r="H24" s="205">
        <f>G24/$G$32</f>
        <v/>
      </c>
      <c r="I24" s="203">
        <f>ROUND(F24*Прил.10!$D$12,2)</f>
        <v/>
      </c>
      <c r="J24" s="203">
        <f>ROUND(I24*E24,2)</f>
        <v/>
      </c>
    </row>
    <row r="25" ht="14.25" customFormat="1" customHeight="1" s="308">
      <c r="A25" s="373" t="n"/>
      <c r="B25" s="373" t="n"/>
      <c r="C25" s="372" t="inlineStr">
        <is>
          <t>Итого основные машины и механизмы</t>
        </is>
      </c>
      <c r="D25" s="373" t="n"/>
      <c r="E25" s="442" t="n"/>
      <c r="F25" s="203" t="n"/>
      <c r="G25" s="203">
        <f>G19+G20+G23+G24</f>
        <v/>
      </c>
      <c r="H25" s="376">
        <f>G25/G32</f>
        <v/>
      </c>
      <c r="I25" s="198" t="n"/>
      <c r="J25" s="203">
        <f>J19+J20+J23+J24</f>
        <v/>
      </c>
    </row>
    <row r="26" hidden="1" outlineLevel="1" ht="25.5" customFormat="1" customHeight="1" s="308">
      <c r="A26" s="373" t="n">
        <v>7</v>
      </c>
      <c r="B26" s="279" t="inlineStr">
        <is>
          <t>91.01.05-086</t>
        </is>
      </c>
      <c r="C26" s="277" t="inlineStr">
        <is>
          <t>Экскаваторы одноковшовые дизельные на гусеничном ходу, емкость ковша 0,65 м3</t>
        </is>
      </c>
      <c r="D26" s="279" t="inlineStr">
        <is>
          <t>маш.час</t>
        </is>
      </c>
      <c r="E26" s="443" t="n">
        <v>0.2558</v>
      </c>
      <c r="F26" s="283" t="n">
        <v>115.25</v>
      </c>
      <c r="G26" s="203">
        <f>ROUND(E26*F26,2)</f>
        <v/>
      </c>
      <c r="H26" s="205">
        <f>G26/$G$32</f>
        <v/>
      </c>
      <c r="I26" s="203">
        <f>ROUND(F26*Прил.10!$D$12,2)</f>
        <v/>
      </c>
      <c r="J26" s="203">
        <f>ROUND(I26*E26,2)</f>
        <v/>
      </c>
    </row>
    <row r="27" hidden="1" outlineLevel="1" ht="51" customFormat="1" customHeight="1" s="308">
      <c r="A27" s="373" t="n">
        <v>8</v>
      </c>
      <c r="B27" s="279" t="inlineStr">
        <is>
          <t>91.18.01-007</t>
        </is>
      </c>
      <c r="C27" s="27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7" s="279" t="inlineStr">
        <is>
          <t>маш.час</t>
        </is>
      </c>
      <c r="E27" s="443" t="n">
        <v>0.1092</v>
      </c>
      <c r="F27" s="283" t="n">
        <v>90.02</v>
      </c>
      <c r="G27" s="203">
        <f>ROUND(E27*F27,2)</f>
        <v/>
      </c>
      <c r="H27" s="205">
        <f>G27/$G$32</f>
        <v/>
      </c>
      <c r="I27" s="203">
        <f>ROUND(F27*Прил.10!$D$12,2)</f>
        <v/>
      </c>
      <c r="J27" s="203">
        <f>ROUND(I27*E27,2)</f>
        <v/>
      </c>
    </row>
    <row r="28" hidden="1" outlineLevel="1" ht="25.5" customFormat="1" customHeight="1" s="308">
      <c r="A28" s="373" t="n">
        <v>9</v>
      </c>
      <c r="B28" s="279" t="inlineStr">
        <is>
          <t>91.17.04-233</t>
        </is>
      </c>
      <c r="C28" s="277" t="inlineStr">
        <is>
          <t>Установки для сварки: ручной дуговой (постоянного тока)</t>
        </is>
      </c>
      <c r="D28" s="279" t="inlineStr">
        <is>
          <t>маш.час</t>
        </is>
      </c>
      <c r="E28" s="443" t="n">
        <v>0.7392</v>
      </c>
      <c r="F28" s="283" t="n">
        <v>8.1</v>
      </c>
      <c r="G28" s="203">
        <f>ROUND(E28*F28,2)</f>
        <v/>
      </c>
      <c r="H28" s="205">
        <f>G28/$G$32</f>
        <v/>
      </c>
      <c r="I28" s="203">
        <f>ROUND(F28*Прил.10!$D$12,2)</f>
        <v/>
      </c>
      <c r="J28" s="203">
        <f>ROUND(I28*E28,2)</f>
        <v/>
      </c>
    </row>
    <row r="29" hidden="1" outlineLevel="1" ht="38.25" customFormat="1" customHeight="1" s="308">
      <c r="A29" s="373" t="n">
        <v>10</v>
      </c>
      <c r="B29" s="279" t="inlineStr">
        <is>
          <t>91.06.05-057</t>
        </is>
      </c>
      <c r="C29" s="277" t="inlineStr">
        <is>
          <t>Погрузчики одноковшовые универсальные фронтальные пневмоколесные, грузоподъемность 3 т</t>
        </is>
      </c>
      <c r="D29" s="279" t="inlineStr">
        <is>
          <t>маш.час</t>
        </is>
      </c>
      <c r="E29" s="443" t="n">
        <v>0.0416</v>
      </c>
      <c r="F29" s="283" t="n">
        <v>90.38</v>
      </c>
      <c r="G29" s="203">
        <f>ROUND(E29*F29,2)</f>
        <v/>
      </c>
      <c r="H29" s="205">
        <f>G29/$G$32</f>
        <v/>
      </c>
      <c r="I29" s="203">
        <f>ROUND(F29*Прил.10!$D$12,2)</f>
        <v/>
      </c>
      <c r="J29" s="203">
        <f>ROUND(I29*E29,2)</f>
        <v/>
      </c>
    </row>
    <row r="30" hidden="1" outlineLevel="1" ht="25.5" customFormat="1" customHeight="1" s="308">
      <c r="A30" s="373" t="n">
        <v>11</v>
      </c>
      <c r="B30" s="279" t="inlineStr">
        <is>
          <t>91.08.09-023</t>
        </is>
      </c>
      <c r="C30" s="277" t="inlineStr">
        <is>
          <t>Трамбовки пневматические при работе от: передвижных компрессорных станций</t>
        </is>
      </c>
      <c r="D30" s="279" t="inlineStr">
        <is>
          <t>маш.час</t>
        </is>
      </c>
      <c r="E30" s="443" t="n">
        <v>0.2184</v>
      </c>
      <c r="F30" s="283" t="n">
        <v>0.55</v>
      </c>
      <c r="G30" s="203">
        <f>ROUND(E30*F30,2)</f>
        <v/>
      </c>
      <c r="H30" s="205">
        <f>G30/$G$32</f>
        <v/>
      </c>
      <c r="I30" s="203">
        <f>ROUND(F30*Прил.10!$D$12,2)</f>
        <v/>
      </c>
      <c r="J30" s="203">
        <f>ROUND(I30*E30,2)</f>
        <v/>
      </c>
    </row>
    <row r="31" collapsed="1" ht="14.25" customFormat="1" customHeight="1" s="308">
      <c r="A31" s="373" t="n"/>
      <c r="B31" s="373" t="n"/>
      <c r="C31" s="372" t="inlineStr">
        <is>
          <t>Итого прочие машины и механизмы</t>
        </is>
      </c>
      <c r="D31" s="373" t="n"/>
      <c r="E31" s="374" t="n"/>
      <c r="F31" s="203" t="n"/>
      <c r="G31" s="198">
        <f>SUM(G26:G30)</f>
        <v/>
      </c>
      <c r="H31" s="205">
        <f>G31/G32</f>
        <v/>
      </c>
      <c r="I31" s="203" t="n"/>
      <c r="J31" s="203">
        <f>SUM(J26:J30)</f>
        <v/>
      </c>
    </row>
    <row r="32" ht="25.5" customFormat="1" customHeight="1" s="308">
      <c r="A32" s="373" t="n"/>
      <c r="B32" s="373" t="n"/>
      <c r="C32" s="371" t="inlineStr">
        <is>
          <t>Итого по разделу «Машины и механизмы»</t>
        </is>
      </c>
      <c r="D32" s="373" t="n"/>
      <c r="E32" s="374" t="n"/>
      <c r="F32" s="203" t="n"/>
      <c r="G32" s="203">
        <f>G31+G25</f>
        <v/>
      </c>
      <c r="H32" s="192" t="n">
        <v>1</v>
      </c>
      <c r="I32" s="193" t="n"/>
      <c r="J32" s="217">
        <f>J31+J25</f>
        <v/>
      </c>
    </row>
    <row r="33" ht="14.25" customFormat="1" customHeight="1" s="308">
      <c r="A33" s="373" t="n"/>
      <c r="B33" s="371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7" t="n"/>
      <c r="J33" s="197" t="n"/>
    </row>
    <row r="34">
      <c r="A34" s="373" t="n"/>
      <c r="B34" s="372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7" t="n"/>
      <c r="J34" s="197" t="n"/>
      <c r="K34" s="308" t="n"/>
      <c r="L34" s="308" t="n"/>
    </row>
    <row r="35">
      <c r="A35" s="373" t="n"/>
      <c r="B35" s="373" t="n"/>
      <c r="C35" s="372" t="inlineStr">
        <is>
          <t>Итого основное оборудование</t>
        </is>
      </c>
      <c r="D35" s="373" t="n"/>
      <c r="E35" s="442" t="n"/>
      <c r="F35" s="375" t="n"/>
      <c r="G35" s="203" t="n">
        <v>0</v>
      </c>
      <c r="H35" s="376" t="n">
        <v>0</v>
      </c>
      <c r="I35" s="198" t="n"/>
      <c r="J35" s="203" t="n">
        <v>0</v>
      </c>
      <c r="K35" s="308" t="n"/>
      <c r="L35" s="308" t="n"/>
    </row>
    <row r="36">
      <c r="A36" s="373" t="n"/>
      <c r="B36" s="373" t="n"/>
      <c r="C36" s="372" t="inlineStr">
        <is>
          <t>Итого прочее оборудование</t>
        </is>
      </c>
      <c r="D36" s="373" t="n"/>
      <c r="E36" s="442" t="n"/>
      <c r="F36" s="375" t="n"/>
      <c r="G36" s="203" t="n">
        <v>0</v>
      </c>
      <c r="H36" s="376" t="n">
        <v>0</v>
      </c>
      <c r="I36" s="198" t="n"/>
      <c r="J36" s="203" t="n">
        <v>0</v>
      </c>
      <c r="K36" s="308" t="n"/>
      <c r="L36" s="308" t="n"/>
    </row>
    <row r="37">
      <c r="A37" s="373" t="n"/>
      <c r="B37" s="373" t="n"/>
      <c r="C37" s="371" t="inlineStr">
        <is>
          <t>Итого по разделу «Оборудование»</t>
        </is>
      </c>
      <c r="D37" s="373" t="n"/>
      <c r="E37" s="374" t="n"/>
      <c r="F37" s="375" t="n"/>
      <c r="G37" s="203">
        <f>G35+G36</f>
        <v/>
      </c>
      <c r="H37" s="376" t="n">
        <v>0</v>
      </c>
      <c r="I37" s="198" t="n"/>
      <c r="J37" s="203">
        <f>J36+J35</f>
        <v/>
      </c>
      <c r="K37" s="308" t="n"/>
      <c r="L37" s="308" t="n"/>
    </row>
    <row r="38" ht="25.5" customHeight="1" s="310">
      <c r="A38" s="373" t="n"/>
      <c r="B38" s="373" t="n"/>
      <c r="C38" s="372" t="inlineStr">
        <is>
          <t>в том числе технологическое оборудование</t>
        </is>
      </c>
      <c r="D38" s="373" t="n"/>
      <c r="E38" s="444" t="n"/>
      <c r="F38" s="375" t="n"/>
      <c r="G38" s="203">
        <f>'Прил.6 Расчет ОБ'!G12</f>
        <v/>
      </c>
      <c r="H38" s="376" t="n"/>
      <c r="I38" s="198" t="n"/>
      <c r="J38" s="203">
        <f>ROUND(G38*Прил.10!D14,2)</f>
        <v/>
      </c>
      <c r="K38" s="308" t="n"/>
      <c r="L38" s="308" t="n"/>
    </row>
    <row r="39" ht="14.25" customFormat="1" customHeight="1" s="308">
      <c r="A39" s="373" t="n"/>
      <c r="B39" s="371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7" t="n"/>
      <c r="J39" s="197" t="n"/>
    </row>
    <row r="40" ht="14.25" customFormat="1" customHeight="1" s="308">
      <c r="A40" s="367" t="n"/>
      <c r="B40" s="366" t="inlineStr">
        <is>
          <t>Основные материалы</t>
        </is>
      </c>
      <c r="C40" s="445" t="n"/>
      <c r="D40" s="445" t="n"/>
      <c r="E40" s="445" t="n"/>
      <c r="F40" s="445" t="n"/>
      <c r="G40" s="445" t="n"/>
      <c r="H40" s="446" t="n"/>
      <c r="I40" s="211" t="n"/>
      <c r="J40" s="211" t="n"/>
    </row>
    <row r="41" ht="51" customFormat="1" customHeight="1" s="308">
      <c r="A41" s="373" t="n">
        <v>12</v>
      </c>
      <c r="B41" s="279" t="inlineStr">
        <is>
          <t>22.2.02.23-0061</t>
        </is>
      </c>
      <c r="C41" s="277" t="inlineStr">
        <is>
          <t>Колодец полимерный герметичный для электрических сетей, марка "ПРОТЕКТОРФЛЕКС", диаметром 1500 мм, высотой 2700 мм</t>
        </is>
      </c>
      <c r="D41" s="279" t="inlineStr">
        <is>
          <t>компл.</t>
        </is>
      </c>
      <c r="E41" s="443" t="n">
        <v>1</v>
      </c>
      <c r="F41" s="283" t="n">
        <v>96951.02</v>
      </c>
      <c r="G41" s="203">
        <f>ROUND(E41*F41,2)</f>
        <v/>
      </c>
      <c r="H41" s="205">
        <f>G41/$G$57</f>
        <v/>
      </c>
      <c r="I41" s="203">
        <f>F41*Прил.10!$D$13</f>
        <v/>
      </c>
      <c r="J41" s="203">
        <f>ROUND(I41*E41,2)</f>
        <v/>
      </c>
    </row>
    <row r="42" ht="14.25" customFormat="1" customHeight="1" s="308">
      <c r="A42" s="384" t="n"/>
      <c r="B42" s="213" t="n"/>
      <c r="C42" s="214" t="inlineStr">
        <is>
          <t>Итого основные материалы</t>
        </is>
      </c>
      <c r="D42" s="384" t="n"/>
      <c r="E42" s="447" t="n"/>
      <c r="F42" s="217" t="n"/>
      <c r="G42" s="217">
        <f>SUM(G41:G41)</f>
        <v/>
      </c>
      <c r="H42" s="205">
        <f>G42/$G$57</f>
        <v/>
      </c>
      <c r="I42" s="203" t="n"/>
      <c r="J42" s="217">
        <f>SUM(J41:J41)</f>
        <v/>
      </c>
    </row>
    <row r="43" hidden="1" outlineLevel="1" ht="38.25" customFormat="1" customHeight="1" s="308">
      <c r="A43" s="373" t="n">
        <v>13</v>
      </c>
      <c r="B43" s="279" t="inlineStr">
        <is>
          <t>05.1.01.11-0046</t>
        </is>
      </c>
      <c r="C43" s="277" t="inlineStr">
        <is>
          <t>Плита днища: ПН20 /бетон В15 (М200), объем 0,59 м3, расход арматуры 79,44 кг / (серия 3.900.1-14)</t>
        </is>
      </c>
      <c r="D43" s="279" t="inlineStr">
        <is>
          <t>шт</t>
        </is>
      </c>
      <c r="E43" s="443" t="n">
        <v>1</v>
      </c>
      <c r="F43" s="283" t="n">
        <v>908.4400000000001</v>
      </c>
      <c r="G43" s="203">
        <f>ROUND(E43*F43,2)</f>
        <v/>
      </c>
      <c r="H43" s="205">
        <f>G43/$G$57</f>
        <v/>
      </c>
      <c r="I43" s="203">
        <f>ROUND(F43*Прил.10!$D$13,2)</f>
        <v/>
      </c>
      <c r="J43" s="203">
        <f>ROUND(I43*E43,2)</f>
        <v/>
      </c>
    </row>
    <row r="44" hidden="1" outlineLevel="1" ht="38.25" customFormat="1" customHeight="1" s="308">
      <c r="A44" s="373" t="n">
        <v>14</v>
      </c>
      <c r="B44" s="279" t="inlineStr">
        <is>
          <t>05.1.06.09-0004</t>
        </is>
      </c>
      <c r="C44" s="277" t="inlineStr">
        <is>
          <t>Плита перекрытия: 1ПП20-1 /бетон В15 (М200), объем 0,55 м3, расход арматуры 49,65 кг/ (серия 3.900.1-14)</t>
        </is>
      </c>
      <c r="D44" s="279" t="inlineStr">
        <is>
          <t>шт</t>
        </is>
      </c>
      <c r="E44" s="443" t="n">
        <v>1</v>
      </c>
      <c r="F44" s="283" t="n">
        <v>681.39</v>
      </c>
      <c r="G44" s="203">
        <f>ROUND(E44*F44,2)</f>
        <v/>
      </c>
      <c r="H44" s="205">
        <f>G44/$G$57</f>
        <v/>
      </c>
      <c r="I44" s="203">
        <f>ROUND(F44*Прил.10!$D$13,2)</f>
        <v/>
      </c>
      <c r="J44" s="203">
        <f>ROUND(I44*E44,2)</f>
        <v/>
      </c>
    </row>
    <row r="45" hidden="1" outlineLevel="1" ht="25.5" customFormat="1" customHeight="1" s="308">
      <c r="A45" s="373" t="n">
        <v>15</v>
      </c>
      <c r="B45" s="279" t="inlineStr">
        <is>
          <t>08.1.02.06-0034</t>
        </is>
      </c>
      <c r="C45" s="277" t="inlineStr">
        <is>
          <t>Люк чугунный тяжелый (ГОСТ 3634-99) марка Т(С250)-ТС-1- 60</t>
        </is>
      </c>
      <c r="D45" s="279" t="inlineStr">
        <is>
          <t>шт</t>
        </is>
      </c>
      <c r="E45" s="443" t="n">
        <v>1</v>
      </c>
      <c r="F45" s="283" t="n">
        <v>596.04</v>
      </c>
      <c r="G45" s="203">
        <f>ROUND(E45*F45,2)</f>
        <v/>
      </c>
      <c r="H45" s="205">
        <f>G45/$G$57</f>
        <v/>
      </c>
      <c r="I45" s="203">
        <f>ROUND(F45*Прил.10!$D$13,2)</f>
        <v/>
      </c>
      <c r="J45" s="203">
        <f>ROUND(I45*E45,2)</f>
        <v/>
      </c>
    </row>
    <row r="46" hidden="1" outlineLevel="1" ht="14.25" customFormat="1" customHeight="1" s="308">
      <c r="A46" s="373" t="n">
        <v>16</v>
      </c>
      <c r="B46" s="279" t="inlineStr">
        <is>
          <t>14.4.02.09-0301</t>
        </is>
      </c>
      <c r="C46" s="277" t="inlineStr">
        <is>
          <t>Краска "Цинол"</t>
        </is>
      </c>
      <c r="D46" s="279" t="inlineStr">
        <is>
          <t>кг</t>
        </is>
      </c>
      <c r="E46" s="443" t="n">
        <v>0.506</v>
      </c>
      <c r="F46" s="283" t="n">
        <v>238.48</v>
      </c>
      <c r="G46" s="203">
        <f>ROUND(E46*F46,2)</f>
        <v/>
      </c>
      <c r="H46" s="205">
        <f>G46/$G$57</f>
        <v/>
      </c>
      <c r="I46" s="203">
        <f>ROUND(F46*Прил.10!$D$13,2)</f>
        <v/>
      </c>
      <c r="J46" s="203">
        <f>ROUND(I46*E46,2)</f>
        <v/>
      </c>
    </row>
    <row r="47" hidden="1" outlineLevel="1" ht="38.25" customFormat="1" customHeight="1" s="308">
      <c r="A47" s="373" t="n">
        <v>17</v>
      </c>
      <c r="B47" s="279" t="inlineStr">
        <is>
          <t>02.3.01.02-0016</t>
        </is>
      </c>
      <c r="C47" s="277" t="inlineStr">
        <is>
          <t>Песок природный для строительных: работ средний с крупностью зерен размером свыше 5 мм - до 5% по массе</t>
        </is>
      </c>
      <c r="D47" s="279" t="inlineStr">
        <is>
          <t>м3</t>
        </is>
      </c>
      <c r="E47" s="443" t="n">
        <v>0.624</v>
      </c>
      <c r="F47" s="283" t="n">
        <v>55.26</v>
      </c>
      <c r="G47" s="203">
        <f>ROUND(E47*F47,2)</f>
        <v/>
      </c>
      <c r="H47" s="205">
        <f>G47/$G$57</f>
        <v/>
      </c>
      <c r="I47" s="203">
        <f>ROUND(F47*Прил.10!$D$13,2)</f>
        <v/>
      </c>
      <c r="J47" s="203">
        <f>ROUND(I47*E47,2)</f>
        <v/>
      </c>
    </row>
    <row r="48" hidden="1" outlineLevel="1" ht="38.25" customFormat="1" customHeight="1" s="308">
      <c r="A48" s="373" t="n">
        <v>18</v>
      </c>
      <c r="B48" s="279" t="inlineStr">
        <is>
          <t>05.1.01.09-0042</t>
        </is>
      </c>
      <c r="C48" s="277" t="inlineStr">
        <is>
          <t>Кольцо опорное КО-6 /бетон В15 (М200), объем 0,02 м3, расход арматуры 1,10 кг / (серия 3.900.1-14)</t>
        </is>
      </c>
      <c r="D48" s="279" t="inlineStr">
        <is>
          <t>шт</t>
        </is>
      </c>
      <c r="E48" s="443" t="n">
        <v>1</v>
      </c>
      <c r="F48" s="283" t="n">
        <v>31.43</v>
      </c>
      <c r="G48" s="203">
        <f>ROUND(E48*F48,2)</f>
        <v/>
      </c>
      <c r="H48" s="205">
        <f>G48/$G$57</f>
        <v/>
      </c>
      <c r="I48" s="203">
        <f>ROUND(F48*Прил.10!$D$13,2)</f>
        <v/>
      </c>
      <c r="J48" s="203">
        <f>ROUND(I48*E48,2)</f>
        <v/>
      </c>
    </row>
    <row r="49" hidden="1" outlineLevel="1" ht="25.5" customFormat="1" customHeight="1" s="308">
      <c r="A49" s="373" t="n">
        <v>19</v>
      </c>
      <c r="B49" s="279" t="inlineStr">
        <is>
          <t>04.3.01.09-0014</t>
        </is>
      </c>
      <c r="C49" s="277" t="inlineStr">
        <is>
          <t>Раствор готовый кладочный цементный марки: 100</t>
        </is>
      </c>
      <c r="D49" s="279" t="inlineStr">
        <is>
          <t>м3</t>
        </is>
      </c>
      <c r="E49" s="443" t="n">
        <v>0.0197</v>
      </c>
      <c r="F49" s="283" t="n">
        <v>520.3</v>
      </c>
      <c r="G49" s="203">
        <f>ROUND(E49*F49,2)</f>
        <v/>
      </c>
      <c r="H49" s="205">
        <f>G49/$G$57</f>
        <v/>
      </c>
      <c r="I49" s="203">
        <f>ROUND(F49*Прил.10!$D$13,2)</f>
        <v/>
      </c>
      <c r="J49" s="203">
        <f>ROUND(I49*E49,2)</f>
        <v/>
      </c>
    </row>
    <row r="50" hidden="1" outlineLevel="1" ht="38.25" customFormat="1" customHeight="1" s="308">
      <c r="A50" s="373" t="n">
        <v>20</v>
      </c>
      <c r="B50" s="279" t="inlineStr">
        <is>
          <t>08.3.05.02-0101</t>
        </is>
      </c>
      <c r="C50" s="277" t="inlineStr">
        <is>
          <t>Сталь листовая углеродистая обыкновенного качества марки ВСт3пс5 толщиной: 4-6 мм</t>
        </is>
      </c>
      <c r="D50" s="279" t="inlineStr">
        <is>
          <t>т</t>
        </is>
      </c>
      <c r="E50" s="443" t="n">
        <v>0.0009</v>
      </c>
      <c r="F50" s="283" t="n">
        <v>5633.33</v>
      </c>
      <c r="G50" s="203">
        <f>ROUND(E50*F50,2)</f>
        <v/>
      </c>
      <c r="H50" s="205">
        <f>G50/$G$57</f>
        <v/>
      </c>
      <c r="I50" s="203">
        <f>ROUND(F50*Прил.10!$D$13,2)</f>
        <v/>
      </c>
      <c r="J50" s="203">
        <f>ROUND(I50*E50,2)</f>
        <v/>
      </c>
    </row>
    <row r="51" hidden="1" outlineLevel="1" ht="25.5" customFormat="1" customHeight="1" s="308">
      <c r="A51" s="373" t="n">
        <v>21</v>
      </c>
      <c r="B51" s="279" t="inlineStr">
        <is>
          <t>08.1.02.11-0001</t>
        </is>
      </c>
      <c r="C51" s="277" t="inlineStr">
        <is>
          <t>Поковки из квадратных заготовок, масса: 1,8 кг</t>
        </is>
      </c>
      <c r="D51" s="279" t="inlineStr">
        <is>
          <t>т</t>
        </is>
      </c>
      <c r="E51" s="443" t="n">
        <v>0.0005999999999999999</v>
      </c>
      <c r="F51" s="283" t="n">
        <v>5783.33</v>
      </c>
      <c r="G51" s="203">
        <f>ROUND(E51*F51,2)</f>
        <v/>
      </c>
      <c r="H51" s="205">
        <f>G51/$G$57</f>
        <v/>
      </c>
      <c r="I51" s="203">
        <f>ROUND(F51*Прил.10!$D$13,2)</f>
        <v/>
      </c>
      <c r="J51" s="203">
        <f>ROUND(I51*E51,2)</f>
        <v/>
      </c>
    </row>
    <row r="52" hidden="1" outlineLevel="1" ht="14.25" customFormat="1" customHeight="1" s="308">
      <c r="A52" s="373" t="n">
        <v>22</v>
      </c>
      <c r="B52" s="279" t="inlineStr">
        <is>
          <t>01.7.11.07-0034</t>
        </is>
      </c>
      <c r="C52" s="277" t="inlineStr">
        <is>
          <t>Электроды диаметром: 4 мм Э42А</t>
        </is>
      </c>
      <c r="D52" s="279" t="inlineStr">
        <is>
          <t>кг</t>
        </is>
      </c>
      <c r="E52" s="443" t="n">
        <v>0.286</v>
      </c>
      <c r="F52" s="283" t="n">
        <v>10.56</v>
      </c>
      <c r="G52" s="203">
        <f>ROUND(E52*F52,2)</f>
        <v/>
      </c>
      <c r="H52" s="205">
        <f>G52/$G$57</f>
        <v/>
      </c>
      <c r="I52" s="203">
        <f>ROUND(F52*Прил.10!$D$13,2)</f>
        <v/>
      </c>
      <c r="J52" s="203">
        <f>ROUND(I52*E52,2)</f>
        <v/>
      </c>
    </row>
    <row r="53" hidden="1" outlineLevel="1" ht="25.5" customFormat="1" customHeight="1" s="308">
      <c r="A53" s="373" t="n">
        <v>23</v>
      </c>
      <c r="B53" s="279" t="inlineStr">
        <is>
          <t>999-9950</t>
        </is>
      </c>
      <c r="C53" s="277" t="inlineStr">
        <is>
          <t>Вспомогательные ненормируемые ресурсы (2% от Оплаты труда рабочих)</t>
        </is>
      </c>
      <c r="D53" s="279" t="inlineStr">
        <is>
          <t>руб.</t>
        </is>
      </c>
      <c r="E53" s="443" t="n">
        <v>0.88</v>
      </c>
      <c r="F53" s="283" t="n">
        <v>1</v>
      </c>
      <c r="G53" s="203">
        <f>ROUND(E53*F53,2)</f>
        <v/>
      </c>
      <c r="H53" s="205">
        <f>G53/$G$57</f>
        <v/>
      </c>
      <c r="I53" s="203">
        <f>ROUND(F53*Прил.10!$D$13,2)</f>
        <v/>
      </c>
      <c r="J53" s="203">
        <f>ROUND(I53*E53,2)</f>
        <v/>
      </c>
    </row>
    <row r="54" hidden="1" outlineLevel="1" ht="14.25" customFormat="1" customHeight="1" s="308">
      <c r="A54" s="373" t="n">
        <v>24</v>
      </c>
      <c r="B54" s="279" t="inlineStr">
        <is>
          <t>04.1.02.05-0007</t>
        </is>
      </c>
      <c r="C54" s="277" t="inlineStr">
        <is>
          <t>Бетон тяжелый, класс: В20 (М250)</t>
        </is>
      </c>
      <c r="D54" s="279" t="inlineStr">
        <is>
          <t>м3</t>
        </is>
      </c>
      <c r="E54" s="443" t="n">
        <v>0.0008</v>
      </c>
      <c r="F54" s="283" t="n">
        <v>662.5</v>
      </c>
      <c r="G54" s="203">
        <f>ROUND(E54*F54,2)</f>
        <v/>
      </c>
      <c r="H54" s="205">
        <f>G54/$G$57</f>
        <v/>
      </c>
      <c r="I54" s="203">
        <f>ROUND(F54*Прил.10!$D$13,2)</f>
        <v/>
      </c>
      <c r="J54" s="203">
        <f>ROUND(I54*E54,2)</f>
        <v/>
      </c>
    </row>
    <row r="55" hidden="1" outlineLevel="1" ht="14.25" customFormat="1" customHeight="1" s="308">
      <c r="A55" s="373" t="n">
        <v>25</v>
      </c>
      <c r="B55" s="279" t="inlineStr">
        <is>
          <t>01.7.03.01-0001</t>
        </is>
      </c>
      <c r="C55" s="277" t="inlineStr">
        <is>
          <t>Вода</t>
        </is>
      </c>
      <c r="D55" s="279" t="inlineStr">
        <is>
          <t>м3</t>
        </is>
      </c>
      <c r="E55" s="443" t="n">
        <v>0.078</v>
      </c>
      <c r="F55" s="283" t="n">
        <v>2.44</v>
      </c>
      <c r="G55" s="203">
        <f>ROUND(E55*F55,2)</f>
        <v/>
      </c>
      <c r="H55" s="205">
        <f>G55/$G$57</f>
        <v/>
      </c>
      <c r="I55" s="203">
        <f>ROUND(F55*Прил.10!$D$13,2)</f>
        <v/>
      </c>
      <c r="J55" s="203">
        <f>ROUND(I55*E55,2)</f>
        <v/>
      </c>
    </row>
    <row r="56" collapsed="1" ht="14.25" customFormat="1" customHeight="1" s="308">
      <c r="A56" s="373" t="n"/>
      <c r="B56" s="373" t="n"/>
      <c r="C56" s="372" t="inlineStr">
        <is>
          <t>Итого прочие материалы</t>
        </is>
      </c>
      <c r="D56" s="373" t="n"/>
      <c r="E56" s="374" t="n"/>
      <c r="F56" s="375" t="n"/>
      <c r="G56" s="203">
        <f>SUM(G43:G55)</f>
        <v/>
      </c>
      <c r="H56" s="205">
        <f>G56/$G$57</f>
        <v/>
      </c>
      <c r="I56" s="203" t="n"/>
      <c r="J56" s="203">
        <f>SUM(J43:J55)</f>
        <v/>
      </c>
    </row>
    <row r="57" ht="14.25" customFormat="1" customHeight="1" s="308">
      <c r="A57" s="373" t="n"/>
      <c r="B57" s="373" t="n"/>
      <c r="C57" s="371" t="inlineStr">
        <is>
          <t>Итого по разделу «Материалы»</t>
        </is>
      </c>
      <c r="D57" s="373" t="n"/>
      <c r="E57" s="374" t="n"/>
      <c r="F57" s="375" t="n"/>
      <c r="G57" s="203">
        <f>G42+G56</f>
        <v/>
      </c>
      <c r="H57" s="376">
        <f>G57/$G$57</f>
        <v/>
      </c>
      <c r="I57" s="203" t="n"/>
      <c r="J57" s="203">
        <f>J42+J56</f>
        <v/>
      </c>
    </row>
    <row r="58" ht="14.25" customFormat="1" customHeight="1" s="308">
      <c r="A58" s="373" t="n"/>
      <c r="B58" s="373" t="n"/>
      <c r="C58" s="372" t="inlineStr">
        <is>
          <t>ИТОГО ПО РМ</t>
        </is>
      </c>
      <c r="D58" s="373" t="n"/>
      <c r="E58" s="374" t="n"/>
      <c r="F58" s="375" t="n"/>
      <c r="G58" s="203">
        <f>G14+G32+G57</f>
        <v/>
      </c>
      <c r="H58" s="376" t="n"/>
      <c r="I58" s="203" t="n"/>
      <c r="J58" s="203">
        <f>J14+J32+J57</f>
        <v/>
      </c>
    </row>
    <row r="59" ht="14.25" customFormat="1" customHeight="1" s="308">
      <c r="A59" s="373" t="n"/>
      <c r="B59" s="373" t="n"/>
      <c r="C59" s="372" t="inlineStr">
        <is>
          <t>Накладные расходы</t>
        </is>
      </c>
      <c r="D59" s="285">
        <f>ROUND(G59/(G$16+$G$14),2)</f>
        <v/>
      </c>
      <c r="E59" s="374" t="n"/>
      <c r="F59" s="375" t="n"/>
      <c r="G59" s="203" t="n">
        <v>218.61</v>
      </c>
      <c r="H59" s="376" t="n"/>
      <c r="I59" s="203" t="n"/>
      <c r="J59" s="203">
        <f>ROUND(D59*(J14+J16),2)</f>
        <v/>
      </c>
    </row>
    <row r="60" ht="14.25" customFormat="1" customHeight="1" s="308">
      <c r="A60" s="373" t="n"/>
      <c r="B60" s="373" t="n"/>
      <c r="C60" s="372" t="inlineStr">
        <is>
          <t>Сметная прибыль</t>
        </is>
      </c>
      <c r="D60" s="285">
        <f>ROUND(G60/(G$14+G$16),2)</f>
        <v/>
      </c>
      <c r="E60" s="374" t="n"/>
      <c r="F60" s="375" t="n"/>
      <c r="G60" s="203" t="n">
        <v>131.58</v>
      </c>
      <c r="H60" s="376" t="n"/>
      <c r="I60" s="203" t="n"/>
      <c r="J60" s="203">
        <f>ROUND(D60*(J14+J16),2)</f>
        <v/>
      </c>
    </row>
    <row r="61" ht="14.25" customFormat="1" customHeight="1" s="308">
      <c r="A61" s="373" t="n"/>
      <c r="B61" s="373" t="n"/>
      <c r="C61" s="372" t="inlineStr">
        <is>
          <t>Итого СМР (с НР и СП)</t>
        </is>
      </c>
      <c r="D61" s="373" t="n"/>
      <c r="E61" s="374" t="n"/>
      <c r="F61" s="375" t="n"/>
      <c r="G61" s="203">
        <f>G14+G32+G57+G59+G60</f>
        <v/>
      </c>
      <c r="H61" s="376" t="n"/>
      <c r="I61" s="203" t="n"/>
      <c r="J61" s="203">
        <f>J14+J32+J57+J59+J60</f>
        <v/>
      </c>
    </row>
    <row r="62" ht="14.25" customFormat="1" customHeight="1" s="308">
      <c r="A62" s="373" t="n"/>
      <c r="B62" s="373" t="n"/>
      <c r="C62" s="372" t="inlineStr">
        <is>
          <t>ВСЕГО СМР + ОБОРУДОВАНИЕ</t>
        </is>
      </c>
      <c r="D62" s="373" t="n"/>
      <c r="E62" s="374" t="n"/>
      <c r="F62" s="375" t="n"/>
      <c r="G62" s="203">
        <f>G61+G37</f>
        <v/>
      </c>
      <c r="H62" s="376" t="n"/>
      <c r="I62" s="203" t="n"/>
      <c r="J62" s="203">
        <f>J61+J37</f>
        <v/>
      </c>
    </row>
    <row r="63" ht="34.5" customFormat="1" customHeight="1" s="308">
      <c r="A63" s="373" t="n"/>
      <c r="B63" s="373" t="n"/>
      <c r="C63" s="372" t="inlineStr">
        <is>
          <t>ИТОГО ПОКАЗАТЕЛЬ НА ЕД. ИЗМ.</t>
        </is>
      </c>
      <c r="D63" s="373" t="inlineStr">
        <is>
          <t>шт</t>
        </is>
      </c>
      <c r="E63" s="444" t="n">
        <v>1</v>
      </c>
      <c r="F63" s="375" t="n"/>
      <c r="G63" s="203">
        <f>G62/E63</f>
        <v/>
      </c>
      <c r="H63" s="376" t="n"/>
      <c r="I63" s="203" t="n"/>
      <c r="J63" s="203">
        <f>J62/E63</f>
        <v/>
      </c>
    </row>
    <row r="65" ht="14.25" customFormat="1" customHeight="1" s="308">
      <c r="A65" s="301" t="inlineStr">
        <is>
          <t>Составил ______________________    А.Р. Маркова</t>
        </is>
      </c>
      <c r="B65" s="280" t="n"/>
      <c r="D65" s="280" t="n"/>
      <c r="E65" s="280" t="n"/>
      <c r="F65" s="284" t="n"/>
    </row>
    <row r="66" ht="14.25" customFormat="1" customHeight="1" s="308">
      <c r="A66" s="309" t="inlineStr">
        <is>
          <t xml:space="preserve">                         (подпись, инициалы, фамилия)</t>
        </is>
      </c>
      <c r="B66" s="280" t="n"/>
      <c r="D66" s="280" t="n"/>
      <c r="E66" s="280" t="n"/>
      <c r="F66" s="284" t="n"/>
    </row>
    <row r="67" ht="14.25" customFormat="1" customHeight="1" s="308">
      <c r="A67" s="301" t="n"/>
      <c r="B67" s="280" t="n"/>
      <c r="D67" s="280" t="n"/>
      <c r="E67" s="280" t="n"/>
      <c r="F67" s="284" t="n"/>
    </row>
    <row r="68" ht="14.25" customFormat="1" customHeight="1" s="308">
      <c r="A68" s="301" t="inlineStr">
        <is>
          <t>Проверил ______________________        А.В. Костянецкая</t>
        </is>
      </c>
      <c r="B68" s="280" t="n"/>
      <c r="D68" s="280" t="n"/>
      <c r="E68" s="280" t="n"/>
      <c r="F68" s="284" t="n"/>
    </row>
    <row r="69" ht="14.25" customFormat="1" customHeight="1" s="308">
      <c r="A69" s="309" t="inlineStr">
        <is>
          <t xml:space="preserve">                        (подпись, инициалы, фамилия)</t>
        </is>
      </c>
      <c r="B69" s="280" t="n"/>
      <c r="D69" s="280" t="n"/>
      <c r="E69" s="280" t="n"/>
      <c r="F69" s="284" t="n"/>
    </row>
  </sheetData>
  <mergeCells count="21">
    <mergeCell ref="H9:H10"/>
    <mergeCell ref="B40:H4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0" sqref="E20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86" t="inlineStr">
        <is>
          <t>Приложение №6</t>
        </is>
      </c>
    </row>
    <row r="2" ht="21.75" customHeight="1" s="310">
      <c r="A2" s="386" t="n"/>
      <c r="B2" s="386" t="n"/>
      <c r="C2" s="386" t="n"/>
      <c r="D2" s="386" t="n"/>
      <c r="E2" s="386" t="n"/>
      <c r="F2" s="386" t="n"/>
      <c r="G2" s="386" t="n"/>
    </row>
    <row r="3">
      <c r="A3" s="332" t="inlineStr">
        <is>
          <t>Расчет стоимости оборудования</t>
        </is>
      </c>
    </row>
    <row r="4" ht="25.5" customHeight="1" s="310">
      <c r="A4" s="335" t="inlineStr">
        <is>
          <t>Наименование разрабатываемого показателя УНЦ — Кабельный колодец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2" customHeight="1" s="31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10">
      <c r="A9" s="253" t="n"/>
      <c r="B9" s="372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0">
      <c r="A10" s="373" t="n"/>
      <c r="B10" s="371" t="n"/>
      <c r="C10" s="372" t="inlineStr">
        <is>
          <t>ИТОГО ИНЖЕНЕРНОЕ ОБОРУДОВАНИЕ</t>
        </is>
      </c>
      <c r="D10" s="371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0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3" t="n">
        <v>0</v>
      </c>
    </row>
    <row r="13" ht="19.5" customHeight="1" s="310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3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01" t="inlineStr">
        <is>
          <t>Составил ______________________    А.Р. Маркова</t>
        </is>
      </c>
      <c r="B15" s="308" t="n"/>
      <c r="C15" s="308" t="n"/>
      <c r="D15" s="306" t="n"/>
      <c r="E15" s="306" t="n"/>
      <c r="F15" s="306" t="n"/>
      <c r="G15" s="306" t="n"/>
    </row>
    <row r="16">
      <c r="A16" s="309" t="inlineStr">
        <is>
          <t xml:space="preserve">                         (подпись, инициалы, фамилия)</t>
        </is>
      </c>
      <c r="B16" s="308" t="n"/>
      <c r="C16" s="308" t="n"/>
      <c r="D16" s="306" t="n"/>
      <c r="E16" s="306" t="n"/>
      <c r="F16" s="306" t="n"/>
      <c r="G16" s="306" t="n"/>
    </row>
    <row r="17">
      <c r="A17" s="301" t="n"/>
      <c r="B17" s="308" t="n"/>
      <c r="C17" s="308" t="n"/>
      <c r="D17" s="306" t="n"/>
      <c r="E17" s="306" t="n"/>
      <c r="F17" s="306" t="n"/>
      <c r="G17" s="306" t="n"/>
    </row>
    <row r="18">
      <c r="A18" s="301" t="inlineStr">
        <is>
          <t>Проверил ______________________        А.В. Костянецкая</t>
        </is>
      </c>
      <c r="B18" s="308" t="n"/>
      <c r="C18" s="308" t="n"/>
      <c r="D18" s="306" t="n"/>
      <c r="E18" s="306" t="n"/>
      <c r="F18" s="306" t="n"/>
      <c r="G18" s="306" t="n"/>
    </row>
    <row r="19">
      <c r="A19" s="309" t="inlineStr">
        <is>
          <t xml:space="preserve">                        (подпись, инициалы, фамилия)</t>
        </is>
      </c>
      <c r="B19" s="308" t="n"/>
      <c r="C19" s="308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310" min="1" max="1"/>
    <col width="29.5703125" customWidth="1" style="310" min="2" max="2"/>
    <col width="39.140625" customWidth="1" style="310" min="3" max="3"/>
    <col width="48.140625" customWidth="1" style="310" min="4" max="4"/>
    <col width="8.85546875" customWidth="1" style="310" min="5" max="5"/>
  </cols>
  <sheetData>
    <row r="1">
      <c r="B1" s="301" t="n"/>
      <c r="C1" s="301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10">
      <c r="A3" s="332" t="inlineStr">
        <is>
          <t>Расчет показателя УНЦ</t>
        </is>
      </c>
    </row>
    <row r="4" ht="24.75" customHeight="1" s="310">
      <c r="A4" s="332" t="n"/>
      <c r="B4" s="332" t="n"/>
      <c r="C4" s="332" t="n"/>
      <c r="D4" s="332" t="n"/>
    </row>
    <row r="5" ht="24.6" customHeight="1" s="310">
      <c r="A5" s="335" t="inlineStr">
        <is>
          <t xml:space="preserve">Наименование разрабатываемого показателя УНЦ - </t>
        </is>
      </c>
      <c r="D5" s="335">
        <f>'Прил.5 Расчет СМР и ОБ'!D6:J6</f>
        <v/>
      </c>
    </row>
    <row r="6" ht="19.9" customHeight="1" s="310">
      <c r="A6" s="335" t="inlineStr">
        <is>
          <t>Единица измерения  — 1 шт</t>
        </is>
      </c>
      <c r="D6" s="335" t="n"/>
    </row>
    <row r="7">
      <c r="A7" s="301" t="n"/>
      <c r="B7" s="301" t="n"/>
      <c r="C7" s="301" t="n"/>
      <c r="D7" s="301" t="n"/>
    </row>
    <row r="8" ht="14.45" customHeight="1" s="31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10">
      <c r="A9" s="439" t="n"/>
      <c r="B9" s="439" t="n"/>
      <c r="C9" s="439" t="n"/>
      <c r="D9" s="439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5" customHeight="1" s="310">
      <c r="A11" s="373" t="inlineStr">
        <is>
          <t>Н5-01</t>
        </is>
      </c>
      <c r="B11" s="373" t="inlineStr">
        <is>
          <t xml:space="preserve">УНЦ кабельного колодца 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01" t="inlineStr">
        <is>
          <t>Составил ______________________      А.Р. Маркова</t>
        </is>
      </c>
      <c r="B13" s="308" t="n"/>
      <c r="C13" s="308" t="n"/>
      <c r="D13" s="306" t="n"/>
    </row>
    <row r="14">
      <c r="A14" s="309" t="inlineStr">
        <is>
          <t xml:space="preserve">                         (подпись, инициалы, фамилия)</t>
        </is>
      </c>
      <c r="B14" s="308" t="n"/>
      <c r="C14" s="308" t="n"/>
      <c r="D14" s="306" t="n"/>
    </row>
    <row r="15">
      <c r="A15" s="301" t="n"/>
      <c r="B15" s="308" t="n"/>
      <c r="C15" s="308" t="n"/>
      <c r="D15" s="306" t="n"/>
    </row>
    <row r="16">
      <c r="A16" s="301" t="inlineStr">
        <is>
          <t>Проверил ______________________        А.В. Костянецкая</t>
        </is>
      </c>
      <c r="B16" s="308" t="n"/>
      <c r="C16" s="308" t="n"/>
      <c r="D16" s="306" t="n"/>
    </row>
    <row r="17">
      <c r="A17" s="309" t="inlineStr">
        <is>
          <t xml:space="preserve">                        (подпись, инициалы, фамилия)</t>
        </is>
      </c>
      <c r="B17" s="308" t="n"/>
      <c r="C17" s="308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39" t="inlineStr">
        <is>
          <t>Приложение № 10</t>
        </is>
      </c>
    </row>
    <row r="5" ht="18.75" customHeight="1" s="310">
      <c r="B5" s="172" t="n"/>
    </row>
    <row r="6" ht="15.75" customHeight="1" s="310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0">
      <c r="B10" s="353" t="n">
        <v>1</v>
      </c>
      <c r="C10" s="353" t="n">
        <v>2</v>
      </c>
      <c r="D10" s="353" t="n">
        <v>3</v>
      </c>
    </row>
    <row r="11" ht="45" customHeight="1" s="31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прил.1</t>
        </is>
      </c>
      <c r="D11" s="353" t="n">
        <v>44.29</v>
      </c>
    </row>
    <row r="12" ht="29.25" customHeight="1" s="31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прил.1</t>
        </is>
      </c>
      <c r="D12" s="353" t="n">
        <v>13.47</v>
      </c>
    </row>
    <row r="13" ht="29.25" customHeight="1" s="31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прил.1</t>
        </is>
      </c>
      <c r="D13" s="353" t="n">
        <v>8.039999999999999</v>
      </c>
    </row>
    <row r="14" ht="30.75" customHeight="1" s="31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1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4.5" customHeight="1" s="310">
      <c r="B17" s="353" t="n"/>
      <c r="C17" s="353" t="n"/>
      <c r="D17" s="353" t="n"/>
    </row>
    <row r="18" ht="31.7" customHeight="1" s="310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175" t="n">
        <v>0.0214</v>
      </c>
    </row>
    <row r="19" ht="31.7" customHeight="1" s="310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175" t="n">
        <v>0.002</v>
      </c>
    </row>
    <row r="20" ht="24" customHeight="1" s="310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175" t="n">
        <v>0.03</v>
      </c>
    </row>
    <row r="21" ht="18.75" customHeight="1" s="310">
      <c r="B21" s="173" t="n"/>
    </row>
    <row r="22" ht="18.75" customHeight="1" s="310">
      <c r="B22" s="173" t="n"/>
    </row>
    <row r="23" ht="18.75" customHeight="1" s="310">
      <c r="B23" s="173" t="n"/>
    </row>
    <row r="24" ht="18.75" customHeight="1" s="310">
      <c r="B24" s="173" t="n"/>
    </row>
    <row r="27">
      <c r="B27" s="301" t="inlineStr">
        <is>
          <t>Составил ______________________        Е.А. Князева</t>
        </is>
      </c>
      <c r="C27" s="308" t="n"/>
    </row>
    <row r="28">
      <c r="B28" s="309" t="inlineStr">
        <is>
          <t xml:space="preserve">                         (подпись, инициалы, фамилия)</t>
        </is>
      </c>
      <c r="C28" s="308" t="n"/>
    </row>
    <row r="29">
      <c r="B29" s="301" t="n"/>
      <c r="C29" s="308" t="n"/>
    </row>
    <row r="30">
      <c r="B30" s="301" t="inlineStr">
        <is>
          <t>Проверил ______________________        А.В. Костянецкая</t>
        </is>
      </c>
      <c r="C30" s="308" t="n"/>
    </row>
    <row r="31">
      <c r="B31" s="309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3" sqref="S33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3" t="n"/>
      <c r="D10" s="353" t="n"/>
      <c r="E10" s="448" t="n">
        <v>3.4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49" t="n">
        <v>1.247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0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n"/>
    </row>
    <row r="13" ht="63" customHeight="1" s="310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30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2025-01-24T12:12:35Z</dcterms:modified>
  <cp:lastModifiedBy>REDMIBOOK</cp:lastModifiedBy>
  <cp:lastPrinted>2023-12-01T11:32:31Z</cp:lastPrinted>
</cp:coreProperties>
</file>