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3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175" fontId="24" fillId="0" borderId="0" pivotButton="0" quotePrefix="0" xfId="0"/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2:G31"/>
  <sheetViews>
    <sheetView view="pageBreakPreview" topLeftCell="A16" zoomScale="60" zoomScaleNormal="55" workbookViewId="0">
      <selection activeCell="C25" sqref="C25"/>
    </sheetView>
  </sheetViews>
  <sheetFormatPr baseColWidth="8" defaultRowHeight="15"/>
  <cols>
    <col width="41.5703125" customWidth="1" style="222" min="3" max="3"/>
    <col width="49.14062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77" t="n"/>
      <c r="C5" s="177" t="n"/>
      <c r="D5" s="177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83кН, количество волокон 24 шт.</t>
        </is>
      </c>
    </row>
    <row r="7" ht="31.5" customHeight="1" s="222">
      <c r="B7" s="252" t="inlineStr">
        <is>
          <t>Сопоставимый уровень цен:2 квартал 2017 года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58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42.75" customHeight="1" s="222">
      <c r="B12" s="260" t="n">
        <v>2</v>
      </c>
      <c r="C12" s="158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24" customHeight="1" s="222">
      <c r="B13" s="260" t="n">
        <v>3</v>
      </c>
      <c r="C13" s="158" t="inlineStr">
        <is>
          <t>Климатический район и подрайон</t>
        </is>
      </c>
      <c r="D13" s="260" t="inlineStr">
        <is>
          <t>IIВ</t>
        </is>
      </c>
    </row>
    <row r="14" ht="32.25" customHeight="1" s="222">
      <c r="B14" s="260" t="n">
        <v>4</v>
      </c>
      <c r="C14" s="158" t="inlineStr">
        <is>
          <t>Мощность объекта</t>
        </is>
      </c>
      <c r="D14" s="260" t="n">
        <v>90</v>
      </c>
    </row>
    <row r="15" ht="105.7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90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9" t="inlineStr">
        <is>
          <t>6.1</t>
        </is>
      </c>
      <c r="C17" s="158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9" t="inlineStr">
        <is>
          <t>6.2</t>
        </is>
      </c>
      <c r="C18" s="158" t="inlineStr">
        <is>
          <t>оборудование и инвентарь</t>
        </is>
      </c>
      <c r="D18" s="219" t="n">
        <v>0</v>
      </c>
    </row>
    <row r="19" ht="15.75" customHeight="1" s="222">
      <c r="B19" s="239" t="inlineStr">
        <is>
          <t>6.3</t>
        </is>
      </c>
      <c r="C19" s="158" t="inlineStr">
        <is>
          <t>пусконаладочные работы</t>
        </is>
      </c>
      <c r="D19" s="219" t="n">
        <v>0</v>
      </c>
    </row>
    <row r="20" ht="45" customHeight="1" s="222">
      <c r="B20" s="239" t="inlineStr">
        <is>
          <t>6.4</t>
        </is>
      </c>
      <c r="C20" s="158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58" t="inlineStr">
        <is>
          <t>Сопоставимый уровень цен</t>
        </is>
      </c>
      <c r="D21" s="239" t="inlineStr">
        <is>
          <t>2 квартал 2017 года</t>
        </is>
      </c>
      <c r="G21" s="182" t="n"/>
    </row>
    <row r="22" ht="126.7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59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82" t="n"/>
    </row>
    <row r="24" ht="116.25" customHeight="1" s="222">
      <c r="B24" s="260" t="n">
        <v>10</v>
      </c>
      <c r="C24" s="158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79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80" t="n"/>
      <c r="C31" s="180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63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85" workbookViewId="0">
      <selection activeCell="C20" sqref="C20"/>
    </sheetView>
  </sheetViews>
  <sheetFormatPr baseColWidth="8" defaultRowHeight="15"/>
  <cols>
    <col width="5.5703125" customWidth="1" style="222" min="1" max="1"/>
    <col width="44.85546875" customWidth="1" style="222" min="3" max="3"/>
    <col width="22.28515625" customWidth="1" style="222" min="4" max="4"/>
    <col width="28.8554687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79" t="inlineStr">
        <is>
          <t>ОКГТ механическая прочность на разрыв 83кН, количество волокон 24 шт.</t>
        </is>
      </c>
      <c r="E6" s="179" t="n"/>
      <c r="F6" s="179" t="n"/>
      <c r="G6" s="179" t="n"/>
      <c r="H6" s="179" t="n"/>
      <c r="I6" s="179" t="n"/>
      <c r="J6" s="179" t="n"/>
      <c r="K6" s="179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33.5" customFormat="1" customHeight="1" s="236">
      <c r="B12" s="237" t="n">
        <v>1</v>
      </c>
      <c r="C12" s="260" t="inlineStr">
        <is>
          <t>Марка муфты - МОПГ-М
Тип кабеля - ОКГТ-с-1-24 (24G.652)-14,4/66; ОКГТ-ц-1-24 (G/652)-15/50</t>
        </is>
      </c>
      <c r="D12" s="239" t="inlineStr">
        <is>
          <t>ЛС 05-01-01.1
ЛС 05-01-01.2
ЛС 05-01-01.3
ЛС 05-02-01.1
ЛС 05-02-01.2
ЛС 09-04-01</t>
        </is>
      </c>
      <c r="E12" s="240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1">
        <f>136856*6.29/1000</f>
        <v/>
      </c>
      <c r="G12" s="241" t="n"/>
      <c r="H12" s="241" t="n"/>
      <c r="I12" s="242" t="n"/>
      <c r="J12" s="243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81" t="n"/>
      <c r="H13" s="181" t="n"/>
      <c r="I13" s="181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81" t="n"/>
      <c r="H14" s="181" t="n"/>
      <c r="I14" s="181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 codeName="Лист6">
    <tabColor theme="0"/>
    <outlinePr summaryBelow="1" summaryRight="1"/>
    <pageSetUpPr fitToPage="1"/>
  </sheetPr>
  <dimension ref="A2:N85"/>
  <sheetViews>
    <sheetView view="pageBreakPreview" topLeftCell="A67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85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83кН, количество волокон 24 шт.</t>
        </is>
      </c>
    </row>
    <row r="8" ht="21.75" customHeight="1" s="222">
      <c r="A8" s="186" t="n"/>
      <c r="B8" s="186" t="n"/>
      <c r="C8" s="186" t="n"/>
      <c r="D8" s="186" t="n"/>
      <c r="E8" s="186" t="n"/>
      <c r="F8" s="186" t="n"/>
      <c r="G8" s="186" t="n"/>
      <c r="H8" s="187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8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88" t="n">
        <v>6</v>
      </c>
      <c r="H11" s="18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189">
        <f>SUM(F13:F18)</f>
        <v/>
      </c>
      <c r="G12" s="10" t="n"/>
      <c r="H12" s="190">
        <f>SUM(H13:H18)</f>
        <v/>
      </c>
      <c r="J12" s="191" t="n"/>
    </row>
    <row r="13">
      <c r="A13" s="192" t="n">
        <v>1</v>
      </c>
      <c r="B13" s="193" t="n"/>
      <c r="C13" s="192" t="inlineStr">
        <is>
          <t>1-3-8</t>
        </is>
      </c>
      <c r="D13" s="194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196" t="n">
        <v>1837.4103</v>
      </c>
      <c r="G13" s="197" t="n">
        <v>9.4</v>
      </c>
      <c r="H13" s="197">
        <f>ROUND(F13*G13,2)</f>
        <v/>
      </c>
    </row>
    <row r="14">
      <c r="A14" s="198">
        <f>A13+1</f>
        <v/>
      </c>
      <c r="B14" s="193" t="n"/>
      <c r="C14" s="192" t="inlineStr">
        <is>
          <t>1-6-0</t>
        </is>
      </c>
      <c r="D14" s="194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196" t="n">
        <v>332.7157</v>
      </c>
      <c r="G14" s="197" t="n">
        <v>12.92</v>
      </c>
      <c r="H14" s="197">
        <f>ROUND(F14*G14,2)</f>
        <v/>
      </c>
      <c r="K14" s="199" t="n"/>
    </row>
    <row r="15">
      <c r="A15" s="198">
        <f>A14+1</f>
        <v/>
      </c>
      <c r="B15" s="193" t="n"/>
      <c r="C15" s="192" t="inlineStr">
        <is>
          <t>1-3-4</t>
        </is>
      </c>
      <c r="D15" s="194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196" t="n">
        <v>99.6461</v>
      </c>
      <c r="G15" s="197" t="n">
        <v>8.970000000000001</v>
      </c>
      <c r="H15" s="197">
        <f>ROUND(F15*G15,2)</f>
        <v/>
      </c>
    </row>
    <row r="16">
      <c r="A16" s="198">
        <f>A15+1</f>
        <v/>
      </c>
      <c r="B16" s="193" t="n"/>
      <c r="C16" s="192" t="inlineStr">
        <is>
          <t>1-2-0</t>
        </is>
      </c>
      <c r="D16" s="194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196" t="n">
        <v>28.847</v>
      </c>
      <c r="G16" s="197" t="n">
        <v>7.8</v>
      </c>
      <c r="H16" s="197">
        <f>ROUND(F16*G16,2)</f>
        <v/>
      </c>
    </row>
    <row r="17">
      <c r="A17" s="198">
        <f>A16+1</f>
        <v/>
      </c>
      <c r="B17" s="193" t="n"/>
      <c r="C17" s="192" t="inlineStr">
        <is>
          <t>1-3-3</t>
        </is>
      </c>
      <c r="D17" s="194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196" t="n">
        <v>20.553</v>
      </c>
      <c r="G17" s="197" t="n">
        <v>8.859999999999999</v>
      </c>
      <c r="H17" s="197">
        <f>ROUND(F17*G17,2)</f>
        <v/>
      </c>
    </row>
    <row r="18">
      <c r="A18" s="198">
        <f>A17+1</f>
        <v/>
      </c>
      <c r="B18" s="193" t="n"/>
      <c r="C18" s="192" t="inlineStr">
        <is>
          <t>10-3-1</t>
        </is>
      </c>
      <c r="D18" s="194" t="inlineStr">
        <is>
          <t>Инженер I категории</t>
        </is>
      </c>
      <c r="E18" s="290" t="inlineStr">
        <is>
          <t>чел.-ч</t>
        </is>
      </c>
      <c r="F18" s="196" t="n">
        <v>46.56</v>
      </c>
      <c r="G18" s="197" t="n">
        <v>15.49</v>
      </c>
      <c r="H18" s="197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90">
        <f>H20</f>
        <v/>
      </c>
    </row>
    <row r="20">
      <c r="A20" s="198">
        <f>A18+1</f>
        <v/>
      </c>
      <c r="B20" s="193" t="n"/>
      <c r="C20" s="192" t="n">
        <v>2</v>
      </c>
      <c r="D20" s="194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97" t="n"/>
      <c r="H20" s="138" t="n">
        <v>18368.04</v>
      </c>
      <c r="L20" s="200" t="n"/>
      <c r="N20" s="201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90">
        <f>SUM(H22:H36)</f>
        <v/>
      </c>
    </row>
    <row r="22">
      <c r="A22" s="192">
        <f>A20+1</f>
        <v/>
      </c>
      <c r="B22" s="193" t="n"/>
      <c r="C22" s="192" t="inlineStr">
        <is>
          <t>91.06.06-014</t>
        </is>
      </c>
      <c r="D22" s="194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202" t="n">
        <v>243.49</v>
      </c>
      <c r="H22" s="197">
        <f>ROUND(F22*G22,2)</f>
        <v/>
      </c>
    </row>
    <row r="23" ht="25.5" customHeight="1" s="222">
      <c r="A23" s="192">
        <f>A22+1</f>
        <v/>
      </c>
      <c r="B23" s="193" t="n"/>
      <c r="C23" s="192" t="inlineStr">
        <is>
          <t>91.11.02-021</t>
        </is>
      </c>
      <c r="D23" s="194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202" t="n">
        <v>637.76</v>
      </c>
      <c r="H23" s="197">
        <f>ROUND(F23*G23,2)</f>
        <v/>
      </c>
    </row>
    <row r="24" ht="25.5" customHeight="1" s="222">
      <c r="A24" s="192">
        <f>A23+1</f>
        <v/>
      </c>
      <c r="B24" s="193" t="n"/>
      <c r="C24" s="192" t="inlineStr">
        <is>
          <t>91.15.02-029</t>
        </is>
      </c>
      <c r="D24" s="194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202" t="n">
        <v>147.43</v>
      </c>
      <c r="H24" s="197">
        <f>ROUND(F24*G24,2)</f>
        <v/>
      </c>
    </row>
    <row r="25" ht="25.5" customHeight="1" s="222">
      <c r="A25" s="192">
        <f>A24+1</f>
        <v/>
      </c>
      <c r="B25" s="193" t="n"/>
      <c r="C25" s="192" t="inlineStr">
        <is>
          <t>91.05.05-016</t>
        </is>
      </c>
      <c r="D25" s="194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202" t="n">
        <v>476.43</v>
      </c>
      <c r="H25" s="197">
        <f>ROUND(F25*G25,2)</f>
        <v/>
      </c>
    </row>
    <row r="26">
      <c r="A26" s="192">
        <f>A25+1</f>
        <v/>
      </c>
      <c r="B26" s="193" t="n"/>
      <c r="C26" s="192" t="inlineStr">
        <is>
          <t>91.14.04-002</t>
        </is>
      </c>
      <c r="D26" s="194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202" t="n">
        <v>94.38</v>
      </c>
      <c r="H26" s="197">
        <f>ROUND(F26*G26,2)</f>
        <v/>
      </c>
    </row>
    <row r="27">
      <c r="A27" s="192">
        <f>A26+1</f>
        <v/>
      </c>
      <c r="B27" s="193" t="n"/>
      <c r="C27" s="192" t="inlineStr">
        <is>
          <t>91.16.01-002</t>
        </is>
      </c>
      <c r="D27" s="194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202" t="n">
        <v>27.11</v>
      </c>
      <c r="H27" s="197">
        <f>ROUND(F27*G27,2)</f>
        <v/>
      </c>
    </row>
    <row r="28" ht="25.5" customHeight="1" s="222">
      <c r="A28" s="192">
        <f>A27+1</f>
        <v/>
      </c>
      <c r="B28" s="193" t="n"/>
      <c r="C28" s="192" t="inlineStr">
        <is>
          <t>91.14.05-012</t>
        </is>
      </c>
      <c r="D28" s="194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202" t="n">
        <v>19.76</v>
      </c>
      <c r="H28" s="197">
        <f>ROUND(F28*G28,2)</f>
        <v/>
      </c>
    </row>
    <row r="29">
      <c r="A29" s="192">
        <f>A28+1</f>
        <v/>
      </c>
      <c r="B29" s="193" t="n"/>
      <c r="C29" s="192" t="inlineStr">
        <is>
          <t>91.14.02-004</t>
        </is>
      </c>
      <c r="D29" s="194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202" t="n">
        <v>92.94</v>
      </c>
      <c r="H29" s="197">
        <f>ROUND(F29*G29,2)</f>
        <v/>
      </c>
    </row>
    <row r="30" ht="25.5" customHeight="1" s="222">
      <c r="A30" s="192">
        <f>A29+1</f>
        <v/>
      </c>
      <c r="B30" s="193" t="n"/>
      <c r="C30" s="192" t="inlineStr">
        <is>
          <t>91.13.03-111</t>
        </is>
      </c>
      <c r="D30" s="194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202" t="n">
        <v>189.95</v>
      </c>
      <c r="H30" s="197">
        <f>ROUND(F30*G30,2)</f>
        <v/>
      </c>
    </row>
    <row r="31">
      <c r="A31" s="192">
        <f>A30+1</f>
        <v/>
      </c>
      <c r="B31" s="193" t="n"/>
      <c r="C31" s="192" t="inlineStr">
        <is>
          <t>91.21.22-341</t>
        </is>
      </c>
      <c r="D31" s="194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202" t="n">
        <v>10.62</v>
      </c>
      <c r="H31" s="197">
        <f>ROUND(F31*G31,2)</f>
        <v/>
      </c>
    </row>
    <row r="32" ht="25.5" customHeight="1" s="222">
      <c r="A32" s="192">
        <f>A31+1</f>
        <v/>
      </c>
      <c r="B32" s="193" t="n"/>
      <c r="C32" s="192" t="inlineStr">
        <is>
          <t>91.17.04-194</t>
        </is>
      </c>
      <c r="D32" s="194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202" t="n">
        <v>12.14</v>
      </c>
      <c r="H32" s="197">
        <f>ROUND(F32*G32,2)</f>
        <v/>
      </c>
    </row>
    <row r="33">
      <c r="A33" s="192">
        <f>A32+1</f>
        <v/>
      </c>
      <c r="B33" s="193" t="n"/>
      <c r="C33" s="192" t="inlineStr">
        <is>
          <t>91.06.05-011</t>
        </is>
      </c>
      <c r="D33" s="194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202" t="n">
        <v>89.98999999999999</v>
      </c>
      <c r="H33" s="197">
        <f>ROUND(F33*G33,2)</f>
        <v/>
      </c>
    </row>
    <row r="34">
      <c r="A34" s="192">
        <f>A33+1</f>
        <v/>
      </c>
      <c r="B34" s="193" t="n"/>
      <c r="C34" s="192" t="inlineStr">
        <is>
          <t>91.14.02-002</t>
        </is>
      </c>
      <c r="D34" s="194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202" t="n">
        <v>85.84</v>
      </c>
      <c r="H34" s="197">
        <f>ROUND(F34*G34,2)</f>
        <v/>
      </c>
    </row>
    <row r="35">
      <c r="A35" s="192">
        <f>A34+1</f>
        <v/>
      </c>
      <c r="B35" s="193" t="n"/>
      <c r="C35" s="192" t="inlineStr">
        <is>
          <t>91.21.16-012</t>
        </is>
      </c>
      <c r="D35" s="194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202" t="n">
        <v>1.11</v>
      </c>
      <c r="H35" s="197">
        <f>ROUND(F35*G35,2)</f>
        <v/>
      </c>
    </row>
    <row r="36">
      <c r="A36" s="192">
        <f>A35+1</f>
        <v/>
      </c>
      <c r="B36" s="193" t="n"/>
      <c r="C36" s="192" t="inlineStr">
        <is>
          <t>91.11.02-061</t>
        </is>
      </c>
      <c r="D36" s="194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202" t="n">
        <v>17.14</v>
      </c>
      <c r="H36" s="197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90">
        <f>SUM(H38:H38)</f>
        <v/>
      </c>
    </row>
    <row r="38" ht="20.25" customHeight="1" s="222">
      <c r="A38" s="198" t="n"/>
      <c r="B38" s="266" t="n"/>
      <c r="C38" s="192" t="n"/>
      <c r="D38" s="194" t="n"/>
      <c r="E38" s="290" t="n"/>
      <c r="F38" s="290" t="n"/>
      <c r="G38" s="197" t="n"/>
      <c r="H38" s="197" t="n"/>
      <c r="I38" s="203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90">
        <f>SUM(H40:H75)</f>
        <v/>
      </c>
    </row>
    <row r="40" ht="27" customHeight="1" s="222">
      <c r="A40" s="198">
        <f>A36+1</f>
        <v/>
      </c>
      <c r="B40" s="193" t="n"/>
      <c r="C40" s="192" t="inlineStr">
        <is>
          <t>Прайс из СД ОП</t>
        </is>
      </c>
      <c r="D40" s="269" t="inlineStr">
        <is>
          <t>Грозотрос ОКГТ 24 волокна (МПР 83кН)</t>
        </is>
      </c>
      <c r="E40" s="270" t="inlineStr">
        <is>
          <t>м</t>
        </is>
      </c>
      <c r="F40" s="145" t="n">
        <v>112120</v>
      </c>
      <c r="G40" s="272" t="n">
        <v>97.45999999999999</v>
      </c>
      <c r="H40" s="32">
        <f>G40*F40</f>
        <v/>
      </c>
      <c r="K40" s="203" t="n"/>
    </row>
    <row r="41" ht="38.25" customHeight="1" s="222">
      <c r="A41" s="198">
        <f>A40+1</f>
        <v/>
      </c>
      <c r="B41" s="193" t="n"/>
      <c r="C41" s="19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45">
        <f>651+120</f>
        <v/>
      </c>
      <c r="G41" s="272" t="n">
        <v>330.46</v>
      </c>
      <c r="H41" s="32">
        <f>ROUND(F41*G41,2)</f>
        <v/>
      </c>
      <c r="K41" s="203" t="n"/>
    </row>
    <row r="42" ht="30.75" customHeight="1" s="222">
      <c r="A42" s="198">
        <f>A41+1</f>
        <v/>
      </c>
      <c r="B42" s="193" t="n"/>
      <c r="C42" s="19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45">
        <f>172+28+26+34+13</f>
        <v/>
      </c>
      <c r="G42" s="272" t="n">
        <v>374.91</v>
      </c>
      <c r="H42" s="32">
        <f>ROUND(F42*G42,2)</f>
        <v/>
      </c>
      <c r="K42" s="203" t="n"/>
    </row>
    <row r="43" ht="41.25" customHeight="1" s="222">
      <c r="A43" s="198">
        <f>A42+1</f>
        <v/>
      </c>
      <c r="B43" s="193" t="n"/>
      <c r="C43" s="19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45">
        <f>12+10</f>
        <v/>
      </c>
      <c r="G43" s="272" t="n">
        <v>4344.01</v>
      </c>
      <c r="H43" s="32">
        <f>ROUND(F43*G43,2)</f>
        <v/>
      </c>
      <c r="K43" s="203" t="n"/>
    </row>
    <row r="44">
      <c r="A44" s="198">
        <f>A43+1</f>
        <v/>
      </c>
      <c r="B44" s="193" t="n"/>
      <c r="C44" s="19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45">
        <f>457+160+67</f>
        <v/>
      </c>
      <c r="G44" s="272" t="n">
        <v>120.89</v>
      </c>
      <c r="H44" s="32">
        <f>ROUND(F44*G44,2)</f>
        <v/>
      </c>
      <c r="K44" s="203" t="n"/>
    </row>
    <row r="45" ht="25.5" customHeight="1" s="222">
      <c r="A45" s="198">
        <f>A44+1</f>
        <v/>
      </c>
      <c r="B45" s="193" t="n"/>
      <c r="C45" s="19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45">
        <f>34+97+19+31+4</f>
        <v/>
      </c>
      <c r="G45" s="272" t="n">
        <v>374.45</v>
      </c>
      <c r="H45" s="32">
        <f>ROUND(F45*G45,2)</f>
        <v/>
      </c>
      <c r="K45" s="203" t="n"/>
    </row>
    <row r="46" ht="25.5" customHeight="1" s="222">
      <c r="A46" s="198">
        <f>A45+1</f>
        <v/>
      </c>
      <c r="B46" s="193" t="n"/>
      <c r="C46" s="19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45" t="n">
        <v>166</v>
      </c>
      <c r="G46" s="272" t="n">
        <v>330.46</v>
      </c>
      <c r="H46" s="32">
        <f>ROUND(F46*G46,2)</f>
        <v/>
      </c>
      <c r="K46" s="203" t="n"/>
    </row>
    <row r="47">
      <c r="A47" s="198">
        <f>A46+1</f>
        <v/>
      </c>
      <c r="B47" s="193" t="n"/>
      <c r="C47" s="19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45">
        <f>312+121+85+132</f>
        <v/>
      </c>
      <c r="G47" s="272" t="n">
        <v>76.04000000000001</v>
      </c>
      <c r="H47" s="32">
        <f>ROUND(F47*G47,2)</f>
        <v/>
      </c>
      <c r="K47" s="203" t="n"/>
    </row>
    <row r="48" ht="63.75" customHeight="1" s="222">
      <c r="A48" s="198">
        <f>A47+1</f>
        <v/>
      </c>
      <c r="B48" s="193" t="n"/>
      <c r="C48" s="19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45">
        <f>15+6+4+2+1</f>
        <v/>
      </c>
      <c r="G48" s="272" t="n">
        <v>1194.89</v>
      </c>
      <c r="H48" s="32">
        <f>ROUND(F48*G48,2)</f>
        <v/>
      </c>
      <c r="K48" s="203" t="n"/>
    </row>
    <row r="49">
      <c r="A49" s="198">
        <f>A48+1</f>
        <v/>
      </c>
      <c r="B49" s="193" t="n"/>
      <c r="C49" s="19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45">
        <f>64+63+34+19+17</f>
        <v/>
      </c>
      <c r="G49" s="272" t="n">
        <v>169.51</v>
      </c>
      <c r="H49" s="32">
        <f>ROUND(F49*G49,2)</f>
        <v/>
      </c>
      <c r="K49" s="203" t="n"/>
    </row>
    <row r="50" ht="25.5" customHeight="1" s="222">
      <c r="A50" s="198">
        <f>A49+1</f>
        <v/>
      </c>
      <c r="B50" s="193" t="n"/>
      <c r="C50" s="19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45" t="n">
        <v>37</v>
      </c>
      <c r="G50" s="272" t="n">
        <v>873.46</v>
      </c>
      <c r="H50" s="32">
        <f>ROUND(F50*G50,2)</f>
        <v/>
      </c>
      <c r="K50" s="203" t="n"/>
    </row>
    <row r="51">
      <c r="A51" s="198">
        <f>A50+1</f>
        <v/>
      </c>
      <c r="B51" s="193" t="n"/>
      <c r="C51" s="19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45">
        <f>63+47+64+19+4</f>
        <v/>
      </c>
      <c r="G51" s="272" t="n">
        <v>137.86</v>
      </c>
      <c r="H51" s="32">
        <f>ROUND(F51*G51,2)</f>
        <v/>
      </c>
      <c r="K51" s="203" t="n"/>
    </row>
    <row r="52">
      <c r="A52" s="198">
        <f>A51+1</f>
        <v/>
      </c>
      <c r="B52" s="193" t="n"/>
      <c r="C52" s="19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45">
        <f>220+166+8</f>
        <v/>
      </c>
      <c r="G52" s="272" t="n">
        <v>54.7</v>
      </c>
      <c r="H52" s="32">
        <f>ROUND(F52*G52,2)</f>
        <v/>
      </c>
      <c r="K52" s="203" t="n"/>
    </row>
    <row r="53">
      <c r="A53" s="198">
        <f>A52+1</f>
        <v/>
      </c>
      <c r="B53" s="193" t="n"/>
      <c r="C53" s="19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45">
        <f>78+9+4</f>
        <v/>
      </c>
      <c r="G53" s="272" t="n">
        <v>209.79</v>
      </c>
      <c r="H53" s="32">
        <f>ROUND(F53*G53,2)</f>
        <v/>
      </c>
      <c r="K53" s="203" t="n"/>
    </row>
    <row r="54" ht="38.25" customHeight="1" s="222">
      <c r="A54" s="198">
        <f>A53+1</f>
        <v/>
      </c>
      <c r="B54" s="193" t="n"/>
      <c r="C54" s="19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45">
        <f>23+9</f>
        <v/>
      </c>
      <c r="G54" s="272" t="n">
        <v>374.91</v>
      </c>
      <c r="H54" s="32">
        <f>ROUND(F54*G54,2)</f>
        <v/>
      </c>
      <c r="K54" s="203" t="n"/>
    </row>
    <row r="55">
      <c r="A55" s="198">
        <f>A54+1</f>
        <v/>
      </c>
      <c r="B55" s="193" t="n"/>
      <c r="C55" s="19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45">
        <f>93+34+34+32+4</f>
        <v/>
      </c>
      <c r="G55" s="272" t="n">
        <v>57.83</v>
      </c>
      <c r="H55" s="32">
        <f>ROUND(F55*G55,2)</f>
        <v/>
      </c>
      <c r="K55" s="203" t="n"/>
    </row>
    <row r="56">
      <c r="A56" s="198">
        <f>A55+1</f>
        <v/>
      </c>
      <c r="B56" s="193" t="n"/>
      <c r="C56" s="19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45">
        <f>150+128+9+6</f>
        <v/>
      </c>
      <c r="G56" s="272" t="n">
        <v>35.75</v>
      </c>
      <c r="H56" s="32">
        <f>ROUND(F56*G56,2)</f>
        <v/>
      </c>
      <c r="K56" s="203" t="n"/>
    </row>
    <row r="57" ht="38.25" customHeight="1" s="222">
      <c r="A57" s="198">
        <f>A56+1</f>
        <v/>
      </c>
      <c r="B57" s="193" t="n"/>
      <c r="C57" s="19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45">
        <f>28</f>
        <v/>
      </c>
      <c r="G57" s="272" t="n">
        <v>330.46</v>
      </c>
      <c r="H57" s="32">
        <f>ROUND(F57*G57,2)</f>
        <v/>
      </c>
      <c r="K57" s="203" t="n"/>
    </row>
    <row r="58">
      <c r="A58" s="198">
        <f>A57+1</f>
        <v/>
      </c>
      <c r="B58" s="193" t="n"/>
      <c r="C58" s="19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45">
        <f>125+53+14+4</f>
        <v/>
      </c>
      <c r="G58" s="272" t="n">
        <v>43.66</v>
      </c>
      <c r="H58" s="32">
        <f>ROUND(F58*G58,2)</f>
        <v/>
      </c>
      <c r="K58" s="203" t="n"/>
    </row>
    <row r="59">
      <c r="A59" s="198">
        <f>A58+1</f>
        <v/>
      </c>
      <c r="B59" s="193" t="n"/>
      <c r="C59" s="19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45">
        <f>196+34+22+26+6+9</f>
        <v/>
      </c>
      <c r="G59" s="272" t="n">
        <v>28.07</v>
      </c>
      <c r="H59" s="32">
        <f>ROUND(F59*G59,2)</f>
        <v/>
      </c>
      <c r="K59" s="203" t="n"/>
    </row>
    <row r="60">
      <c r="A60" s="198">
        <f>A59+1</f>
        <v/>
      </c>
      <c r="B60" s="193" t="n"/>
      <c r="C60" s="19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45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98">
        <f>A60+1</f>
        <v/>
      </c>
      <c r="B61" s="193" t="n"/>
      <c r="C61" s="19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45" t="n">
        <v>51</v>
      </c>
      <c r="G61" s="272" t="n">
        <v>110.9</v>
      </c>
      <c r="H61" s="32">
        <f>ROUND(F61*G61,2)</f>
        <v/>
      </c>
    </row>
    <row r="62" ht="51" customHeight="1" s="222">
      <c r="A62" s="198">
        <f>A61+1</f>
        <v/>
      </c>
      <c r="B62" s="193" t="n"/>
      <c r="C62" s="19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45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98">
        <f>A62+1</f>
        <v/>
      </c>
      <c r="B63" s="193" t="n"/>
      <c r="C63" s="19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45">
        <f>31+38</f>
        <v/>
      </c>
      <c r="G63" s="272" t="n">
        <v>59.16</v>
      </c>
      <c r="H63" s="32">
        <f>ROUND(F63*G63,2)</f>
        <v/>
      </c>
    </row>
    <row r="64" ht="38.25" customHeight="1" s="222">
      <c r="A64" s="198">
        <f>A63+1</f>
        <v/>
      </c>
      <c r="B64" s="193" t="n"/>
      <c r="C64" s="19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45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98">
        <f>A64+1</f>
        <v/>
      </c>
      <c r="B65" s="193" t="n"/>
      <c r="C65" s="19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45" t="n">
        <v>44</v>
      </c>
      <c r="G65" s="272" t="n">
        <v>63.73</v>
      </c>
      <c r="H65" s="32">
        <f>ROUND(F65*G65,2)</f>
        <v/>
      </c>
    </row>
    <row r="66">
      <c r="A66" s="198">
        <f>A65+1</f>
        <v/>
      </c>
      <c r="B66" s="193" t="n"/>
      <c r="C66" s="19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45">
        <f>46+34+26+172+9+6</f>
        <v/>
      </c>
      <c r="G66" s="272" t="n">
        <v>9.359999999999999</v>
      </c>
      <c r="H66" s="32">
        <f>ROUND(F66*G66,2)</f>
        <v/>
      </c>
    </row>
    <row r="67">
      <c r="A67" s="198">
        <f>A66+1</f>
        <v/>
      </c>
      <c r="B67" s="193" t="n"/>
      <c r="C67" s="19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45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98">
        <f>A67+1</f>
        <v/>
      </c>
      <c r="B68" s="193" t="n"/>
      <c r="C68" s="19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45">
        <f>16+6</f>
        <v/>
      </c>
      <c r="G68" s="272" t="n">
        <v>112.6</v>
      </c>
      <c r="H68" s="32">
        <f>ROUND(F68*G68,2)</f>
        <v/>
      </c>
    </row>
    <row r="69" ht="51" customHeight="1" s="222">
      <c r="A69" s="198">
        <f>A68+1</f>
        <v/>
      </c>
      <c r="B69" s="193" t="n"/>
      <c r="C69" s="19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45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98">
        <f>A69+1</f>
        <v/>
      </c>
      <c r="B70" s="193" t="n"/>
      <c r="C70" s="19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45" t="n">
        <v>2</v>
      </c>
      <c r="G70" s="272" t="n">
        <v>873.46</v>
      </c>
      <c r="H70" s="32">
        <f>ROUND(F70*G70,2)</f>
        <v/>
      </c>
    </row>
    <row r="71">
      <c r="A71" s="198">
        <f>A70+1</f>
        <v/>
      </c>
      <c r="B71" s="193" t="n"/>
      <c r="C71" s="19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45">
        <f>67+43+19</f>
        <v/>
      </c>
      <c r="G71" s="272" t="n">
        <v>12.24</v>
      </c>
      <c r="H71" s="32">
        <f>ROUND(F71*G71,2)</f>
        <v/>
      </c>
    </row>
    <row r="72">
      <c r="A72" s="198">
        <f>A71+1</f>
        <v/>
      </c>
      <c r="B72" s="193" t="n"/>
      <c r="C72" s="19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45" t="n">
        <v>8</v>
      </c>
      <c r="G72" s="272" t="n">
        <v>116.92</v>
      </c>
      <c r="H72" s="32">
        <f>ROUND(F72*G72,2)</f>
        <v/>
      </c>
    </row>
    <row r="73">
      <c r="A73" s="198">
        <f>A72+1</f>
        <v/>
      </c>
      <c r="B73" s="193" t="n"/>
      <c r="C73" s="19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45" t="n">
        <v>22</v>
      </c>
      <c r="G73" s="272" t="n">
        <v>25.46</v>
      </c>
      <c r="H73" s="32">
        <f>ROUND(F73*G73,2)</f>
        <v/>
      </c>
    </row>
    <row r="74">
      <c r="A74" s="198">
        <f>A73+1</f>
        <v/>
      </c>
      <c r="B74" s="193" t="n"/>
      <c r="C74" s="19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45">
        <f>2.25+0.6+0.3+0.15</f>
        <v/>
      </c>
      <c r="G74" s="272" t="n">
        <v>38.89</v>
      </c>
      <c r="H74" s="32">
        <f>ROUND(F74*G74,2)</f>
        <v/>
      </c>
    </row>
    <row r="75">
      <c r="A75" s="198">
        <f>A74+1</f>
        <v/>
      </c>
      <c r="B75" s="193" t="n"/>
      <c r="C75" s="19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45" t="n">
        <v>91.3</v>
      </c>
      <c r="G75" s="272" t="n">
        <v>1</v>
      </c>
      <c r="H75" s="32">
        <f>ROUND(F75*G75,2)</f>
        <v/>
      </c>
    </row>
    <row r="76">
      <c r="K76" s="204" t="n"/>
    </row>
    <row r="77" ht="25.5" customHeight="1" s="222">
      <c r="A77" t="inlineStr">
        <is>
          <t>`</t>
        </is>
      </c>
      <c r="B77" s="185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7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83кН, количество волокон 24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7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7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L99"/>
  <sheetViews>
    <sheetView view="pageBreakPreview" topLeftCell="A87" workbookViewId="0">
      <selection activeCell="B97" sqref="B97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36" t="n"/>
      <c r="J2" s="159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83кН, количество волокон 24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42" t="n"/>
      <c r="J12" s="142" t="n"/>
    </row>
    <row r="13" ht="30" customHeight="1" s="222">
      <c r="A13" s="270" t="n">
        <v>1</v>
      </c>
      <c r="B13" s="146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45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46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45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45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44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42" t="n"/>
      <c r="J16" s="142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45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55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42" t="n"/>
      <c r="J19" s="142" t="n"/>
    </row>
    <row r="20" ht="25.5" customFormat="1" customHeight="1" s="233">
      <c r="A20" s="270">
        <f>A17+1</f>
        <v/>
      </c>
      <c r="B20" s="146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45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46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45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46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45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46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45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47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44" t="n"/>
    </row>
    <row r="25" hidden="1" outlineLevel="1" ht="14.25" customFormat="1" customHeight="1" s="233">
      <c r="A25" s="270" t="n"/>
      <c r="B25" s="146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45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44" t="n"/>
    </row>
    <row r="26" hidden="1" outlineLevel="1" ht="25.5" customFormat="1" customHeight="1" s="233">
      <c r="A26" s="270" t="n"/>
      <c r="B26" s="146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45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44" t="n"/>
    </row>
    <row r="27" hidden="1" outlineLevel="1" ht="25.5" customFormat="1" customHeight="1" s="233">
      <c r="A27" s="270" t="n"/>
      <c r="B27" s="146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45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44" t="n"/>
    </row>
    <row r="28" hidden="1" outlineLevel="1" ht="25.5" customFormat="1" customHeight="1" s="233">
      <c r="A28" s="270" t="n"/>
      <c r="B28" s="146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45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44" t="n"/>
    </row>
    <row r="29" hidden="1" outlineLevel="1" ht="25.5" customFormat="1" customHeight="1" s="233">
      <c r="A29" s="270" t="n"/>
      <c r="B29" s="146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45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44" t="n"/>
    </row>
    <row r="30" hidden="1" outlineLevel="1" ht="14.25" customFormat="1" customHeight="1" s="233">
      <c r="A30" s="270" t="n"/>
      <c r="B30" s="146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45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44" t="n"/>
    </row>
    <row r="31" hidden="1" outlineLevel="1" ht="25.5" customFormat="1" customHeight="1" s="233">
      <c r="A31" s="270" t="n"/>
      <c r="B31" s="146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45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44" t="n"/>
    </row>
    <row r="32" hidden="1" outlineLevel="1" ht="14.25" customFormat="1" customHeight="1" s="233">
      <c r="A32" s="270" t="n"/>
      <c r="B32" s="146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45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44" t="n"/>
    </row>
    <row r="33" hidden="1" outlineLevel="1" ht="25.5" customFormat="1" customHeight="1" s="233">
      <c r="A33" s="270" t="n"/>
      <c r="B33" s="146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45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44" t="n"/>
    </row>
    <row r="34" hidden="1" outlineLevel="1" ht="25.5" customFormat="1" customHeight="1" s="233">
      <c r="A34" s="270" t="n"/>
      <c r="B34" s="146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45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44" t="n"/>
    </row>
    <row r="35" hidden="1" outlineLevel="1" ht="14.25" customFormat="1" customHeight="1" s="233">
      <c r="A35" s="270" t="n"/>
      <c r="B35" s="146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45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44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44" t="n"/>
      <c r="L36" s="144" t="n"/>
    </row>
    <row r="37" ht="25.5" customFormat="1" customHeight="1" s="233">
      <c r="A37" s="270" t="n"/>
      <c r="B37" s="274" t="n"/>
      <c r="C37" s="150" t="inlineStr">
        <is>
          <t>Итого по разделу «Машины и механизмы»</t>
        </is>
      </c>
      <c r="D37" s="274" t="n"/>
      <c r="E37" s="151" t="n"/>
      <c r="F37" s="152" t="n"/>
      <c r="G37" s="152">
        <f>G24+G36</f>
        <v/>
      </c>
      <c r="H37" s="153" t="n">
        <v>1</v>
      </c>
      <c r="I37" s="152" t="n"/>
      <c r="J37" s="152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45" t="n"/>
      <c r="F40" s="272" t="n"/>
      <c r="G40" s="32" t="n">
        <v>0</v>
      </c>
      <c r="H40" s="273" t="n"/>
      <c r="I40" s="32" t="n"/>
      <c r="J40" s="32" t="n">
        <v>0</v>
      </c>
      <c r="K40" s="144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44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44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44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44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46" t="inlineStr">
        <is>
          <t>БЦ.94.121</t>
        </is>
      </c>
      <c r="C46" s="269" t="inlineStr">
        <is>
          <t>Грозотрос ОКГТ 24 волокна (МПР 83кН)</t>
        </is>
      </c>
      <c r="D46" s="270" t="inlineStr">
        <is>
          <t>км</t>
        </is>
      </c>
      <c r="E46" s="145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530644.5</v>
      </c>
      <c r="J46" s="32">
        <f>ROUND(I46*E46,2)</f>
        <v/>
      </c>
    </row>
    <row r="47" ht="22.5" customFormat="1" customHeight="1" s="233">
      <c r="A47" s="270" t="n"/>
      <c r="B47" s="146" t="n"/>
      <c r="C47" s="269" t="inlineStr">
        <is>
          <t>Итого основные материалы</t>
        </is>
      </c>
      <c r="D47" s="270" t="n"/>
      <c r="E47" s="145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44" t="n"/>
    </row>
    <row r="48" outlineLevel="1" ht="38.25" customFormat="1" customHeight="1" s="233">
      <c r="A48" s="270" t="n">
        <v>9</v>
      </c>
      <c r="B48" s="146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45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46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45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46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45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46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45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46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45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46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45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46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45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46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45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46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45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46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45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46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45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46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45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46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45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46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45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46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45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46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45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46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45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46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45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46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45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46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45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46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45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46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45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46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45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46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45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46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45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46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45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46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45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46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45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46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45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46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45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46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45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46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45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46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45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46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45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46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45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44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55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56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workbookViewId="0">
      <selection activeCell="C19" sqref="C19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83кН, количество волокон 24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46" t="n"/>
      <c r="C13" s="269" t="n"/>
      <c r="D13" s="270" t="n"/>
      <c r="E13" s="145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47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О1-02-1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D30"/>
  <sheetViews>
    <sheetView tabSelected="1" view="pageBreakPreview" topLeftCell="A7" zoomScale="60" zoomScaleNormal="7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9" t="n">
        <v>0.033</v>
      </c>
    </row>
    <row r="15" ht="94.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9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39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39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39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21"/>
  <sheetViews>
    <sheetView view="pageBreakPreview" topLeftCell="A5" workbookViewId="0">
      <selection activeCell="E28" sqref="E28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3" t="inlineStr">
        <is>
          <t>С1ср</t>
        </is>
      </c>
      <c r="D15" s="183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183" t="inlineStr">
        <is>
          <t>tср</t>
        </is>
      </c>
      <c r="D16" s="183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183" t="inlineStr">
        <is>
          <t>Кув</t>
        </is>
      </c>
      <c r="D17" s="183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183" t="n"/>
      <c r="D18" s="183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183" t="inlineStr">
        <is>
          <t>КТ</t>
        </is>
      </c>
      <c r="D19" s="183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183" t="inlineStr">
        <is>
          <t>Кинф</t>
        </is>
      </c>
      <c r="D20" s="183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183" t="inlineStr">
        <is>
          <t>ФОТр.тек.</t>
        </is>
      </c>
      <c r="D21" s="183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2025-01-24T12:12:37Z</dcterms:modified>
  <cp:lastModifiedBy>Danil</cp:lastModifiedBy>
  <cp:lastPrinted>2023-11-29T09:33:40Z</cp:lastPrinted>
</cp:coreProperties>
</file>