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2" fillId="0" borderId="1" applyAlignment="1" pivotButton="0" quotePrefix="0" xfId="0">
      <alignment vertical="center" wrapText="1"/>
    </xf>
    <xf numFmtId="4" fontId="2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2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8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75" fontId="29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2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55" workbookViewId="0">
      <selection activeCell="C26" sqref="C26"/>
    </sheetView>
  </sheetViews>
  <sheetFormatPr baseColWidth="8" defaultRowHeight="15"/>
  <cols>
    <col width="36.85546875" customWidth="1" style="214" min="3" max="3"/>
    <col width="51.42578125" customWidth="1" style="196" min="4" max="4"/>
    <col width="14.28515625" customWidth="1" style="214" min="7" max="7"/>
    <col width="15" customWidth="1" style="214" min="10" max="10"/>
  </cols>
  <sheetData>
    <row r="2" ht="15.75" customHeight="1" s="214">
      <c r="B2" s="256" t="inlineStr">
        <is>
          <t>Приложение № 1</t>
        </is>
      </c>
    </row>
    <row r="3" ht="18.75" customHeight="1" s="214">
      <c r="B3" s="257" t="inlineStr">
        <is>
          <t>Сравнительная таблица отбора объекта-представителя</t>
        </is>
      </c>
    </row>
    <row r="4" ht="84" customHeight="1" s="214">
      <c r="B4" s="2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14">
      <c r="B5" s="176" t="n"/>
      <c r="C5" s="176" t="n"/>
      <c r="D5" s="176" t="n"/>
    </row>
    <row r="6" ht="64.5" customHeight="1" s="214">
      <c r="B6" s="259" t="inlineStr">
        <is>
          <t xml:space="preserve">Наименование разрабатываемого показателя УНЦ - </t>
        </is>
      </c>
      <c r="D6" s="263" t="inlineStr">
        <is>
          <t>ОКГТ механическая прочность на разрыв 233кН, количество волокон 24 шт.</t>
        </is>
      </c>
    </row>
    <row r="7" ht="31.5" customHeight="1" s="214">
      <c r="B7" s="255" t="inlineStr">
        <is>
          <t>Сопоставимый уровень цен:2 квартал 2017 года</t>
        </is>
      </c>
    </row>
    <row r="8" ht="15.75" customHeight="1" s="214">
      <c r="B8" s="255" t="inlineStr">
        <is>
          <t>Единица измерения  — 1 км</t>
        </is>
      </c>
    </row>
    <row r="9" ht="18.75" customHeight="1" s="214">
      <c r="B9" s="134" t="n"/>
    </row>
    <row r="10" ht="15.75" customHeight="1" s="214">
      <c r="B10" s="261" t="inlineStr">
        <is>
          <t>№ п/п</t>
        </is>
      </c>
      <c r="C10" s="261" t="inlineStr">
        <is>
          <t>Параметр</t>
        </is>
      </c>
      <c r="D10" s="261" t="inlineStr">
        <is>
          <t>Объект-представитель</t>
        </is>
      </c>
    </row>
    <row r="11" ht="90" customHeight="1" s="214">
      <c r="B11" s="261" t="n">
        <v>1</v>
      </c>
      <c r="C11" s="157" t="inlineStr">
        <is>
          <t>Наименование объекта-представителя</t>
        </is>
      </c>
      <c r="D11" s="204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14">
      <c r="B12" s="261" t="n">
        <v>2</v>
      </c>
      <c r="C12" s="157" t="inlineStr">
        <is>
          <t>Наименование субъекта Российской Федерации</t>
        </is>
      </c>
      <c r="D12" s="204" t="inlineStr">
        <is>
          <t>Ленингардская область</t>
        </is>
      </c>
    </row>
    <row r="13" ht="15.75" customHeight="1" s="214">
      <c r="B13" s="261" t="n">
        <v>3</v>
      </c>
      <c r="C13" s="157" t="inlineStr">
        <is>
          <t>Климатический район и подрайон</t>
        </is>
      </c>
      <c r="D13" s="261" t="inlineStr">
        <is>
          <t>IIВ</t>
        </is>
      </c>
    </row>
    <row r="14" ht="15.75" customHeight="1" s="214">
      <c r="B14" s="261" t="n">
        <v>4</v>
      </c>
      <c r="C14" s="157" t="inlineStr">
        <is>
          <t>Мощность объекта</t>
        </is>
      </c>
      <c r="D14" s="261" t="n">
        <v>90</v>
      </c>
    </row>
    <row r="15" ht="94.5" customHeight="1" s="214">
      <c r="B15" s="261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04" t="inlineStr">
        <is>
          <t>Марка муфты - МОПГ-М
Тип кабеля - ОКГТ-с-1-24 (24G.652)-14,4/66; ОКГТ-ц-1-24 (G/652)-15/50</t>
        </is>
      </c>
    </row>
    <row r="16" ht="78.75" customHeight="1" s="214">
      <c r="B16" s="261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97" t="n">
        <v>956.1240299999999</v>
      </c>
    </row>
    <row r="17" ht="15.75" customHeight="1" s="214">
      <c r="B17" s="207" t="inlineStr">
        <is>
          <t>6.1</t>
        </is>
      </c>
      <c r="C17" s="157" t="inlineStr">
        <is>
          <t>строительно-монтажные работы</t>
        </is>
      </c>
      <c r="D17" s="197" t="n">
        <v>860.82424</v>
      </c>
    </row>
    <row r="18" ht="15.75" customHeight="1" s="214">
      <c r="B18" s="207" t="inlineStr">
        <is>
          <t>6.2</t>
        </is>
      </c>
      <c r="C18" s="157" t="inlineStr">
        <is>
          <t>оборудование и инвентарь</t>
        </is>
      </c>
      <c r="D18" s="197" t="n">
        <v>0</v>
      </c>
    </row>
    <row r="19" ht="15.75" customHeight="1" s="214">
      <c r="B19" s="207" t="inlineStr">
        <is>
          <t>6.3</t>
        </is>
      </c>
      <c r="C19" s="157" t="inlineStr">
        <is>
          <t>пусконаладочные работы</t>
        </is>
      </c>
      <c r="D19" s="197" t="n">
        <v>0</v>
      </c>
    </row>
    <row r="20" ht="31.5" customHeight="1" s="214">
      <c r="B20" s="207" t="inlineStr">
        <is>
          <t>6.4</t>
        </is>
      </c>
      <c r="C20" s="157" t="inlineStr">
        <is>
          <t>прочие и лимитированные затраты</t>
        </is>
      </c>
      <c r="D20" s="197" t="n">
        <v>95.29979</v>
      </c>
    </row>
    <row r="21" ht="15.75" customHeight="1" s="214">
      <c r="B21" s="261" t="n">
        <v>7</v>
      </c>
      <c r="C21" s="157" t="inlineStr">
        <is>
          <t>Сопоставимый уровень цен</t>
        </is>
      </c>
      <c r="D21" s="207" t="inlineStr">
        <is>
          <t>2 квартал 2017 года</t>
        </is>
      </c>
      <c r="G21" s="181" t="n"/>
    </row>
    <row r="22" ht="110.25" customHeight="1" s="214">
      <c r="B22" s="261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97" t="n">
        <v>956.1240299999999</v>
      </c>
    </row>
    <row r="23" ht="47.25" customHeight="1" s="214">
      <c r="B23" s="261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197" t="n">
        <v>10.623600333333</v>
      </c>
      <c r="G23" s="181" t="n"/>
    </row>
    <row r="24" hidden="1" ht="110.25" customHeight="1" s="214">
      <c r="B24" s="261" t="n">
        <v>10</v>
      </c>
      <c r="C24" s="157" t="inlineStr">
        <is>
          <t>Примечание</t>
        </is>
      </c>
      <c r="D24" s="26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14">
      <c r="B25" s="178" t="n"/>
      <c r="C25" s="179" t="n"/>
      <c r="D25" s="198" t="n"/>
    </row>
    <row r="26">
      <c r="B26" s="245" t="inlineStr">
        <is>
          <t>Составил ______________________    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  <row r="31" ht="15.75" customHeight="1" s="214">
      <c r="B31" s="179" t="n"/>
      <c r="C31" s="179" t="n"/>
      <c r="D31" s="198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14" min="1" max="1"/>
    <col width="44.85546875" customWidth="1" style="214" min="3" max="3"/>
    <col width="19.7109375" customWidth="1" style="214" min="4" max="4"/>
    <col width="29.140625" customWidth="1" style="214" min="5" max="5"/>
    <col width="12.710937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</cols>
  <sheetData>
    <row r="3" ht="15.75" customHeight="1" s="214">
      <c r="B3" s="256" t="inlineStr">
        <is>
          <t>Приложение № 2</t>
        </is>
      </c>
    </row>
    <row r="4" ht="15.75" customHeight="1" s="214">
      <c r="B4" s="262" t="inlineStr">
        <is>
          <t>Расчет стоимости основных видов работ для выбора объекта-представителя</t>
        </is>
      </c>
    </row>
    <row r="5" ht="15.75" customHeight="1" s="214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14">
      <c r="B6" s="263" t="inlineStr">
        <is>
          <t xml:space="preserve">Наименование разрабатываемого показателя УНЦ - </t>
        </is>
      </c>
      <c r="D6" s="178" t="inlineStr">
        <is>
          <t>ОКГТ механическая прочность на разрыв 233кН, количество волокон 24 шт.</t>
        </is>
      </c>
      <c r="E6" s="178" t="n"/>
      <c r="F6" s="178" t="n"/>
      <c r="G6" s="178" t="n"/>
      <c r="H6" s="178" t="n"/>
      <c r="I6" s="178" t="n"/>
      <c r="J6" s="178" t="n"/>
      <c r="K6" s="178" t="n"/>
    </row>
    <row r="7" ht="15.75" customHeight="1" s="214">
      <c r="B7" s="255">
        <f>'Прил.1 Сравнит табл'!B8</f>
        <v/>
      </c>
    </row>
    <row r="8" ht="18.75" customHeight="1" s="214">
      <c r="B8" s="134" t="n"/>
    </row>
    <row r="9" ht="15.75" customHeight="1" s="214">
      <c r="B9" s="261" t="inlineStr">
        <is>
          <t>№ п/п</t>
        </is>
      </c>
      <c r="C9" s="2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1" t="inlineStr">
        <is>
          <t>Объект-представитель 1</t>
        </is>
      </c>
      <c r="E9" s="343" t="n"/>
      <c r="F9" s="343" t="n"/>
      <c r="G9" s="343" t="n"/>
      <c r="H9" s="343" t="n"/>
      <c r="I9" s="343" t="n"/>
      <c r="J9" s="344" t="n"/>
    </row>
    <row r="10" ht="15.75" customHeight="1" s="214">
      <c r="B10" s="345" t="n"/>
      <c r="C10" s="345" t="n"/>
      <c r="D10" s="261" t="inlineStr">
        <is>
          <t>Номер сметы</t>
        </is>
      </c>
      <c r="E10" s="261" t="inlineStr">
        <is>
          <t>Наименование сметы</t>
        </is>
      </c>
      <c r="F10" s="261" t="inlineStr">
        <is>
          <t>Сметная стоимость в уровне цен 2 кв. 2017 г., тыс. руб.</t>
        </is>
      </c>
      <c r="G10" s="343" t="n"/>
      <c r="H10" s="343" t="n"/>
      <c r="I10" s="343" t="n"/>
      <c r="J10" s="344" t="n"/>
    </row>
    <row r="11" ht="58.5" customHeight="1" s="214">
      <c r="B11" s="346" t="n"/>
      <c r="C11" s="346" t="n"/>
      <c r="D11" s="346" t="n"/>
      <c r="E11" s="346" t="n"/>
      <c r="F11" s="261" t="inlineStr">
        <is>
          <t>Строительные работы</t>
        </is>
      </c>
      <c r="G11" s="261" t="inlineStr">
        <is>
          <t>Монтажные работы</t>
        </is>
      </c>
      <c r="H11" s="261" t="inlineStr">
        <is>
          <t>Оборудование</t>
        </is>
      </c>
      <c r="I11" s="261" t="inlineStr">
        <is>
          <t>Прочее</t>
        </is>
      </c>
      <c r="J11" s="261" t="inlineStr">
        <is>
          <t>Всего</t>
        </is>
      </c>
    </row>
    <row r="12" ht="146.25" customFormat="1" customHeight="1" s="212">
      <c r="B12" s="205" t="n">
        <v>1</v>
      </c>
      <c r="C12" s="261" t="inlineStr">
        <is>
          <t>Марка муфты - МОПГ-М
Тип кабеля - ОКГТ-с-1-24 (24G.652)-14,4/66; ОКГТ-ц-1-24 (G/652)-15/50</t>
        </is>
      </c>
      <c r="D12" s="207" t="inlineStr">
        <is>
          <t>ЛС 05-01-01.1
ЛС 05-01-01.2
ЛС 05-01-01.3
ЛС 05-02-01.1
ЛС 05-02-01.2
ЛС 09-04-01</t>
        </is>
      </c>
      <c r="E12" s="208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09">
        <f>136856*6.29/1000</f>
        <v/>
      </c>
      <c r="G12" s="209" t="n"/>
      <c r="H12" s="209" t="n"/>
      <c r="I12" s="210" t="n"/>
      <c r="J12" s="211">
        <f>SUM(F12:I12)</f>
        <v/>
      </c>
    </row>
    <row r="13" ht="15.75" customHeight="1" s="214">
      <c r="B13" s="260" t="inlineStr">
        <is>
          <t>Всего по объекту:</t>
        </is>
      </c>
      <c r="C13" s="343" t="n"/>
      <c r="D13" s="343" t="n"/>
      <c r="E13" s="344" t="n"/>
      <c r="F13" s="213">
        <f>F12</f>
        <v/>
      </c>
      <c r="G13" s="180" t="n"/>
      <c r="H13" s="180" t="n"/>
      <c r="I13" s="180" t="n"/>
      <c r="J13" s="213">
        <f>J12</f>
        <v/>
      </c>
    </row>
    <row r="14" ht="15.75" customHeight="1" s="214">
      <c r="B14" s="260" t="inlineStr">
        <is>
          <t>Всего по объекту в сопоставимом уровне цен 2 кв. 2017 г:</t>
        </is>
      </c>
      <c r="C14" s="343" t="n"/>
      <c r="D14" s="343" t="n"/>
      <c r="E14" s="344" t="n"/>
      <c r="F14" s="213">
        <f>F13</f>
        <v/>
      </c>
      <c r="G14" s="180" t="n"/>
      <c r="H14" s="180" t="n"/>
      <c r="I14" s="180" t="n"/>
      <c r="J14" s="213">
        <f>J13</f>
        <v/>
      </c>
    </row>
    <row r="18">
      <c r="C18" s="245" t="inlineStr">
        <is>
          <t>Составил ______________________        Е. М. Добровольская</t>
        </is>
      </c>
      <c r="D18" s="246" t="n"/>
    </row>
    <row r="19">
      <c r="C19" s="247" t="inlineStr">
        <is>
          <t xml:space="preserve">                         (подпись, инициалы, фамилия)</t>
        </is>
      </c>
      <c r="D19" s="246" t="n"/>
    </row>
    <row r="20">
      <c r="C20" s="245" t="n"/>
      <c r="D20" s="246" t="n"/>
    </row>
    <row r="21">
      <c r="C21" s="245" t="inlineStr">
        <is>
          <t>Проверил ______________________        А.В. Костянецкая</t>
        </is>
      </c>
      <c r="D21" s="246" t="n"/>
    </row>
    <row r="22">
      <c r="C22" s="247" t="inlineStr">
        <is>
          <t xml:space="preserve">                        (подпись, инициалы, фамилия)</t>
        </is>
      </c>
      <c r="D22" s="246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7" zoomScaleSheetLayoutView="100" workbookViewId="0">
      <selection activeCell="C81" sqref="C81"/>
    </sheetView>
  </sheetViews>
  <sheetFormatPr baseColWidth="8" defaultRowHeight="15"/>
  <cols>
    <col width="11.140625" customWidth="1" style="214" min="1" max="1"/>
    <col width="14.7109375" customWidth="1" style="214" min="2" max="2"/>
    <col width="17" customWidth="1" style="214" min="3" max="3"/>
    <col width="49.7109375" customWidth="1" style="214" min="4" max="4"/>
    <col width="16.28515625" customWidth="1" style="214" min="5" max="5"/>
    <col width="20.7109375" customWidth="1" style="214" min="6" max="6"/>
    <col width="16.140625" customWidth="1" style="214" min="7" max="7"/>
    <col width="16.7109375" customWidth="1" style="214" min="8" max="8"/>
    <col width="11.140625" customWidth="1" style="214" min="9" max="9"/>
    <col width="9.28515625" customWidth="1" style="214" min="10" max="10"/>
    <col width="13" customWidth="1" style="214" min="11" max="11"/>
    <col width="9.140625" customWidth="1" style="214" min="12" max="13"/>
  </cols>
  <sheetData>
    <row r="2" ht="15.75" customHeight="1" s="214">
      <c r="A2" s="256" t="inlineStr">
        <is>
          <t xml:space="preserve">Приложение № 3 </t>
        </is>
      </c>
    </row>
    <row r="3" ht="18.75" customHeight="1" s="214">
      <c r="A3" s="257" t="inlineStr">
        <is>
          <t>Объектная ресурсная ведомость</t>
        </is>
      </c>
    </row>
    <row r="4" ht="18.75" customHeight="1" s="214">
      <c r="A4" s="257" t="n"/>
      <c r="B4" s="257" t="n"/>
      <c r="C4" s="257" t="n"/>
      <c r="D4" s="257" t="n"/>
      <c r="E4" s="257" t="n"/>
      <c r="F4" s="257" t="n"/>
      <c r="G4" s="257" t="n"/>
      <c r="H4" s="257" t="n"/>
    </row>
    <row r="5">
      <c r="B5" s="216" t="n"/>
    </row>
    <row r="6" ht="18.75" customHeight="1" s="214">
      <c r="A6" s="257" t="n"/>
      <c r="B6" s="257" t="n"/>
      <c r="C6" s="2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14">
      <c r="A7" s="269" t="inlineStr">
        <is>
          <t xml:space="preserve">Наименование разрабатываемого показателя УНЦ - </t>
        </is>
      </c>
      <c r="D7" s="269" t="inlineStr">
        <is>
          <t>ОКГТ механическая прочность на разрыв 233кН, количество волокон 24 шт.</t>
        </is>
      </c>
    </row>
    <row r="8" ht="21.75" customHeight="1" s="214">
      <c r="A8" s="217" t="n"/>
      <c r="B8" s="217" t="n"/>
      <c r="C8" s="217" t="n"/>
      <c r="D8" s="217" t="n"/>
      <c r="E8" s="217" t="n"/>
      <c r="F8" s="217" t="n"/>
      <c r="G8" s="217" t="n"/>
      <c r="H8" s="218" t="n"/>
    </row>
    <row r="9" ht="38.25" customHeight="1" s="214">
      <c r="A9" s="261" t="inlineStr">
        <is>
          <t>п/п</t>
        </is>
      </c>
      <c r="B9" s="261" t="inlineStr">
        <is>
          <t>№ЛСР</t>
        </is>
      </c>
      <c r="C9" s="261" t="inlineStr">
        <is>
          <t>Код ресурса</t>
        </is>
      </c>
      <c r="D9" s="261" t="inlineStr">
        <is>
          <t>Наименование ресурса</t>
        </is>
      </c>
      <c r="E9" s="261" t="inlineStr">
        <is>
          <t>Ед. изм.</t>
        </is>
      </c>
      <c r="F9" s="261" t="inlineStr">
        <is>
          <t>Кол-во единиц по данным объекта-представителя</t>
        </is>
      </c>
      <c r="G9" s="261" t="inlineStr">
        <is>
          <t>Сметная стоимость в ценах на 01.01.2000 (руб.)</t>
        </is>
      </c>
      <c r="H9" s="344" t="n"/>
    </row>
    <row r="10" ht="40.5" customHeight="1" s="214">
      <c r="A10" s="346" t="n"/>
      <c r="B10" s="346" t="n"/>
      <c r="C10" s="346" t="n"/>
      <c r="D10" s="346" t="n"/>
      <c r="E10" s="346" t="n"/>
      <c r="F10" s="346" t="n"/>
      <c r="G10" s="261" t="inlineStr">
        <is>
          <t>на ед.изм.</t>
        </is>
      </c>
      <c r="H10" s="261" t="inlineStr">
        <is>
          <t>общая</t>
        </is>
      </c>
    </row>
    <row r="11" ht="15.75" customHeight="1" s="214">
      <c r="A11" s="261" t="n">
        <v>1</v>
      </c>
      <c r="B11" s="220" t="n"/>
      <c r="C11" s="261" t="n">
        <v>2</v>
      </c>
      <c r="D11" s="261" t="inlineStr">
        <is>
          <t>З</t>
        </is>
      </c>
      <c r="E11" s="261" t="n">
        <v>4</v>
      </c>
      <c r="F11" s="261" t="n">
        <v>5</v>
      </c>
      <c r="G11" s="220" t="n">
        <v>6</v>
      </c>
      <c r="H11" s="220" t="n">
        <v>7</v>
      </c>
    </row>
    <row r="12" ht="15" customHeight="1" s="214">
      <c r="A12" s="264" t="inlineStr">
        <is>
          <t>Затраты труда рабочих</t>
        </is>
      </c>
      <c r="B12" s="343" t="n"/>
      <c r="C12" s="343" t="n"/>
      <c r="D12" s="343" t="n"/>
      <c r="E12" s="343" t="n"/>
      <c r="F12" s="221">
        <f>SUM(F13:F18)</f>
        <v/>
      </c>
      <c r="G12" s="222" t="n"/>
      <c r="H12" s="223">
        <f>SUM(H13:H18)</f>
        <v/>
      </c>
      <c r="J12" s="224" t="n"/>
    </row>
    <row r="13">
      <c r="A13" s="225" t="n">
        <v>1</v>
      </c>
      <c r="B13" s="226" t="n"/>
      <c r="C13" s="225" t="inlineStr">
        <is>
          <t>1-3-8</t>
        </is>
      </c>
      <c r="D13" s="227" t="inlineStr">
        <is>
          <t>Затраты труда рабочих (средний разряд работы 3,8)</t>
        </is>
      </c>
      <c r="E13" s="293" t="inlineStr">
        <is>
          <t>чел.-ч</t>
        </is>
      </c>
      <c r="F13" s="229" t="n">
        <v>1837.4103</v>
      </c>
      <c r="G13" s="230" t="n">
        <v>9.4</v>
      </c>
      <c r="H13" s="230">
        <f>ROUND(F13*G13,2)</f>
        <v/>
      </c>
    </row>
    <row r="14">
      <c r="A14" s="231">
        <f>A13+1</f>
        <v/>
      </c>
      <c r="B14" s="226" t="n"/>
      <c r="C14" s="225" t="inlineStr">
        <is>
          <t>1-6-0</t>
        </is>
      </c>
      <c r="D14" s="227" t="inlineStr">
        <is>
          <t>Затраты труда рабочих (средний разряд работы 6,0)</t>
        </is>
      </c>
      <c r="E14" s="293" t="inlineStr">
        <is>
          <t>чел.-ч</t>
        </is>
      </c>
      <c r="F14" s="229" t="n">
        <v>332.7157</v>
      </c>
      <c r="G14" s="230" t="n">
        <v>12.92</v>
      </c>
      <c r="H14" s="230">
        <f>ROUND(F14*G14,2)</f>
        <v/>
      </c>
      <c r="K14" s="232" t="n"/>
    </row>
    <row r="15">
      <c r="A15" s="231">
        <f>A14+1</f>
        <v/>
      </c>
      <c r="B15" s="226" t="n"/>
      <c r="C15" s="225" t="inlineStr">
        <is>
          <t>1-3-4</t>
        </is>
      </c>
      <c r="D15" s="227" t="inlineStr">
        <is>
          <t>Затраты труда рабочих (средний разряд работы 3,4)</t>
        </is>
      </c>
      <c r="E15" s="293" t="inlineStr">
        <is>
          <t>чел.-ч</t>
        </is>
      </c>
      <c r="F15" s="229" t="n">
        <v>99.6461</v>
      </c>
      <c r="G15" s="230" t="n">
        <v>8.970000000000001</v>
      </c>
      <c r="H15" s="230">
        <f>ROUND(F15*G15,2)</f>
        <v/>
      </c>
    </row>
    <row r="16">
      <c r="A16" s="231">
        <f>A15+1</f>
        <v/>
      </c>
      <c r="B16" s="226" t="n"/>
      <c r="C16" s="225" t="inlineStr">
        <is>
          <t>1-2-0</t>
        </is>
      </c>
      <c r="D16" s="227" t="inlineStr">
        <is>
          <t>Затраты труда рабочих (средний разряд работы 2,0)</t>
        </is>
      </c>
      <c r="E16" s="293" t="inlineStr">
        <is>
          <t>чел.-ч</t>
        </is>
      </c>
      <c r="F16" s="229" t="n">
        <v>28.847</v>
      </c>
      <c r="G16" s="230" t="n">
        <v>7.8</v>
      </c>
      <c r="H16" s="230">
        <f>ROUND(F16*G16,2)</f>
        <v/>
      </c>
    </row>
    <row r="17">
      <c r="A17" s="231">
        <f>A16+1</f>
        <v/>
      </c>
      <c r="B17" s="226" t="n"/>
      <c r="C17" s="225" t="inlineStr">
        <is>
          <t>1-3-3</t>
        </is>
      </c>
      <c r="D17" s="227" t="inlineStr">
        <is>
          <t>Затраты труда рабочих (средний разряд работы 3,3)</t>
        </is>
      </c>
      <c r="E17" s="293" t="inlineStr">
        <is>
          <t>чел.-ч</t>
        </is>
      </c>
      <c r="F17" s="229" t="n">
        <v>20.553</v>
      </c>
      <c r="G17" s="230" t="n">
        <v>8.859999999999999</v>
      </c>
      <c r="H17" s="230">
        <f>ROUND(F17*G17,2)</f>
        <v/>
      </c>
    </row>
    <row r="18">
      <c r="A18" s="231">
        <f>A17+1</f>
        <v/>
      </c>
      <c r="B18" s="226" t="n"/>
      <c r="C18" s="225" t="inlineStr">
        <is>
          <t>10-3-1</t>
        </is>
      </c>
      <c r="D18" s="227" t="inlineStr">
        <is>
          <t>Инженер I категории</t>
        </is>
      </c>
      <c r="E18" s="293" t="inlineStr">
        <is>
          <t>чел.-ч</t>
        </is>
      </c>
      <c r="F18" s="229" t="n">
        <v>46.56</v>
      </c>
      <c r="G18" s="230" t="n">
        <v>15.49</v>
      </c>
      <c r="H18" s="230">
        <f>ROUND(F18*G18,2)</f>
        <v/>
      </c>
    </row>
    <row r="19" ht="15" customHeight="1" s="214">
      <c r="A19" s="268" t="inlineStr">
        <is>
          <t>Затраты труда машинистов</t>
        </is>
      </c>
      <c r="B19" s="343" t="n"/>
      <c r="C19" s="343" t="n"/>
      <c r="D19" s="343" t="n"/>
      <c r="E19" s="344" t="n"/>
      <c r="F19" s="222" t="n"/>
      <c r="G19" s="222" t="n"/>
      <c r="H19" s="223">
        <f>H20</f>
        <v/>
      </c>
    </row>
    <row r="20">
      <c r="A20" s="231">
        <f>A18+1</f>
        <v/>
      </c>
      <c r="B20" s="226" t="n"/>
      <c r="C20" s="225" t="n">
        <v>2</v>
      </c>
      <c r="D20" s="227" t="inlineStr">
        <is>
          <t>Затраты труда машинистов</t>
        </is>
      </c>
      <c r="E20" s="293" t="inlineStr">
        <is>
          <t>чел.-ч</t>
        </is>
      </c>
      <c r="F20" s="293" t="n">
        <v>334.24</v>
      </c>
      <c r="G20" s="230" t="n"/>
      <c r="H20" s="233" t="n">
        <v>18368.04</v>
      </c>
      <c r="L20" s="234" t="n"/>
      <c r="N20" s="235" t="n"/>
    </row>
    <row r="21" ht="15" customHeight="1" s="214">
      <c r="A21" s="268" t="inlineStr">
        <is>
          <t>Машины и механизмы</t>
        </is>
      </c>
      <c r="B21" s="343" t="n"/>
      <c r="C21" s="343" t="n"/>
      <c r="D21" s="343" t="n"/>
      <c r="E21" s="344" t="n"/>
      <c r="F21" s="222" t="n"/>
      <c r="G21" s="222" t="n"/>
      <c r="H21" s="223">
        <f>SUM(H22:H36)</f>
        <v/>
      </c>
    </row>
    <row r="22">
      <c r="A22" s="225">
        <f>A20+1</f>
        <v/>
      </c>
      <c r="B22" s="226" t="n"/>
      <c r="C22" s="225" t="inlineStr">
        <is>
          <t>91.06.06-014</t>
        </is>
      </c>
      <c r="D22" s="227" t="inlineStr">
        <is>
          <t>Автогидроподъемники, высота подъема 28 м</t>
        </is>
      </c>
      <c r="E22" s="293" t="inlineStr">
        <is>
          <t>маш.-ч</t>
        </is>
      </c>
      <c r="F22" s="293" t="n">
        <v>298.179088</v>
      </c>
      <c r="G22" s="236" t="n">
        <v>243.49</v>
      </c>
      <c r="H22" s="230">
        <f>ROUND(F22*G22,2)</f>
        <v/>
      </c>
    </row>
    <row r="23" ht="25.5" customHeight="1" s="214">
      <c r="A23" s="225">
        <f>A22+1</f>
        <v/>
      </c>
      <c r="B23" s="226" t="n"/>
      <c r="C23" s="225" t="inlineStr">
        <is>
          <t>91.11.02-021</t>
        </is>
      </c>
      <c r="D23" s="227" t="inlineStr">
        <is>
          <t>Комплексы для монтажа проводов методом "под тяжением"</t>
        </is>
      </c>
      <c r="E23" s="293" t="inlineStr">
        <is>
          <t>маш.-ч</t>
        </is>
      </c>
      <c r="F23" s="293" t="n">
        <v>109.116778</v>
      </c>
      <c r="G23" s="236" t="n">
        <v>637.76</v>
      </c>
      <c r="H23" s="230">
        <f>ROUND(F23*G23,2)</f>
        <v/>
      </c>
    </row>
    <row r="24" ht="25.5" customHeight="1" s="214">
      <c r="A24" s="225">
        <f>A23+1</f>
        <v/>
      </c>
      <c r="B24" s="226" t="n"/>
      <c r="C24" s="225" t="inlineStr">
        <is>
          <t>91.15.02-029</t>
        </is>
      </c>
      <c r="D24" s="227" t="inlineStr">
        <is>
          <t>Тракторы на гусеничном ходу с лебедкой 132 кВт (180 л.с.)</t>
        </is>
      </c>
      <c r="E24" s="293" t="inlineStr">
        <is>
          <t>маш.-ч</t>
        </is>
      </c>
      <c r="F24" s="293" t="n">
        <v>398.001999</v>
      </c>
      <c r="G24" s="236" t="n">
        <v>147.43</v>
      </c>
      <c r="H24" s="230">
        <f>ROUND(F24*G24,2)</f>
        <v/>
      </c>
    </row>
    <row r="25" ht="25.5" customHeight="1" s="214">
      <c r="A25" s="225">
        <f>A24+1</f>
        <v/>
      </c>
      <c r="B25" s="226" t="n"/>
      <c r="C25" s="225" t="inlineStr">
        <is>
          <t>91.05.05-016</t>
        </is>
      </c>
      <c r="D25" s="227" t="inlineStr">
        <is>
          <t>Краны на автомобильном ходу, грузоподъемность 25 т</t>
        </is>
      </c>
      <c r="E25" s="293" t="inlineStr">
        <is>
          <t>маш.-ч</t>
        </is>
      </c>
      <c r="F25" s="293" t="n">
        <v>119.015512</v>
      </c>
      <c r="G25" s="236" t="n">
        <v>476.43</v>
      </c>
      <c r="H25" s="230">
        <f>ROUND(F25*G25,2)</f>
        <v/>
      </c>
    </row>
    <row r="26">
      <c r="A26" s="225">
        <f>A25+1</f>
        <v/>
      </c>
      <c r="B26" s="226" t="n"/>
      <c r="C26" s="225" t="inlineStr">
        <is>
          <t>91.14.04-002</t>
        </is>
      </c>
      <c r="D26" s="227" t="inlineStr">
        <is>
          <t>Тягачи седельные, грузоподъемность 15 т</t>
        </is>
      </c>
      <c r="E26" s="293" t="inlineStr">
        <is>
          <t>маш.-ч</t>
        </is>
      </c>
      <c r="F26" s="293" t="n">
        <v>160.6995124</v>
      </c>
      <c r="G26" s="236" t="n">
        <v>94.38</v>
      </c>
      <c r="H26" s="230">
        <f>ROUND(F26*G26,2)</f>
        <v/>
      </c>
    </row>
    <row r="27">
      <c r="A27" s="225">
        <f>A26+1</f>
        <v/>
      </c>
      <c r="B27" s="226" t="n"/>
      <c r="C27" s="225" t="inlineStr">
        <is>
          <t>91.16.01-002</t>
        </is>
      </c>
      <c r="D27" s="227" t="inlineStr">
        <is>
          <t>Электростанции передвижные, мощность 4 кВт</t>
        </is>
      </c>
      <c r="E27" s="293" t="inlineStr">
        <is>
          <t>маш.-ч</t>
        </is>
      </c>
      <c r="F27" s="293" t="n">
        <v>145.92</v>
      </c>
      <c r="G27" s="236" t="n">
        <v>27.11</v>
      </c>
      <c r="H27" s="230">
        <f>ROUND(F27*G27,2)</f>
        <v/>
      </c>
    </row>
    <row r="28" ht="25.5" customHeight="1" s="214">
      <c r="A28" s="225">
        <f>A27+1</f>
        <v/>
      </c>
      <c r="B28" s="226" t="n"/>
      <c r="C28" s="225" t="inlineStr">
        <is>
          <t>91.14.05-012</t>
        </is>
      </c>
      <c r="D28" s="227" t="inlineStr">
        <is>
          <t>Полуприцепы общего назначения, грузоподъемность 15 т</t>
        </is>
      </c>
      <c r="E28" s="293" t="inlineStr">
        <is>
          <t>маш.-ч</t>
        </is>
      </c>
      <c r="F28" s="293" t="n">
        <v>160.6995124</v>
      </c>
      <c r="G28" s="236" t="n">
        <v>19.76</v>
      </c>
      <c r="H28" s="230">
        <f>ROUND(F28*G28,2)</f>
        <v/>
      </c>
    </row>
    <row r="29">
      <c r="A29" s="225">
        <f>A28+1</f>
        <v/>
      </c>
      <c r="B29" s="226" t="n"/>
      <c r="C29" s="225" t="inlineStr">
        <is>
          <t>91.14.02-004</t>
        </is>
      </c>
      <c r="D29" s="227" t="inlineStr">
        <is>
          <t>Автомобили бортовые, грузоподъемность до 15 т</t>
        </is>
      </c>
      <c r="E29" s="293" t="inlineStr">
        <is>
          <t>маш.-ч</t>
        </is>
      </c>
      <c r="F29" s="293" t="n">
        <v>32.456039</v>
      </c>
      <c r="G29" s="236" t="n">
        <v>92.94</v>
      </c>
      <c r="H29" s="230">
        <f>ROUND(F29*G29,2)</f>
        <v/>
      </c>
    </row>
    <row r="30" ht="25.5" customHeight="1" s="214">
      <c r="A30" s="225">
        <f>A29+1</f>
        <v/>
      </c>
      <c r="B30" s="226" t="n"/>
      <c r="C30" s="225" t="inlineStr">
        <is>
          <t>91.13.03-111</t>
        </is>
      </c>
      <c r="D30" s="227" t="inlineStr">
        <is>
          <t>Спецавтомобили-вездеходы, грузоподъемность до 8 т</t>
        </is>
      </c>
      <c r="E30" s="293" t="inlineStr">
        <is>
          <t>маш.-ч</t>
        </is>
      </c>
      <c r="F30" s="293" t="n">
        <v>12.9156</v>
      </c>
      <c r="G30" s="236" t="n">
        <v>189.95</v>
      </c>
      <c r="H30" s="230">
        <f>ROUND(F30*G30,2)</f>
        <v/>
      </c>
    </row>
    <row r="31">
      <c r="A31" s="225">
        <f>A30+1</f>
        <v/>
      </c>
      <c r="B31" s="226" t="n"/>
      <c r="C31" s="225" t="inlineStr">
        <is>
          <t>91.21.22-341</t>
        </is>
      </c>
      <c r="D31" s="227" t="inlineStr">
        <is>
          <t>Рефлектометры</t>
        </is>
      </c>
      <c r="E31" s="293" t="inlineStr">
        <is>
          <t>маш.-ч</t>
        </is>
      </c>
      <c r="F31" s="293" t="n">
        <v>170.88</v>
      </c>
      <c r="G31" s="236" t="n">
        <v>10.62</v>
      </c>
      <c r="H31" s="230">
        <f>ROUND(F31*G31,2)</f>
        <v/>
      </c>
    </row>
    <row r="32" ht="25.5" customHeight="1" s="214">
      <c r="A32" s="225">
        <f>A31+1</f>
        <v/>
      </c>
      <c r="B32" s="226" t="n"/>
      <c r="C32" s="225" t="inlineStr">
        <is>
          <t>91.17.04-194</t>
        </is>
      </c>
      <c r="D32" s="227" t="inlineStr">
        <is>
          <t>Аппараты сварочные для сварки оптических кабелей со скалывателем</t>
        </is>
      </c>
      <c r="E32" s="293" t="inlineStr">
        <is>
          <t>маш.-ч</t>
        </is>
      </c>
      <c r="F32" s="293" t="n">
        <v>134.64</v>
      </c>
      <c r="G32" s="236" t="n">
        <v>12.14</v>
      </c>
      <c r="H32" s="230">
        <f>ROUND(F32*G32,2)</f>
        <v/>
      </c>
    </row>
    <row r="33">
      <c r="A33" s="225">
        <f>A32+1</f>
        <v/>
      </c>
      <c r="B33" s="226" t="n"/>
      <c r="C33" s="225" t="inlineStr">
        <is>
          <t>91.06.05-011</t>
        </is>
      </c>
      <c r="D33" s="227" t="inlineStr">
        <is>
          <t>Погрузчики, грузоподъемность 5 т</t>
        </is>
      </c>
      <c r="E33" s="293" t="inlineStr">
        <is>
          <t>маш.-ч</t>
        </is>
      </c>
      <c r="F33" s="293" t="n">
        <v>16.151862</v>
      </c>
      <c r="G33" s="236" t="n">
        <v>89.98999999999999</v>
      </c>
      <c r="H33" s="230">
        <f>ROUND(F33*G33,2)</f>
        <v/>
      </c>
    </row>
    <row r="34">
      <c r="A34" s="225">
        <f>A33+1</f>
        <v/>
      </c>
      <c r="B34" s="226" t="n"/>
      <c r="C34" s="225" t="inlineStr">
        <is>
          <t>91.14.02-002</t>
        </is>
      </c>
      <c r="D34" s="227" t="inlineStr">
        <is>
          <t>Автомобили бортовые, грузоподъемность до 8 т</t>
        </is>
      </c>
      <c r="E34" s="293" t="inlineStr">
        <is>
          <t>маш.-ч</t>
        </is>
      </c>
      <c r="F34" s="293" t="n">
        <v>1.9236</v>
      </c>
      <c r="G34" s="236" t="n">
        <v>85.84</v>
      </c>
      <c r="H34" s="230">
        <f>ROUND(F34*G34,2)</f>
        <v/>
      </c>
    </row>
    <row r="35">
      <c r="A35" s="225">
        <f>A34+1</f>
        <v/>
      </c>
      <c r="B35" s="226" t="n"/>
      <c r="C35" s="225" t="inlineStr">
        <is>
          <t>91.21.16-012</t>
        </is>
      </c>
      <c r="D35" s="227" t="inlineStr">
        <is>
          <t>Прессы гидравлические с электроприводом</t>
        </is>
      </c>
      <c r="E35" s="293" t="inlineStr">
        <is>
          <t>маш.-ч</t>
        </is>
      </c>
      <c r="F35" s="293" t="n">
        <v>123.6743037</v>
      </c>
      <c r="G35" s="236" t="n">
        <v>1.11</v>
      </c>
      <c r="H35" s="230">
        <f>ROUND(F35*G35,2)</f>
        <v/>
      </c>
    </row>
    <row r="36">
      <c r="A36" s="225">
        <f>A35+1</f>
        <v/>
      </c>
      <c r="B36" s="226" t="n"/>
      <c r="C36" s="225" t="inlineStr">
        <is>
          <t>91.11.02-061</t>
        </is>
      </c>
      <c r="D36" s="227" t="inlineStr">
        <is>
          <t>Тележки раскаточные на гусеничном ходу</t>
        </is>
      </c>
      <c r="E36" s="293" t="inlineStr">
        <is>
          <t>маш.-ч</t>
        </is>
      </c>
      <c r="F36" s="293" t="n">
        <v>1.5572</v>
      </c>
      <c r="G36" s="236" t="n">
        <v>17.14</v>
      </c>
      <c r="H36" s="230">
        <f>ROUND(F36*G36,2)</f>
        <v/>
      </c>
    </row>
    <row r="37" ht="15" customHeight="1" s="214">
      <c r="A37" s="268" t="inlineStr">
        <is>
          <t>Оборудование</t>
        </is>
      </c>
      <c r="B37" s="343" t="n"/>
      <c r="C37" s="343" t="n"/>
      <c r="D37" s="343" t="n"/>
      <c r="E37" s="344" t="n"/>
      <c r="F37" s="222" t="n"/>
      <c r="G37" s="222" t="n"/>
      <c r="H37" s="223">
        <f>SUM(H38:H38)</f>
        <v/>
      </c>
    </row>
    <row r="38" ht="20.25" customHeight="1" s="214">
      <c r="A38" s="231" t="n"/>
      <c r="B38" s="268" t="n"/>
      <c r="C38" s="225" t="n"/>
      <c r="D38" s="227" t="n"/>
      <c r="E38" s="293" t="n"/>
      <c r="F38" s="293" t="n"/>
      <c r="G38" s="230" t="n"/>
      <c r="H38" s="230" t="n"/>
      <c r="I38" s="238" t="n"/>
    </row>
    <row r="39" ht="15" customHeight="1" s="214">
      <c r="A39" s="268" t="inlineStr">
        <is>
          <t>Материалы</t>
        </is>
      </c>
      <c r="B39" s="343" t="n"/>
      <c r="C39" s="343" t="n"/>
      <c r="D39" s="343" t="n"/>
      <c r="E39" s="344" t="n"/>
      <c r="F39" s="222" t="n"/>
      <c r="G39" s="222" t="n"/>
      <c r="H39" s="223">
        <f>SUM(H40:H75)</f>
        <v/>
      </c>
    </row>
    <row r="40" ht="27" customHeight="1" s="214">
      <c r="A40" s="231">
        <f>A36+1</f>
        <v/>
      </c>
      <c r="B40" s="226" t="n"/>
      <c r="C40" s="225" t="inlineStr">
        <is>
          <t>Прайс из СД ОП</t>
        </is>
      </c>
      <c r="D40" s="272" t="inlineStr">
        <is>
          <t>Грозотрос ОКГТ 24 волокна (МПР 233кН)</t>
        </is>
      </c>
      <c r="E40" s="273" t="inlineStr">
        <is>
          <t>м</t>
        </is>
      </c>
      <c r="F40" s="241" t="n">
        <v>112120</v>
      </c>
      <c r="G40" s="275" t="n">
        <v>97.45999999999999</v>
      </c>
      <c r="H40" s="243">
        <f>G40*F40</f>
        <v/>
      </c>
      <c r="K40" s="238" t="n"/>
    </row>
    <row r="41" ht="38.25" customHeight="1" s="214">
      <c r="A41" s="231">
        <f>A40+1</f>
        <v/>
      </c>
      <c r="B41" s="226" t="n"/>
      <c r="C41" s="225" t="inlineStr">
        <is>
          <t>20.5.04.08-0005</t>
        </is>
      </c>
      <c r="D41" s="272" t="inlineStr">
        <is>
          <t>Зажим соединительный шлейфовый спиральный ШС-18,8-01 (прим. Зажим шлейфовый ЗКШ2-14/18-4)</t>
        </is>
      </c>
      <c r="E41" s="273" t="inlineStr">
        <is>
          <t>шт.</t>
        </is>
      </c>
      <c r="F41" s="241">
        <f>651+120</f>
        <v/>
      </c>
      <c r="G41" s="275" t="n">
        <v>330.46</v>
      </c>
      <c r="H41" s="243">
        <f>ROUND(F41*G41,2)</f>
        <v/>
      </c>
      <c r="K41" s="238" t="n"/>
    </row>
    <row r="42" ht="30.75" customHeight="1" s="214">
      <c r="A42" s="231">
        <f>A41+1</f>
        <v/>
      </c>
      <c r="B42" s="226" t="n"/>
      <c r="C42" s="225" t="inlineStr">
        <is>
          <t>20.1.01.12-0033</t>
        </is>
      </c>
      <c r="D42" s="272" t="inlineStr">
        <is>
          <t>Зажим поддерживающий спиральный ПС-15, 4П11 (прим. ПСО-14,1/14, 4П-33, 4П-21)</t>
        </is>
      </c>
      <c r="E42" s="273" t="inlineStr">
        <is>
          <t>шт.</t>
        </is>
      </c>
      <c r="F42" s="241">
        <f>172+28+26+34+13</f>
        <v/>
      </c>
      <c r="G42" s="275" t="n">
        <v>374.91</v>
      </c>
      <c r="H42" s="243">
        <f>ROUND(F42*G42,2)</f>
        <v/>
      </c>
      <c r="K42" s="238" t="n"/>
    </row>
    <row r="43" ht="41.25" customHeight="1" s="214">
      <c r="A43" s="231">
        <f>A42+1</f>
        <v/>
      </c>
      <c r="B43" s="226" t="n"/>
      <c r="C43" s="225" t="inlineStr">
        <is>
          <t>15.1.02.27-0002</t>
        </is>
      </c>
      <c r="D43" s="272" t="inlineStr">
        <is>
          <t>Барабан (крутящаяся часть с площадками) (прим. Барабан БШ-1-3)</t>
        </is>
      </c>
      <c r="E43" s="273" t="inlineStr">
        <is>
          <t>шт.</t>
        </is>
      </c>
      <c r="F43" s="241">
        <f>12+10</f>
        <v/>
      </c>
      <c r="G43" s="275" t="n">
        <v>4344.01</v>
      </c>
      <c r="H43" s="243">
        <f>ROUND(F43*G43,2)</f>
        <v/>
      </c>
      <c r="K43" s="238" t="n"/>
    </row>
    <row r="44">
      <c r="A44" s="231">
        <f>A43+1</f>
        <v/>
      </c>
      <c r="B44" s="226" t="n"/>
      <c r="C44" s="225" t="inlineStr">
        <is>
          <t>22.2.02.01-0020</t>
        </is>
      </c>
      <c r="D44" s="272" t="inlineStr">
        <is>
          <t>Гаситель вибрации, марка ГВП-1,6-11</t>
        </is>
      </c>
      <c r="E44" s="273" t="inlineStr">
        <is>
          <t>шт.</t>
        </is>
      </c>
      <c r="F44" s="241">
        <f>457+160+67</f>
        <v/>
      </c>
      <c r="G44" s="275" t="n">
        <v>120.89</v>
      </c>
      <c r="H44" s="243">
        <f>ROUND(F44*G44,2)</f>
        <v/>
      </c>
      <c r="K44" s="238" t="n"/>
    </row>
    <row r="45" ht="25.5" customHeight="1" s="214">
      <c r="A45" s="231">
        <f>A44+1</f>
        <v/>
      </c>
      <c r="B45" s="226" t="n"/>
      <c r="C45" s="225" t="inlineStr">
        <is>
          <t>20.5.04.04-0055</t>
        </is>
      </c>
      <c r="D45" s="272" t="inlineStr">
        <is>
          <t>Зажим натяжной спиральный НСО-13,0П-01 (прим. Зажим натяжной НСО-14.1/14)</t>
        </is>
      </c>
      <c r="E45" s="273" t="inlineStr">
        <is>
          <t>шт.</t>
        </is>
      </c>
      <c r="F45" s="241">
        <f>34+97+19+31+4</f>
        <v/>
      </c>
      <c r="G45" s="275" t="n">
        <v>374.45</v>
      </c>
      <c r="H45" s="243">
        <f>ROUND(F45*G45,2)</f>
        <v/>
      </c>
      <c r="K45" s="238" t="n"/>
    </row>
    <row r="46" ht="25.5" customHeight="1" s="214">
      <c r="A46" s="231">
        <f>A45+1</f>
        <v/>
      </c>
      <c r="B46" s="226" t="n"/>
      <c r="C46" s="225" t="inlineStr">
        <is>
          <t>20.5.04.08-0005</t>
        </is>
      </c>
      <c r="D46" s="272" t="inlineStr">
        <is>
          <t>Зажим соединительный шлейфовый спиральный ШС-18,8-01 (прим. Зажим шлейфовый ЗКШ-18/22-4)</t>
        </is>
      </c>
      <c r="E46" s="273" t="inlineStr">
        <is>
          <t>шт</t>
        </is>
      </c>
      <c r="F46" s="241" t="n">
        <v>166</v>
      </c>
      <c r="G46" s="275" t="n">
        <v>330.46</v>
      </c>
      <c r="H46" s="243">
        <f>ROUND(F46*G46,2)</f>
        <v/>
      </c>
      <c r="K46" s="238" t="n"/>
    </row>
    <row r="47">
      <c r="A47" s="231">
        <f>A46+1</f>
        <v/>
      </c>
      <c r="B47" s="226" t="n"/>
      <c r="C47" s="225" t="inlineStr">
        <is>
          <t>20.1.01.05-0009</t>
        </is>
      </c>
      <c r="D47" s="272" t="inlineStr">
        <is>
          <t>Зажим заземляющий 3ПС 120-3В</t>
        </is>
      </c>
      <c r="E47" s="273" t="inlineStr">
        <is>
          <t>шт</t>
        </is>
      </c>
      <c r="F47" s="241">
        <f>312+121+85+132</f>
        <v/>
      </c>
      <c r="G47" s="275" t="n">
        <v>76.04000000000001</v>
      </c>
      <c r="H47" s="243">
        <f>ROUND(F47*G47,2)</f>
        <v/>
      </c>
      <c r="K47" s="238" t="n"/>
    </row>
    <row r="48" ht="63.75" customHeight="1" s="214">
      <c r="A48" s="231">
        <f>A47+1</f>
        <v/>
      </c>
      <c r="B48" s="226" t="n"/>
      <c r="C48" s="225" t="inlineStr">
        <is>
          <t>20.2.09.09-0006</t>
        </is>
      </c>
      <c r="D48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3" t="inlineStr">
        <is>
          <t>компл.</t>
        </is>
      </c>
      <c r="F48" s="241">
        <f>15+6+4+2+1</f>
        <v/>
      </c>
      <c r="G48" s="275" t="n">
        <v>1194.89</v>
      </c>
      <c r="H48" s="243">
        <f>ROUND(F48*G48,2)</f>
        <v/>
      </c>
      <c r="K48" s="238" t="n"/>
    </row>
    <row r="49">
      <c r="A49" s="231">
        <f>A48+1</f>
        <v/>
      </c>
      <c r="B49" s="226" t="n"/>
      <c r="C49" s="225" t="inlineStr">
        <is>
          <t>22.2.02.04-0037</t>
        </is>
      </c>
      <c r="D49" s="272" t="inlineStr">
        <is>
          <t>Звено промежуточное регулируемое ПРР-12-1А</t>
        </is>
      </c>
      <c r="E49" s="273" t="inlineStr">
        <is>
          <t>шт.</t>
        </is>
      </c>
      <c r="F49" s="241">
        <f>64+63+34+19+17</f>
        <v/>
      </c>
      <c r="G49" s="275" t="n">
        <v>169.51</v>
      </c>
      <c r="H49" s="243">
        <f>ROUND(F49*G49,2)</f>
        <v/>
      </c>
      <c r="K49" s="238" t="n"/>
    </row>
    <row r="50" ht="25.5" customHeight="1" s="214">
      <c r="A50" s="231">
        <f>A49+1</f>
        <v/>
      </c>
      <c r="B50" s="226" t="n"/>
      <c r="C50" s="225" t="inlineStr">
        <is>
          <t>20.2.09.13-0038</t>
        </is>
      </c>
      <c r="D50" s="272" t="inlineStr">
        <is>
          <t>Муфта свинцовая П-1200 (прим. Комплект для ввода ОКГТ в муфту КГВ 12-17/2-3.6)</t>
        </is>
      </c>
      <c r="E50" s="273" t="inlineStr">
        <is>
          <t>шт</t>
        </is>
      </c>
      <c r="F50" s="241" t="n">
        <v>37</v>
      </c>
      <c r="G50" s="275" t="n">
        <v>873.46</v>
      </c>
      <c r="H50" s="243">
        <f>ROUND(F50*G50,2)</f>
        <v/>
      </c>
      <c r="K50" s="238" t="n"/>
    </row>
    <row r="51">
      <c r="A51" s="231">
        <f>A50+1</f>
        <v/>
      </c>
      <c r="B51" s="226" t="n"/>
      <c r="C51" s="225" t="inlineStr">
        <is>
          <t>20.1.02.22-0006</t>
        </is>
      </c>
      <c r="D51" s="272" t="inlineStr">
        <is>
          <t>Ушко однолапчатое У1-12-16</t>
        </is>
      </c>
      <c r="E51" s="273" t="inlineStr">
        <is>
          <t>шт.</t>
        </is>
      </c>
      <c r="F51" s="241">
        <f>63+47+64+19+4</f>
        <v/>
      </c>
      <c r="G51" s="275" t="n">
        <v>137.86</v>
      </c>
      <c r="H51" s="243">
        <f>ROUND(F51*G51,2)</f>
        <v/>
      </c>
      <c r="K51" s="238" t="n"/>
    </row>
    <row r="52">
      <c r="A52" s="231">
        <f>A51+1</f>
        <v/>
      </c>
      <c r="B52" s="226" t="n"/>
      <c r="C52" s="225" t="inlineStr">
        <is>
          <t>01.7.15.10-0032</t>
        </is>
      </c>
      <c r="D52" s="272" t="inlineStr">
        <is>
          <t>Скоба СК-12-1А</t>
        </is>
      </c>
      <c r="E52" s="273" t="inlineStr">
        <is>
          <t>шт.</t>
        </is>
      </c>
      <c r="F52" s="241">
        <f>220+166+8</f>
        <v/>
      </c>
      <c r="G52" s="275" t="n">
        <v>54.7</v>
      </c>
      <c r="H52" s="243">
        <f>ROUND(F52*G52,2)</f>
        <v/>
      </c>
      <c r="K52" s="238" t="n"/>
    </row>
    <row r="53">
      <c r="A53" s="231">
        <f>A52+1</f>
        <v/>
      </c>
      <c r="B53" s="226" t="n"/>
      <c r="C53" s="225" t="inlineStr">
        <is>
          <t>20.1.01.05-0019</t>
        </is>
      </c>
      <c r="D53" s="272" t="inlineStr">
        <is>
          <t>Зажим заземляющий 3ПС 300-3</t>
        </is>
      </c>
      <c r="E53" s="273" t="inlineStr">
        <is>
          <t>шт</t>
        </is>
      </c>
      <c r="F53" s="241">
        <f>78+9+4</f>
        <v/>
      </c>
      <c r="G53" s="275" t="n">
        <v>209.79</v>
      </c>
      <c r="H53" s="243">
        <f>ROUND(F53*G53,2)</f>
        <v/>
      </c>
      <c r="K53" s="238" t="n"/>
    </row>
    <row r="54" ht="38.25" customHeight="1" s="214">
      <c r="A54" s="231">
        <f>A53+1</f>
        <v/>
      </c>
      <c r="B54" s="226" t="n"/>
      <c r="C54" s="225" t="inlineStr">
        <is>
          <t>20.1.01.12-0033</t>
        </is>
      </c>
      <c r="D54" s="272" t="inlineStr">
        <is>
          <t>Зажим поддерживающий спиральный ПС-15, 4П11 (прим. Зажим поддерживающий спиральный  ПСО-21.3/21.7П-33)</t>
        </is>
      </c>
      <c r="E54" s="273" t="inlineStr">
        <is>
          <t>шт</t>
        </is>
      </c>
      <c r="F54" s="241">
        <f>23+9</f>
        <v/>
      </c>
      <c r="G54" s="275" t="n">
        <v>374.91</v>
      </c>
      <c r="H54" s="243">
        <f>ROUND(F54*G54,2)</f>
        <v/>
      </c>
      <c r="K54" s="238" t="n"/>
    </row>
    <row r="55">
      <c r="A55" s="231">
        <f>A54+1</f>
        <v/>
      </c>
      <c r="B55" s="226" t="n"/>
      <c r="C55" s="225" t="inlineStr">
        <is>
          <t>22.2.02.04-0008</t>
        </is>
      </c>
      <c r="D55" s="272" t="inlineStr">
        <is>
          <t>Звено промежуточное монтажное ПТМ-12-2</t>
        </is>
      </c>
      <c r="E55" s="273" t="inlineStr">
        <is>
          <t>шт.</t>
        </is>
      </c>
      <c r="F55" s="241">
        <f>93+34+34+32+4</f>
        <v/>
      </c>
      <c r="G55" s="275" t="n">
        <v>57.83</v>
      </c>
      <c r="H55" s="243">
        <f>ROUND(F55*G55,2)</f>
        <v/>
      </c>
      <c r="K55" s="238" t="n"/>
    </row>
    <row r="56">
      <c r="A56" s="231">
        <f>A55+1</f>
        <v/>
      </c>
      <c r="B56" s="226" t="n"/>
      <c r="C56" s="225" t="inlineStr">
        <is>
          <t>20.1.02.22-0004</t>
        </is>
      </c>
      <c r="D56" s="272" t="inlineStr">
        <is>
          <t>Ушко однолапчатое укороченное У1К-7-16</t>
        </is>
      </c>
      <c r="E56" s="273" t="inlineStr">
        <is>
          <t>шт.</t>
        </is>
      </c>
      <c r="F56" s="241">
        <f>150+128+9+6</f>
        <v/>
      </c>
      <c r="G56" s="275" t="n">
        <v>35.75</v>
      </c>
      <c r="H56" s="243">
        <f>ROUND(F56*G56,2)</f>
        <v/>
      </c>
      <c r="K56" s="238" t="n"/>
    </row>
    <row r="57" ht="38.25" customHeight="1" s="214">
      <c r="A57" s="231">
        <f>A56+1</f>
        <v/>
      </c>
      <c r="B57" s="226" t="n"/>
      <c r="C57" s="225" t="inlineStr">
        <is>
          <t>20.5.04.08-0005</t>
        </is>
      </c>
      <c r="D57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3" t="inlineStr">
        <is>
          <t>шт.</t>
        </is>
      </c>
      <c r="F57" s="241">
        <f>28</f>
        <v/>
      </c>
      <c r="G57" s="275" t="n">
        <v>330.46</v>
      </c>
      <c r="H57" s="243">
        <f>ROUND(F57*G57,2)</f>
        <v/>
      </c>
      <c r="K57" s="238" t="n"/>
    </row>
    <row r="58">
      <c r="A58" s="231">
        <f>A57+1</f>
        <v/>
      </c>
      <c r="B58" s="226" t="n"/>
      <c r="C58" s="225" t="inlineStr">
        <is>
          <t>20.1.02.11-0004</t>
        </is>
      </c>
      <c r="D58" s="272" t="inlineStr">
        <is>
          <t>Протектор защитный спиральный ПЗС-15,2-13</t>
        </is>
      </c>
      <c r="E58" s="273" t="inlineStr">
        <is>
          <t>шт.</t>
        </is>
      </c>
      <c r="F58" s="241">
        <f>125+53+14+4</f>
        <v/>
      </c>
      <c r="G58" s="275" t="n">
        <v>43.66</v>
      </c>
      <c r="H58" s="243">
        <f>ROUND(F58*G58,2)</f>
        <v/>
      </c>
      <c r="K58" s="238" t="n"/>
    </row>
    <row r="59">
      <c r="A59" s="231">
        <f>A58+1</f>
        <v/>
      </c>
      <c r="B59" s="226" t="n"/>
      <c r="C59" s="225" t="inlineStr">
        <is>
          <t>01.7.15.10-0031</t>
        </is>
      </c>
      <c r="D59" s="272" t="inlineStr">
        <is>
          <t>Скоба СК-7-1А</t>
        </is>
      </c>
      <c r="E59" s="273" t="inlineStr">
        <is>
          <t>шт.</t>
        </is>
      </c>
      <c r="F59" s="241">
        <f>196+34+22+26+6+9</f>
        <v/>
      </c>
      <c r="G59" s="275" t="n">
        <v>28.07</v>
      </c>
      <c r="H59" s="243">
        <f>ROUND(F59*G59,2)</f>
        <v/>
      </c>
      <c r="K59" s="238" t="n"/>
    </row>
    <row r="60">
      <c r="A60" s="231">
        <f>A59+1</f>
        <v/>
      </c>
      <c r="B60" s="226" t="n"/>
      <c r="C60" s="225" t="inlineStr">
        <is>
          <t>20.1.02.21-0043</t>
        </is>
      </c>
      <c r="D60" s="272" t="inlineStr">
        <is>
          <t>Узел крепления КГП-7-3</t>
        </is>
      </c>
      <c r="E60" s="273" t="inlineStr">
        <is>
          <t>шт.</t>
        </is>
      </c>
      <c r="F60" s="241">
        <f>164+72+34+9+6</f>
        <v/>
      </c>
      <c r="G60" s="275" t="n">
        <v>25.55</v>
      </c>
      <c r="H60" s="243">
        <f>ROUND(F60*G60,2)</f>
        <v/>
      </c>
    </row>
    <row r="61" ht="25.5" customHeight="1" s="214">
      <c r="A61" s="231">
        <f>A60+1</f>
        <v/>
      </c>
      <c r="B61" s="226" t="n"/>
      <c r="C61" s="225" t="inlineStr">
        <is>
          <t>20.5.04.08-0002</t>
        </is>
      </c>
      <c r="D61" s="272" t="inlineStr">
        <is>
          <t>Зажим соединительный шлейфовый спиральный ШС-13,5-01</t>
        </is>
      </c>
      <c r="E61" s="273" t="inlineStr">
        <is>
          <t>шт.</t>
        </is>
      </c>
      <c r="F61" s="241" t="n">
        <v>51</v>
      </c>
      <c r="G61" s="275" t="n">
        <v>110.9</v>
      </c>
      <c r="H61" s="243">
        <f>ROUND(F61*G61,2)</f>
        <v/>
      </c>
    </row>
    <row r="62" ht="51" customHeight="1" s="214">
      <c r="A62" s="231">
        <f>A61+1</f>
        <v/>
      </c>
      <c r="B62" s="226" t="n"/>
      <c r="C62" s="225" t="inlineStr">
        <is>
          <t>21.2.01.02-0088</t>
        </is>
      </c>
      <c r="D62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3" t="inlineStr">
        <is>
          <t>т</t>
        </is>
      </c>
      <c r="F62" s="241">
        <f>0.0616+0.033+0.024+0.016+0.007+0.0098+0.0045</f>
        <v/>
      </c>
      <c r="G62" s="275" t="n">
        <v>31961.67</v>
      </c>
      <c r="H62" s="243">
        <f>ROUND(F62*G62,2)</f>
        <v/>
      </c>
    </row>
    <row r="63">
      <c r="A63" s="231">
        <f>A62+1</f>
        <v/>
      </c>
      <c r="B63" s="226" t="n"/>
      <c r="C63" s="225" t="inlineStr">
        <is>
          <t>20.1.01.11-0002</t>
        </is>
      </c>
      <c r="D63" s="272" t="inlineStr">
        <is>
          <t>Зажим плашечный соединительный ПА-6-1</t>
        </is>
      </c>
      <c r="E63" s="273" t="inlineStr">
        <is>
          <t>шт.</t>
        </is>
      </c>
      <c r="F63" s="241">
        <f>31+38</f>
        <v/>
      </c>
      <c r="G63" s="275" t="n">
        <v>59.16</v>
      </c>
      <c r="H63" s="243">
        <f>ROUND(F63*G63,2)</f>
        <v/>
      </c>
    </row>
    <row r="64" ht="38.25" customHeight="1" s="214">
      <c r="A64" s="231">
        <f>A63+1</f>
        <v/>
      </c>
      <c r="B64" s="226" t="n"/>
      <c r="C64" s="225" t="inlineStr">
        <is>
          <t>01.7.15.03-0022</t>
        </is>
      </c>
      <c r="D64" s="272" t="inlineStr">
        <is>
          <t>Болты с гайками и шайбами оцинкованные для монтажа стальных конструкций, диаметр 16 мм, длина 55-200 мм</t>
        </is>
      </c>
      <c r="E64" s="273" t="inlineStr">
        <is>
          <t>т</t>
        </is>
      </c>
      <c r="F64" s="241">
        <f>0.146087+0.0146+0.0113+0.0081+0.0037+0.97/1000+0.37/1000+0.185/1000</f>
        <v/>
      </c>
      <c r="G64" s="275" t="n">
        <v>18796.65</v>
      </c>
      <c r="H64" s="243">
        <f>ROUND(F64*G64,2)</f>
        <v/>
      </c>
    </row>
    <row r="65" ht="25.5" customHeight="1" s="214">
      <c r="A65" s="231">
        <f>A64+1</f>
        <v/>
      </c>
      <c r="B65" s="226" t="n"/>
      <c r="C65" s="225" t="inlineStr">
        <is>
          <t>20.1.02.21-0032</t>
        </is>
      </c>
      <c r="D65" s="272" t="inlineStr">
        <is>
          <t>Узел крепления КГ-12-3 (прим. Узел подвески УПШ-03-01)</t>
        </is>
      </c>
      <c r="E65" s="273" t="inlineStr">
        <is>
          <t>шт.</t>
        </is>
      </c>
      <c r="F65" s="241" t="n">
        <v>44</v>
      </c>
      <c r="G65" s="275" t="n">
        <v>63.73</v>
      </c>
      <c r="H65" s="243">
        <f>ROUND(F65*G65,2)</f>
        <v/>
      </c>
    </row>
    <row r="66">
      <c r="A66" s="231">
        <f>A65+1</f>
        <v/>
      </c>
      <c r="B66" s="226" t="n"/>
      <c r="C66" s="225" t="inlineStr">
        <is>
          <t>20.1.02.14-1014</t>
        </is>
      </c>
      <c r="D66" s="272" t="inlineStr">
        <is>
          <t>Серьга СР-7-16</t>
        </is>
      </c>
      <c r="E66" s="273" t="inlineStr">
        <is>
          <t>шт.</t>
        </is>
      </c>
      <c r="F66" s="241">
        <f>46+34+26+172+9+6</f>
        <v/>
      </c>
      <c r="G66" s="275" t="n">
        <v>9.359999999999999</v>
      </c>
      <c r="H66" s="243">
        <f>ROUND(F66*G66,2)</f>
        <v/>
      </c>
    </row>
    <row r="67">
      <c r="A67" s="231">
        <f>A66+1</f>
        <v/>
      </c>
      <c r="B67" s="226" t="n"/>
      <c r="C67" s="225" t="inlineStr">
        <is>
          <t>20.1.02.14-1006</t>
        </is>
      </c>
      <c r="D67" s="272" t="inlineStr">
        <is>
          <t>Серьга СР-12-16</t>
        </is>
      </c>
      <c r="E67" s="273" t="inlineStr">
        <is>
          <t>шт.</t>
        </is>
      </c>
      <c r="F67" s="241">
        <f>97+34+30+19+13+4</f>
        <v/>
      </c>
      <c r="G67" s="275" t="n">
        <v>13.29</v>
      </c>
      <c r="H67" s="243">
        <f>ROUND(F67*G67,2)</f>
        <v/>
      </c>
    </row>
    <row r="68" ht="51" customHeight="1" s="214">
      <c r="A68" s="231">
        <f>A67+1</f>
        <v/>
      </c>
      <c r="B68" s="226" t="n"/>
      <c r="C68" s="225" t="inlineStr">
        <is>
          <t>01.5.03.03-0031</t>
        </is>
      </c>
      <c r="D68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3" t="inlineStr">
        <is>
          <t>шт.</t>
        </is>
      </c>
      <c r="F68" s="241">
        <f>16+6</f>
        <v/>
      </c>
      <c r="G68" s="275" t="n">
        <v>112.6</v>
      </c>
      <c r="H68" s="243">
        <f>ROUND(F68*G68,2)</f>
        <v/>
      </c>
    </row>
    <row r="69" ht="51" customHeight="1" s="214">
      <c r="A69" s="231">
        <f>A68+1</f>
        <v/>
      </c>
      <c r="B69" s="226" t="n"/>
      <c r="C69" s="225" t="inlineStr">
        <is>
          <t>21.2.01.02-0093</t>
        </is>
      </c>
      <c r="D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3" t="inlineStr">
        <is>
          <t>т</t>
        </is>
      </c>
      <c r="F69" s="241">
        <f>0.0553+0.0098+0.0037</f>
        <v/>
      </c>
      <c r="G69" s="275" t="n">
        <v>32752.18</v>
      </c>
      <c r="H69" s="243">
        <f>ROUND(F69*G69,2)</f>
        <v/>
      </c>
    </row>
    <row r="70" ht="25.5" customHeight="1" s="214">
      <c r="A70" s="231">
        <f>A69+1</f>
        <v/>
      </c>
      <c r="B70" s="226" t="n"/>
      <c r="C70" s="225" t="inlineStr">
        <is>
          <t>20.2.09.13-0038</t>
        </is>
      </c>
      <c r="D70" s="272" t="inlineStr">
        <is>
          <t>Муфта свинцовая П-1200 (прим. Комплект для ввода ОКСН (ДПМ) в муфту КВСц6-22)</t>
        </is>
      </c>
      <c r="E70" s="273" t="inlineStr">
        <is>
          <t>шт</t>
        </is>
      </c>
      <c r="F70" s="241" t="n">
        <v>2</v>
      </c>
      <c r="G70" s="275" t="n">
        <v>873.46</v>
      </c>
      <c r="H70" s="243">
        <f>ROUND(F70*G70,2)</f>
        <v/>
      </c>
    </row>
    <row r="71">
      <c r="A71" s="231">
        <f>A70+1</f>
        <v/>
      </c>
      <c r="B71" s="226" t="n"/>
      <c r="C71" s="225" t="inlineStr">
        <is>
          <t>20.1.01.11-0006</t>
        </is>
      </c>
      <c r="D71" s="272" t="inlineStr">
        <is>
          <t>Зажим плашечный соединительный ПА 3-2</t>
        </is>
      </c>
      <c r="E71" s="273" t="inlineStr">
        <is>
          <t>шт.</t>
        </is>
      </c>
      <c r="F71" s="241">
        <f>67+43+19</f>
        <v/>
      </c>
      <c r="G71" s="275" t="n">
        <v>12.24</v>
      </c>
      <c r="H71" s="243">
        <f>ROUND(F71*G71,2)</f>
        <v/>
      </c>
    </row>
    <row r="72">
      <c r="A72" s="231">
        <f>A71+1</f>
        <v/>
      </c>
      <c r="B72" s="226" t="n"/>
      <c r="C72" s="225" t="inlineStr">
        <is>
          <t>01.7.15.10-0035</t>
        </is>
      </c>
      <c r="D72" s="272" t="inlineStr">
        <is>
          <t>Скобы СК-21-1А (прим. Скоба СК-70-1Б)</t>
        </is>
      </c>
      <c r="E72" s="273" t="inlineStr">
        <is>
          <t>шт</t>
        </is>
      </c>
      <c r="F72" s="241" t="n">
        <v>8</v>
      </c>
      <c r="G72" s="275" t="n">
        <v>116.92</v>
      </c>
      <c r="H72" s="243">
        <f>ROUND(F72*G72,2)</f>
        <v/>
      </c>
    </row>
    <row r="73">
      <c r="A73" s="231">
        <f>A72+1</f>
        <v/>
      </c>
      <c r="B73" s="226" t="n"/>
      <c r="C73" s="225" t="inlineStr">
        <is>
          <t>08.1.02.25-0011</t>
        </is>
      </c>
      <c r="D73" s="272" t="inlineStr">
        <is>
          <t>Детали крепления</t>
        </is>
      </c>
      <c r="E73" s="273" t="inlineStr">
        <is>
          <t>компл.</t>
        </is>
      </c>
      <c r="F73" s="241" t="n">
        <v>22</v>
      </c>
      <c r="G73" s="275" t="n">
        <v>25.46</v>
      </c>
      <c r="H73" s="243">
        <f>ROUND(F73*G73,2)</f>
        <v/>
      </c>
    </row>
    <row r="74">
      <c r="A74" s="231">
        <f>A73+1</f>
        <v/>
      </c>
      <c r="B74" s="226" t="n"/>
      <c r="C74" s="225" t="inlineStr">
        <is>
          <t>01.3.01.07-0009</t>
        </is>
      </c>
      <c r="D74" s="272" t="inlineStr">
        <is>
          <t>Спирт этиловый ректификованный технический, сорт I</t>
        </is>
      </c>
      <c r="E74" s="273" t="inlineStr">
        <is>
          <t>кг</t>
        </is>
      </c>
      <c r="F74" s="241">
        <f>2.25+0.6+0.3+0.15</f>
        <v/>
      </c>
      <c r="G74" s="275" t="n">
        <v>38.89</v>
      </c>
      <c r="H74" s="243">
        <f>ROUND(F74*G74,2)</f>
        <v/>
      </c>
    </row>
    <row r="75">
      <c r="A75" s="231">
        <f>A74+1</f>
        <v/>
      </c>
      <c r="B75" s="226" t="n"/>
      <c r="C75" s="225" t="inlineStr">
        <is>
          <t>999-9950</t>
        </is>
      </c>
      <c r="D75" s="272" t="inlineStr">
        <is>
          <t>Вспомогательные ненормируемые материалы</t>
        </is>
      </c>
      <c r="E75" s="273" t="inlineStr">
        <is>
          <t>руб</t>
        </is>
      </c>
      <c r="F75" s="241" t="n">
        <v>91.3</v>
      </c>
      <c r="G75" s="275" t="n">
        <v>1</v>
      </c>
      <c r="H75" s="243">
        <f>ROUND(F75*G75,2)</f>
        <v/>
      </c>
    </row>
    <row r="76">
      <c r="K76" s="244" t="n"/>
    </row>
    <row r="77" ht="25.5" customHeight="1" s="214">
      <c r="A77" t="inlineStr">
        <is>
          <t>`</t>
        </is>
      </c>
      <c r="B77" s="216" t="inlineStr">
        <is>
          <t xml:space="preserve">Примечание: </t>
        </is>
      </c>
      <c r="C77" s="26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45" t="inlineStr">
        <is>
          <t>Составил ______________________     Е. М. Добровольская</t>
        </is>
      </c>
      <c r="C81" s="246" t="n"/>
    </row>
    <row r="82">
      <c r="B82" s="247" t="inlineStr">
        <is>
          <t xml:space="preserve">                         (подпись, инициалы, фамилия)</t>
        </is>
      </c>
      <c r="C82" s="246" t="n"/>
    </row>
    <row r="83">
      <c r="B83" s="245" t="n"/>
      <c r="C83" s="246" t="n"/>
    </row>
    <row r="84">
      <c r="B84" s="245" t="inlineStr">
        <is>
          <t>Проверил ______________________        А.В. Костянецкая</t>
        </is>
      </c>
      <c r="C84" s="246" t="n"/>
    </row>
    <row r="85">
      <c r="B85" s="247" t="inlineStr">
        <is>
          <t xml:space="preserve">                        (подпись, инициалы, фамилия)</t>
        </is>
      </c>
      <c r="C85" s="246" t="n"/>
    </row>
  </sheetData>
  <mergeCells count="18">
    <mergeCell ref="A21:E21"/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19:E19"/>
    <mergeCell ref="A37:E37"/>
    <mergeCell ref="A7:C7"/>
    <mergeCell ref="G9:H9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2.85546875" customWidth="1" style="214" min="7" max="7"/>
    <col width="13.5703125" customWidth="1" style="214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292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248" t="inlineStr">
        <is>
          <t>Ресурсная модель</t>
        </is>
      </c>
    </row>
    <row r="6">
      <c r="B6" s="248" t="n"/>
      <c r="C6" s="248" t="n"/>
      <c r="D6" s="248" t="n"/>
      <c r="E6" s="248" t="n"/>
    </row>
    <row r="7" ht="34.5" customHeight="1" s="214">
      <c r="B7" s="271" t="inlineStr">
        <is>
          <t xml:space="preserve">Наименование разрабатываемого показателя УНЦ - </t>
        </is>
      </c>
      <c r="D7" s="271" t="inlineStr">
        <is>
          <t>ОКГТ механическая прочность на разрыв 233кН, количество волокон 24 шт.</t>
        </is>
      </c>
    </row>
    <row r="8">
      <c r="B8" s="270">
        <f>'Прил.1 Сравнит табл'!B8</f>
        <v/>
      </c>
    </row>
    <row r="9">
      <c r="B9" s="118" t="n"/>
      <c r="C9" s="245" t="n"/>
      <c r="D9" s="245" t="n"/>
      <c r="E9" s="245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202">
        <f>'Прил.5 Расчет СМР и ОБ'!J43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4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6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6" t="n"/>
      <c r="L37" s="120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ОБ'!E90</f>
        <v/>
      </c>
      <c r="D41" s="25" t="n"/>
      <c r="E41" s="25" t="n"/>
    </row>
    <row r="42">
      <c r="B42" s="121" t="n"/>
      <c r="C42" s="245" t="n"/>
      <c r="D42" s="245" t="n"/>
      <c r="E42" s="245" t="n"/>
    </row>
    <row r="43">
      <c r="B43" s="121" t="inlineStr">
        <is>
          <t>Составил ____________________________  Е. М. Добровольская</t>
        </is>
      </c>
      <c r="C43" s="245" t="n"/>
      <c r="D43" s="245" t="n"/>
      <c r="E43" s="245" t="n"/>
    </row>
    <row r="44">
      <c r="B44" s="121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21" t="n"/>
      <c r="C45" s="245" t="n"/>
      <c r="D45" s="245" t="n"/>
      <c r="E45" s="245" t="n"/>
    </row>
    <row r="46">
      <c r="B46" s="121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270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46" min="1" max="1"/>
    <col width="22.5703125" customWidth="1" style="246" min="2" max="2"/>
    <col width="39.140625" customWidth="1" style="246" min="3" max="3"/>
    <col width="10.7109375" customWidth="1" style="246" min="4" max="4"/>
    <col width="12.7109375" customWidth="1" style="246" min="5" max="5"/>
    <col width="14.5703125" customWidth="1" style="246" min="6" max="6"/>
    <col width="13.42578125" customWidth="1" style="246" min="7" max="7"/>
    <col width="12.7109375" customWidth="1" style="246" min="8" max="8"/>
    <col width="14.5703125" customWidth="1" style="246" min="9" max="9"/>
    <col width="15.140625" customWidth="1" style="246" min="10" max="10"/>
    <col width="22.42578125" customWidth="1" style="246" min="11" max="11"/>
    <col width="20.28515625" customWidth="1" style="246" min="12" max="12"/>
    <col width="10.85546875" customWidth="1" style="246" min="13" max="13"/>
    <col width="9.140625" customWidth="1" style="246" min="14" max="14"/>
  </cols>
  <sheetData>
    <row r="2" ht="15.75" customHeight="1" s="214">
      <c r="I2" s="212" t="n"/>
      <c r="J2" s="158" t="inlineStr">
        <is>
          <t>Приложение №5</t>
        </is>
      </c>
    </row>
    <row r="4" ht="12.75" customFormat="1" customHeight="1" s="245">
      <c r="A4" s="248" t="inlineStr">
        <is>
          <t>Расчет стоимости СМР и оборудования</t>
        </is>
      </c>
      <c r="I4" s="248" t="n"/>
      <c r="J4" s="248" t="n"/>
    </row>
    <row r="5" ht="12.75" customFormat="1" customHeight="1" s="245">
      <c r="A5" s="248" t="n"/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</row>
    <row r="6" ht="26.25" customFormat="1" customHeight="1" s="245">
      <c r="A6" s="251" t="inlineStr">
        <is>
          <t xml:space="preserve">Наименование разрабатываемого показателя УНЦ </t>
        </is>
      </c>
      <c r="D6" s="251" t="inlineStr">
        <is>
          <t>ОКГТ механическая прочность на разрыв 233кН, количество волокон 24 шт.</t>
        </is>
      </c>
    </row>
    <row r="7" ht="25.5" customFormat="1" customHeight="1" s="245">
      <c r="A7" s="251">
        <f>'Прил.1 Сравнит табл'!B8</f>
        <v/>
      </c>
      <c r="I7" s="271" t="n"/>
      <c r="J7" s="271" t="n"/>
    </row>
    <row r="8" ht="12.75" customFormat="1" customHeight="1" s="245"/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3" t="n">
        <v>9</v>
      </c>
      <c r="J11" s="273" t="n">
        <v>10</v>
      </c>
    </row>
    <row r="12">
      <c r="A12" s="273" t="n"/>
      <c r="B12" s="268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41" t="n"/>
      <c r="J12" s="141" t="n"/>
    </row>
    <row r="13" ht="30" customHeight="1" s="214">
      <c r="A13" s="273" t="n">
        <v>1</v>
      </c>
      <c r="B13" s="145" t="inlineStr">
        <is>
          <t>1-4-1</t>
        </is>
      </c>
      <c r="C13" s="27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241">
        <f>Прил.3!F13+Прил.3!F14+Прил.3!F15+Прил.3!F16+Прил.3!F17</f>
        <v/>
      </c>
      <c r="F13" s="243" t="n">
        <v>9.76</v>
      </c>
      <c r="G13" s="243">
        <f>ROUND(E13*F13,2)</f>
        <v/>
      </c>
      <c r="H13" s="277">
        <f>G13/G15</f>
        <v/>
      </c>
      <c r="I13" s="243">
        <f>ФОТр.тек.!E13</f>
        <v/>
      </c>
      <c r="J13" s="243">
        <f>ROUND(I13*E13,2)</f>
        <v/>
      </c>
    </row>
    <row r="14" ht="30" customHeight="1" s="214">
      <c r="A14" s="273">
        <f>A13+1</f>
        <v/>
      </c>
      <c r="B14" s="145" t="inlineStr">
        <is>
          <t>10-3-1</t>
        </is>
      </c>
      <c r="C14" s="272" t="inlineStr">
        <is>
          <t>Инженер I категории</t>
        </is>
      </c>
      <c r="D14" s="273" t="inlineStr">
        <is>
          <t>чел.-ч.</t>
        </is>
      </c>
      <c r="E14" s="241">
        <f>Прил.3!F18</f>
        <v/>
      </c>
      <c r="F14" s="243" t="n">
        <v>15.49</v>
      </c>
      <c r="G14" s="243">
        <f>ROUND(E14*F14,2)</f>
        <v/>
      </c>
      <c r="H14" s="277">
        <f>G14/G15</f>
        <v/>
      </c>
      <c r="I14" s="243">
        <f>ФОТр.тек.!E21</f>
        <v/>
      </c>
      <c r="J14" s="243">
        <f>ROUND(I14*E14,2)</f>
        <v/>
      </c>
    </row>
    <row r="15" ht="25.5" customFormat="1" customHeight="1" s="246">
      <c r="A15" s="273" t="n"/>
      <c r="B15" s="273" t="n"/>
      <c r="C15" s="268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241">
        <f>SUM(E13:E14)</f>
        <v/>
      </c>
      <c r="F15" s="243" t="n"/>
      <c r="G15" s="243">
        <f>SUM(G13:G14)</f>
        <v/>
      </c>
      <c r="H15" s="277" t="n">
        <v>1</v>
      </c>
      <c r="I15" s="243" t="n"/>
      <c r="J15" s="243">
        <f>J14+J13</f>
        <v/>
      </c>
      <c r="K15" s="143" t="n"/>
    </row>
    <row r="16" ht="14.25" customFormat="1" customHeight="1" s="246">
      <c r="A16" s="273" t="n"/>
      <c r="B16" s="272" t="inlineStr">
        <is>
          <t>Затраты труда машинистов</t>
        </is>
      </c>
      <c r="C16" s="343" t="n"/>
      <c r="D16" s="343" t="n"/>
      <c r="E16" s="343" t="n"/>
      <c r="F16" s="343" t="n"/>
      <c r="G16" s="343" t="n"/>
      <c r="H16" s="344" t="n"/>
      <c r="I16" s="141" t="n"/>
      <c r="J16" s="141" t="n"/>
    </row>
    <row r="17" ht="14.25" customFormat="1" customHeight="1" s="246">
      <c r="A17" s="273" t="n">
        <v>3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241">
        <f>Прил.3!F20</f>
        <v/>
      </c>
      <c r="F17" s="243">
        <f>G17/E17</f>
        <v/>
      </c>
      <c r="G17" s="243">
        <f>Прил.3!H20</f>
        <v/>
      </c>
      <c r="H17" s="277" t="n">
        <v>1</v>
      </c>
      <c r="I17" s="243">
        <f>ROUND(F17*Прил.10!D10,2)</f>
        <v/>
      </c>
      <c r="J17" s="243">
        <f>ROUND(I17*E17,2)</f>
        <v/>
      </c>
      <c r="L17" s="154" t="n"/>
    </row>
    <row r="18" ht="14.25" customFormat="1" customHeight="1" s="246">
      <c r="A18" s="273" t="n"/>
      <c r="B18" s="268" t="inlineStr">
        <is>
          <t>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277" t="n"/>
      <c r="J18" s="277" t="n"/>
    </row>
    <row r="19" ht="14.25" customFormat="1" customHeight="1" s="246">
      <c r="A19" s="273" t="n"/>
      <c r="B19" s="272" t="inlineStr">
        <is>
          <t>Основные машины и механизмы</t>
        </is>
      </c>
      <c r="C19" s="343" t="n"/>
      <c r="D19" s="343" t="n"/>
      <c r="E19" s="343" t="n"/>
      <c r="F19" s="343" t="n"/>
      <c r="G19" s="343" t="n"/>
      <c r="H19" s="344" t="n"/>
      <c r="I19" s="141" t="n"/>
      <c r="J19" s="141" t="n"/>
    </row>
    <row r="20" ht="25.5" customFormat="1" customHeight="1" s="246">
      <c r="A20" s="273">
        <f>A17+1</f>
        <v/>
      </c>
      <c r="B20" s="145" t="inlineStr">
        <is>
          <t>91.06.06-014</t>
        </is>
      </c>
      <c r="C20" s="272" t="inlineStr">
        <is>
          <t>Автогидроподъемники, высота подъема 28 м</t>
        </is>
      </c>
      <c r="D20" s="273" t="inlineStr">
        <is>
          <t>маш.-ч</t>
        </is>
      </c>
      <c r="E20" s="241" t="n">
        <v>298.179088</v>
      </c>
      <c r="F20" s="47" t="n">
        <v>243.49</v>
      </c>
      <c r="G20" s="243">
        <f>ROUND(E20*F20,2)</f>
        <v/>
      </c>
      <c r="H20" s="277">
        <f>G20/$G$37</f>
        <v/>
      </c>
      <c r="I20" s="243">
        <f>ROUND(F20*Прил.10!$D$11,2)</f>
        <v/>
      </c>
      <c r="J20" s="243">
        <f>ROUND(I20*E20,2)</f>
        <v/>
      </c>
    </row>
    <row r="21" ht="25.5" customFormat="1" customHeight="1" s="246">
      <c r="A21" s="273">
        <f>A20+1</f>
        <v/>
      </c>
      <c r="B21" s="145" t="inlineStr">
        <is>
          <t>91.11.02-021</t>
        </is>
      </c>
      <c r="C21" s="272" t="inlineStr">
        <is>
          <t>Комплексы для монтажа проводов методом "под тяжением"</t>
        </is>
      </c>
      <c r="D21" s="273" t="inlineStr">
        <is>
          <t>маш.-ч</t>
        </is>
      </c>
      <c r="E21" s="241" t="n">
        <v>109.116778</v>
      </c>
      <c r="F21" s="47" t="n">
        <v>637.76</v>
      </c>
      <c r="G21" s="243">
        <f>ROUND(E21*F21,2)</f>
        <v/>
      </c>
      <c r="H21" s="277">
        <f>G21/$G$37</f>
        <v/>
      </c>
      <c r="I21" s="243">
        <f>ROUND(F21*Прил.10!$D$11,2)</f>
        <v/>
      </c>
      <c r="J21" s="243">
        <f>ROUND(I21*E21,2)</f>
        <v/>
      </c>
    </row>
    <row r="22" ht="25.5" customFormat="1" customHeight="1" s="246">
      <c r="A22" s="273">
        <f>A21+1</f>
        <v/>
      </c>
      <c r="B22" s="145" t="inlineStr">
        <is>
          <t>91.15.02-029</t>
        </is>
      </c>
      <c r="C22" s="272" t="inlineStr">
        <is>
          <t>Тракторы на гусеничном ходу с лебедкой 132 кВт (180 л.с.)</t>
        </is>
      </c>
      <c r="D22" s="273" t="inlineStr">
        <is>
          <t>маш.-ч</t>
        </is>
      </c>
      <c r="E22" s="241" t="n">
        <v>398.001999</v>
      </c>
      <c r="F22" s="47" t="n">
        <v>147.43</v>
      </c>
      <c r="G22" s="243">
        <f>ROUND(E22*F22,2)</f>
        <v/>
      </c>
      <c r="H22" s="277">
        <f>G22/$G$37</f>
        <v/>
      </c>
      <c r="I22" s="243">
        <f>ROUND(F22*Прил.10!$D$11,2)</f>
        <v/>
      </c>
      <c r="J22" s="243">
        <f>ROUND(I22*E22,2)</f>
        <v/>
      </c>
    </row>
    <row r="23" ht="25.5" customFormat="1" customHeight="1" s="246">
      <c r="A23" s="273">
        <f>A22+1</f>
        <v/>
      </c>
      <c r="B23" s="145" t="inlineStr">
        <is>
          <t>91.05.05-016</t>
        </is>
      </c>
      <c r="C23" s="272" t="inlineStr">
        <is>
          <t>Краны на автомобильном ходу, грузоподъемность 25 т</t>
        </is>
      </c>
      <c r="D23" s="273" t="inlineStr">
        <is>
          <t>маш.-ч</t>
        </is>
      </c>
      <c r="E23" s="241" t="n">
        <v>119.015512</v>
      </c>
      <c r="F23" s="47" t="n">
        <v>476.43</v>
      </c>
      <c r="G23" s="243">
        <f>ROUND(E23*F23,2)</f>
        <v/>
      </c>
      <c r="H23" s="277">
        <f>G23/$G$37</f>
        <v/>
      </c>
      <c r="I23" s="243">
        <f>ROUND(F23*Прил.10!$D$11,2)</f>
        <v/>
      </c>
      <c r="J23" s="243">
        <f>ROUND(I23*E23,2)</f>
        <v/>
      </c>
    </row>
    <row r="24" ht="14.25" customFormat="1" customHeight="1" s="246">
      <c r="A24" s="273" t="n"/>
      <c r="B24" s="273" t="n"/>
      <c r="C24" s="272" t="inlineStr">
        <is>
          <t>Итого основные машины и механизмы</t>
        </is>
      </c>
      <c r="D24" s="273" t="n"/>
      <c r="E24" s="146" t="n"/>
      <c r="F24" s="243" t="n"/>
      <c r="G24" s="243">
        <f>SUM(G20:G23)</f>
        <v/>
      </c>
      <c r="H24" s="277">
        <f>G24/G37</f>
        <v/>
      </c>
      <c r="I24" s="243" t="n"/>
      <c r="J24" s="243">
        <f>SUM(J20:J23)</f>
        <v/>
      </c>
      <c r="L24" s="143" t="n"/>
    </row>
    <row r="25" hidden="1" outlineLevel="1" ht="14.25" customFormat="1" customHeight="1" s="246">
      <c r="A25" s="273" t="n"/>
      <c r="B25" s="145" t="inlineStr">
        <is>
          <t>91.14.04-002</t>
        </is>
      </c>
      <c r="C25" s="272" t="inlineStr">
        <is>
          <t>Тягачи седельные, грузоподъемность 15 т</t>
        </is>
      </c>
      <c r="D25" s="273" t="inlineStr">
        <is>
          <t>маш.-ч</t>
        </is>
      </c>
      <c r="E25" s="241" t="n">
        <v>160.6995124</v>
      </c>
      <c r="F25" s="47" t="n">
        <v>94.38</v>
      </c>
      <c r="G25" s="243">
        <f>ROUND(E25*F25,2)</f>
        <v/>
      </c>
      <c r="H25" s="277">
        <f>G25/$G$37</f>
        <v/>
      </c>
      <c r="I25" s="243">
        <f>ROUND(F25*Прил.10!$D$11,2)</f>
        <v/>
      </c>
      <c r="J25" s="243">
        <f>ROUND(I25*E25,2)</f>
        <v/>
      </c>
      <c r="L25" s="143" t="n"/>
    </row>
    <row r="26" hidden="1" outlineLevel="1" ht="25.5" customFormat="1" customHeight="1" s="246">
      <c r="A26" s="273" t="n"/>
      <c r="B26" s="145" t="inlineStr">
        <is>
          <t>91.16.01-002</t>
        </is>
      </c>
      <c r="C26" s="272" t="inlineStr">
        <is>
          <t>Электростанции передвижные, мощность 4 кВт</t>
        </is>
      </c>
      <c r="D26" s="273" t="inlineStr">
        <is>
          <t>маш.-ч</t>
        </is>
      </c>
      <c r="E26" s="241" t="n">
        <v>145.92</v>
      </c>
      <c r="F26" s="47" t="n">
        <v>27.11</v>
      </c>
      <c r="G26" s="243">
        <f>ROUND(E26*F26,2)</f>
        <v/>
      </c>
      <c r="H26" s="277">
        <f>G26/$G$37</f>
        <v/>
      </c>
      <c r="I26" s="243">
        <f>ROUND(F26*Прил.10!$D$11,2)</f>
        <v/>
      </c>
      <c r="J26" s="243">
        <f>ROUND(I26*E26,2)</f>
        <v/>
      </c>
      <c r="L26" s="143" t="n"/>
    </row>
    <row r="27" hidden="1" outlineLevel="1" ht="25.5" customFormat="1" customHeight="1" s="246">
      <c r="A27" s="273" t="n"/>
      <c r="B27" s="145" t="inlineStr">
        <is>
          <t>91.14.05-012</t>
        </is>
      </c>
      <c r="C27" s="272" t="inlineStr">
        <is>
          <t>Полуприцепы общего назначения, грузоподъемность 15 т</t>
        </is>
      </c>
      <c r="D27" s="273" t="inlineStr">
        <is>
          <t>маш.-ч</t>
        </is>
      </c>
      <c r="E27" s="241" t="n">
        <v>160.6995124</v>
      </c>
      <c r="F27" s="47" t="n">
        <v>19.76</v>
      </c>
      <c r="G27" s="243">
        <f>ROUND(E27*F27,2)</f>
        <v/>
      </c>
      <c r="H27" s="277">
        <f>G27/$G$37</f>
        <v/>
      </c>
      <c r="I27" s="243">
        <f>ROUND(F27*Прил.10!$D$11,2)</f>
        <v/>
      </c>
      <c r="J27" s="243">
        <f>ROUND(I27*E27,2)</f>
        <v/>
      </c>
      <c r="L27" s="143" t="n"/>
    </row>
    <row r="28" hidden="1" outlineLevel="1" ht="25.5" customFormat="1" customHeight="1" s="246">
      <c r="A28" s="273" t="n"/>
      <c r="B28" s="145" t="inlineStr">
        <is>
          <t>91.14.02-004</t>
        </is>
      </c>
      <c r="C28" s="272" t="inlineStr">
        <is>
          <t>Автомобили бортовые, грузоподъемность до 15 т</t>
        </is>
      </c>
      <c r="D28" s="273" t="inlineStr">
        <is>
          <t>маш.-ч</t>
        </is>
      </c>
      <c r="E28" s="241" t="n">
        <v>32.456039</v>
      </c>
      <c r="F28" s="47" t="n">
        <v>92.94</v>
      </c>
      <c r="G28" s="243">
        <f>ROUND(E28*F28,2)</f>
        <v/>
      </c>
      <c r="H28" s="277">
        <f>G28/$G$37</f>
        <v/>
      </c>
      <c r="I28" s="243">
        <f>ROUND(F28*Прил.10!$D$11,2)</f>
        <v/>
      </c>
      <c r="J28" s="243">
        <f>ROUND(I28*E28,2)</f>
        <v/>
      </c>
      <c r="L28" s="143" t="n"/>
    </row>
    <row r="29" hidden="1" outlineLevel="1" ht="25.5" customFormat="1" customHeight="1" s="246">
      <c r="A29" s="273" t="n"/>
      <c r="B29" s="145" t="inlineStr">
        <is>
          <t>91.13.03-111</t>
        </is>
      </c>
      <c r="C29" s="272" t="inlineStr">
        <is>
          <t>Спецавтомобили-вездеходы, грузоподъемность до 8 т</t>
        </is>
      </c>
      <c r="D29" s="273" t="inlineStr">
        <is>
          <t>маш.-ч</t>
        </is>
      </c>
      <c r="E29" s="241" t="n">
        <v>12.9156</v>
      </c>
      <c r="F29" s="47" t="n">
        <v>189.95</v>
      </c>
      <c r="G29" s="243">
        <f>ROUND(E29*F29,2)</f>
        <v/>
      </c>
      <c r="H29" s="277">
        <f>G29/$G$37</f>
        <v/>
      </c>
      <c r="I29" s="243">
        <f>ROUND(F29*Прил.10!$D$11,2)</f>
        <v/>
      </c>
      <c r="J29" s="243">
        <f>ROUND(I29*E29,2)</f>
        <v/>
      </c>
      <c r="L29" s="143" t="n"/>
    </row>
    <row r="30" hidden="1" outlineLevel="1" ht="14.25" customFormat="1" customHeight="1" s="246">
      <c r="A30" s="273" t="n"/>
      <c r="B30" s="145" t="inlineStr">
        <is>
          <t>91.21.22-341</t>
        </is>
      </c>
      <c r="C30" s="272" t="inlineStr">
        <is>
          <t>Рефлектометры</t>
        </is>
      </c>
      <c r="D30" s="273" t="inlineStr">
        <is>
          <t>маш.-ч</t>
        </is>
      </c>
      <c r="E30" s="241" t="n">
        <v>170.88</v>
      </c>
      <c r="F30" s="47" t="n">
        <v>10.62</v>
      </c>
      <c r="G30" s="243">
        <f>ROUND(E30*F30,2)</f>
        <v/>
      </c>
      <c r="H30" s="277">
        <f>G30/$G$37</f>
        <v/>
      </c>
      <c r="I30" s="243">
        <f>ROUND(F30*Прил.10!$D$11,2)</f>
        <v/>
      </c>
      <c r="J30" s="243">
        <f>ROUND(I30*E30,2)</f>
        <v/>
      </c>
      <c r="L30" s="143" t="n"/>
    </row>
    <row r="31" hidden="1" outlineLevel="1" ht="25.5" customFormat="1" customHeight="1" s="246">
      <c r="A31" s="273" t="n"/>
      <c r="B31" s="145" t="inlineStr">
        <is>
          <t>91.17.04-194</t>
        </is>
      </c>
      <c r="C31" s="272" t="inlineStr">
        <is>
          <t>Аппараты сварочные для сварки оптических кабелей со скалывателем</t>
        </is>
      </c>
      <c r="D31" s="273" t="inlineStr">
        <is>
          <t>маш.-ч</t>
        </is>
      </c>
      <c r="E31" s="241" t="n">
        <v>134.64</v>
      </c>
      <c r="F31" s="47" t="n">
        <v>12.14</v>
      </c>
      <c r="G31" s="243">
        <f>ROUND(E31*F31,2)</f>
        <v/>
      </c>
      <c r="H31" s="277">
        <f>G31/$G$37</f>
        <v/>
      </c>
      <c r="I31" s="243">
        <f>ROUND(F31*Прил.10!$D$11,2)</f>
        <v/>
      </c>
      <c r="J31" s="243">
        <f>ROUND(I31*E31,2)</f>
        <v/>
      </c>
      <c r="L31" s="143" t="n"/>
    </row>
    <row r="32" hidden="1" outlineLevel="1" ht="14.25" customFormat="1" customHeight="1" s="246">
      <c r="A32" s="273" t="n"/>
      <c r="B32" s="145" t="inlineStr">
        <is>
          <t>91.06.05-011</t>
        </is>
      </c>
      <c r="C32" s="272" t="inlineStr">
        <is>
          <t>Погрузчики, грузоподъемность 5 т</t>
        </is>
      </c>
      <c r="D32" s="273" t="inlineStr">
        <is>
          <t>маш.-ч</t>
        </is>
      </c>
      <c r="E32" s="241" t="n">
        <v>16.151862</v>
      </c>
      <c r="F32" s="47" t="n">
        <v>89.98999999999999</v>
      </c>
      <c r="G32" s="243">
        <f>ROUND(E32*F32,2)</f>
        <v/>
      </c>
      <c r="H32" s="277">
        <f>G32/$G$37</f>
        <v/>
      </c>
      <c r="I32" s="243">
        <f>ROUND(F32*Прил.10!$D$11,2)</f>
        <v/>
      </c>
      <c r="J32" s="243">
        <f>ROUND(I32*E32,2)</f>
        <v/>
      </c>
      <c r="L32" s="143" t="n"/>
    </row>
    <row r="33" hidden="1" outlineLevel="1" ht="25.5" customFormat="1" customHeight="1" s="246">
      <c r="A33" s="273" t="n"/>
      <c r="B33" s="145" t="inlineStr">
        <is>
          <t>91.14.02-002</t>
        </is>
      </c>
      <c r="C33" s="272" t="inlineStr">
        <is>
          <t>Автомобили бортовые, грузоподъемность до 8 т</t>
        </is>
      </c>
      <c r="D33" s="273" t="inlineStr">
        <is>
          <t>маш.-ч</t>
        </is>
      </c>
      <c r="E33" s="241" t="n">
        <v>1.9236</v>
      </c>
      <c r="F33" s="47" t="n">
        <v>85.84</v>
      </c>
      <c r="G33" s="243">
        <f>ROUND(E33*F33,2)</f>
        <v/>
      </c>
      <c r="H33" s="277">
        <f>G33/$G$37</f>
        <v/>
      </c>
      <c r="I33" s="243">
        <f>ROUND(F33*Прил.10!$D$11,2)</f>
        <v/>
      </c>
      <c r="J33" s="243">
        <f>ROUND(I33*E33,2)</f>
        <v/>
      </c>
      <c r="L33" s="143" t="n"/>
    </row>
    <row r="34" hidden="1" outlineLevel="1" ht="25.5" customFormat="1" customHeight="1" s="246">
      <c r="A34" s="273" t="n"/>
      <c r="B34" s="145" t="inlineStr">
        <is>
          <t>91.21.16-012</t>
        </is>
      </c>
      <c r="C34" s="272" t="inlineStr">
        <is>
          <t>Прессы гидравлические с электроприводом</t>
        </is>
      </c>
      <c r="D34" s="273" t="inlineStr">
        <is>
          <t>маш.-ч</t>
        </is>
      </c>
      <c r="E34" s="241" t="n">
        <v>123.6743037</v>
      </c>
      <c r="F34" s="47" t="n">
        <v>1.11</v>
      </c>
      <c r="G34" s="243">
        <f>ROUND(E34*F34,2)</f>
        <v/>
      </c>
      <c r="H34" s="277">
        <f>G34/$G$37</f>
        <v/>
      </c>
      <c r="I34" s="243">
        <f>ROUND(F34*Прил.10!$D$11,2)</f>
        <v/>
      </c>
      <c r="J34" s="243">
        <f>ROUND(I34*E34,2)</f>
        <v/>
      </c>
      <c r="L34" s="143" t="n"/>
    </row>
    <row r="35" hidden="1" outlineLevel="1" ht="14.25" customFormat="1" customHeight="1" s="246">
      <c r="A35" s="273" t="n"/>
      <c r="B35" s="145" t="inlineStr">
        <is>
          <t>91.11.02-061</t>
        </is>
      </c>
      <c r="C35" s="272" t="inlineStr">
        <is>
          <t>Тележки раскаточные на гусеничном ходу</t>
        </is>
      </c>
      <c r="D35" s="273" t="inlineStr">
        <is>
          <t>маш.-ч</t>
        </is>
      </c>
      <c r="E35" s="241" t="n">
        <v>1.5572</v>
      </c>
      <c r="F35" s="47" t="n">
        <v>17.14</v>
      </c>
      <c r="G35" s="243">
        <f>ROUND(E35*F35,2)</f>
        <v/>
      </c>
      <c r="H35" s="277">
        <f>G35/$G$37</f>
        <v/>
      </c>
      <c r="I35" s="243">
        <f>ROUND(F35*Прил.10!$D$11,2)</f>
        <v/>
      </c>
      <c r="J35" s="243">
        <f>ROUND(I35*E35,2)</f>
        <v/>
      </c>
      <c r="L35" s="143" t="n"/>
    </row>
    <row r="36" collapsed="1" ht="14.25" customFormat="1" customHeight="1" s="246">
      <c r="A36" s="273" t="n"/>
      <c r="B36" s="273" t="n"/>
      <c r="C36" s="272" t="inlineStr">
        <is>
          <t>Итого прочие машины и механизмы</t>
        </is>
      </c>
      <c r="D36" s="273" t="n"/>
      <c r="E36" s="274" t="n"/>
      <c r="F36" s="243" t="n"/>
      <c r="G36" s="243">
        <f>SUM(G25:G35)</f>
        <v/>
      </c>
      <c r="H36" s="277">
        <f>G36/G37</f>
        <v/>
      </c>
      <c r="I36" s="243" t="n"/>
      <c r="J36" s="243">
        <f>SUM(J25:J35)</f>
        <v/>
      </c>
      <c r="K36" s="143" t="n"/>
      <c r="L36" s="143" t="n"/>
    </row>
    <row r="37" ht="25.5" customFormat="1" customHeight="1" s="246">
      <c r="A37" s="273" t="n"/>
      <c r="B37" s="282" t="n"/>
      <c r="C37" s="149" t="inlineStr">
        <is>
          <t>Итого по разделу «Машины и механизмы»</t>
        </is>
      </c>
      <c r="D37" s="282" t="n"/>
      <c r="E37" s="150" t="n"/>
      <c r="F37" s="151" t="n"/>
      <c r="G37" s="151">
        <f>G24+G36</f>
        <v/>
      </c>
      <c r="H37" s="152" t="n">
        <v>1</v>
      </c>
      <c r="I37" s="151" t="n"/>
      <c r="J37" s="151">
        <f>J24+J36</f>
        <v/>
      </c>
    </row>
    <row r="38" ht="29.25" customHeight="1" s="214">
      <c r="A38" s="284" t="n"/>
      <c r="B38" s="268" t="inlineStr">
        <is>
          <t xml:space="preserve">Оборудование </t>
        </is>
      </c>
      <c r="C38" s="343" t="n"/>
      <c r="D38" s="343" t="n"/>
      <c r="E38" s="343" t="n"/>
      <c r="F38" s="343" t="n"/>
      <c r="G38" s="343" t="n"/>
      <c r="H38" s="343" t="n"/>
      <c r="I38" s="343" t="n"/>
      <c r="J38" s="344" t="n"/>
    </row>
    <row r="39" ht="15" customHeight="1" s="214">
      <c r="A39" s="273" t="n"/>
      <c r="B39" s="278" t="inlineStr">
        <is>
          <t>Основное оборудование</t>
        </is>
      </c>
    </row>
    <row r="40" ht="15.75" customHeight="1" s="214">
      <c r="A40" s="273" t="n"/>
      <c r="B40" s="273" t="n"/>
      <c r="C40" s="272" t="inlineStr">
        <is>
          <t>Итого основное оборудование</t>
        </is>
      </c>
      <c r="D40" s="273" t="n"/>
      <c r="E40" s="241" t="n"/>
      <c r="F40" s="275" t="n"/>
      <c r="G40" s="243" t="n">
        <v>0</v>
      </c>
      <c r="H40" s="277" t="n"/>
      <c r="I40" s="243" t="n"/>
      <c r="J40" s="243" t="n">
        <v>0</v>
      </c>
      <c r="K40" s="143" t="n"/>
    </row>
    <row r="41" ht="13.5" customHeight="1" s="214">
      <c r="A41" s="273" t="n"/>
      <c r="B41" s="273" t="n"/>
      <c r="C41" s="272" t="inlineStr">
        <is>
          <t>Итого прочее оборудование</t>
        </is>
      </c>
      <c r="D41" s="273" t="n"/>
      <c r="E41" s="274" t="n"/>
      <c r="F41" s="275" t="n"/>
      <c r="G41" s="243" t="n">
        <v>0</v>
      </c>
      <c r="H41" s="277" t="n"/>
      <c r="I41" s="275" t="n"/>
      <c r="J41" s="243" t="n">
        <v>0</v>
      </c>
      <c r="K41" s="143" t="n"/>
    </row>
    <row r="42" ht="23.25" customHeight="1" s="214">
      <c r="A42" s="273" t="n"/>
      <c r="B42" s="273" t="n"/>
      <c r="C42" s="268" t="inlineStr">
        <is>
          <t>Итого по разделу «Оборудование»</t>
        </is>
      </c>
      <c r="D42" s="273" t="n"/>
      <c r="E42" s="274" t="n"/>
      <c r="F42" s="275" t="n"/>
      <c r="G42" s="243">
        <f>G41+G40</f>
        <v/>
      </c>
      <c r="H42" s="277" t="n"/>
      <c r="I42" s="243" t="n"/>
      <c r="J42" s="243">
        <f>J41+J40</f>
        <v/>
      </c>
      <c r="K42" s="143" t="n"/>
    </row>
    <row r="43" ht="25.5" customHeight="1" s="214">
      <c r="A43" s="273" t="n"/>
      <c r="B43" s="273" t="n"/>
      <c r="C43" s="272" t="inlineStr">
        <is>
          <t>в том числе технологическое оборудование</t>
        </is>
      </c>
      <c r="D43" s="273" t="n"/>
      <c r="E43" s="274" t="n"/>
      <c r="F43" s="275" t="n"/>
      <c r="G43" s="243">
        <f>G42</f>
        <v/>
      </c>
      <c r="H43" s="277" t="n"/>
      <c r="I43" s="243" t="n"/>
      <c r="J43" s="243">
        <f>ROUND(G43*Прил.10!$D$13,2)</f>
        <v/>
      </c>
      <c r="K43" s="143" t="n"/>
    </row>
    <row r="44" ht="30" customFormat="1" customHeight="1" s="246">
      <c r="A44" s="273" t="n"/>
      <c r="B44" s="347" t="inlineStr">
        <is>
          <t xml:space="preserve">Материалы </t>
        </is>
      </c>
      <c r="J44" s="348" t="n"/>
      <c r="K44" s="143" t="n"/>
    </row>
    <row r="45" ht="14.25" customFormat="1" customHeight="1" s="246">
      <c r="A45" s="273" t="n"/>
      <c r="B45" s="272" t="inlineStr">
        <is>
          <t>Основные материалы</t>
        </is>
      </c>
      <c r="C45" s="343" t="n"/>
      <c r="D45" s="343" t="n"/>
      <c r="E45" s="343" t="n"/>
      <c r="F45" s="343" t="n"/>
      <c r="G45" s="343" t="n"/>
      <c r="H45" s="344" t="n"/>
      <c r="I45" s="277" t="n"/>
      <c r="J45" s="277" t="n"/>
    </row>
    <row r="46" ht="14.25" customFormat="1" customHeight="1" s="246">
      <c r="A46" s="273" t="n">
        <v>8</v>
      </c>
      <c r="B46" s="145" t="inlineStr">
        <is>
          <t>БЦ.94.154</t>
        </is>
      </c>
      <c r="C46" s="272" t="inlineStr">
        <is>
          <t>Грозотрос ОКГТ 24 волокна (МПР 233кН)</t>
        </is>
      </c>
      <c r="D46" s="273" t="inlineStr">
        <is>
          <t>км</t>
        </is>
      </c>
      <c r="E46" s="241" t="n">
        <v>112.12</v>
      </c>
      <c r="F46" s="200">
        <f>ROUND(I46/Прил.10!D12,2)</f>
        <v/>
      </c>
      <c r="G46" s="243">
        <f>ROUND(E46*F46,2)</f>
        <v/>
      </c>
      <c r="H46" s="277">
        <f>G46/$G$84</f>
        <v/>
      </c>
      <c r="I46" s="243" t="n">
        <v>895792.5</v>
      </c>
      <c r="J46" s="243">
        <f>ROUND(I46*E46,2)</f>
        <v/>
      </c>
    </row>
    <row r="47" ht="22.5" customFormat="1" customHeight="1" s="246">
      <c r="A47" s="273" t="n"/>
      <c r="B47" s="145" t="n"/>
      <c r="C47" s="272" t="inlineStr">
        <is>
          <t>Итого основные материалы</t>
        </is>
      </c>
      <c r="D47" s="273" t="n"/>
      <c r="E47" s="241" t="n"/>
      <c r="F47" s="47" t="n"/>
      <c r="G47" s="243">
        <f>SUM(G46:G46)</f>
        <v/>
      </c>
      <c r="H47" s="277">
        <f>G47/$G$84</f>
        <v/>
      </c>
      <c r="I47" s="243" t="n"/>
      <c r="J47" s="243">
        <f>SUM(J46:J46)</f>
        <v/>
      </c>
      <c r="K47" s="143" t="n"/>
    </row>
    <row r="48" outlineLevel="1" ht="38.25" customFormat="1" customHeight="1" s="246">
      <c r="A48" s="273" t="n">
        <v>9</v>
      </c>
      <c r="B48" s="145" t="inlineStr">
        <is>
          <t>20.5.04.08-0005</t>
        </is>
      </c>
      <c r="C48" s="272" t="inlineStr">
        <is>
          <t>Зажим соединительный шлейфовый спиральный ШС-18,8-01 (прим. Зажим шлейфовый ЗКШ2-14/18-4)</t>
        </is>
      </c>
      <c r="D48" s="273" t="inlineStr">
        <is>
          <t>шт.</t>
        </is>
      </c>
      <c r="E48" s="241">
        <f>651+120</f>
        <v/>
      </c>
      <c r="F48" s="47" t="n">
        <v>330.46</v>
      </c>
      <c r="G48" s="243">
        <f>ROUND(E48*F48,2)</f>
        <v/>
      </c>
      <c r="H48" s="277">
        <f>G48/$G$84</f>
        <v/>
      </c>
      <c r="I48" s="243">
        <f>ROUND(F48*Прил.10!$D$12,2)</f>
        <v/>
      </c>
      <c r="J48" s="243">
        <f>ROUND(I48*E48,2)</f>
        <v/>
      </c>
    </row>
    <row r="49" outlineLevel="1" ht="38.25" customFormat="1" customHeight="1" s="246">
      <c r="A49" s="273" t="n">
        <v>10</v>
      </c>
      <c r="B49" s="145" t="inlineStr">
        <is>
          <t>20.1.01.12-0033</t>
        </is>
      </c>
      <c r="C49" s="272" t="inlineStr">
        <is>
          <t>Зажим поддерживающий спиральный ПС-15, 4П11 (прим. ПСО-14,1/14, 4П-33, 4П-21)</t>
        </is>
      </c>
      <c r="D49" s="273" t="inlineStr">
        <is>
          <t>шт.</t>
        </is>
      </c>
      <c r="E49" s="241">
        <f>172+28+26+34+13</f>
        <v/>
      </c>
      <c r="F49" s="47" t="n">
        <v>374.91</v>
      </c>
      <c r="G49" s="243">
        <f>ROUND(E49*F49,2)</f>
        <v/>
      </c>
      <c r="H49" s="277">
        <f>G49/$G$84</f>
        <v/>
      </c>
      <c r="I49" s="243">
        <f>ROUND(F49*Прил.10!$D$12,2)</f>
        <v/>
      </c>
      <c r="J49" s="243">
        <f>ROUND(I49*E49,2)</f>
        <v/>
      </c>
    </row>
    <row r="50" outlineLevel="1" ht="25.5" customFormat="1" customHeight="1" s="246">
      <c r="A50" s="273" t="n">
        <v>11</v>
      </c>
      <c r="B50" s="145" t="inlineStr">
        <is>
          <t>15.1.02.27-0002</t>
        </is>
      </c>
      <c r="C50" s="272" t="inlineStr">
        <is>
          <t>Барабан (крутящаяся часть с площадками) (прим. Барабан БШ-1-3)</t>
        </is>
      </c>
      <c r="D50" s="273" t="inlineStr">
        <is>
          <t>шт.</t>
        </is>
      </c>
      <c r="E50" s="241">
        <f>12+10</f>
        <v/>
      </c>
      <c r="F50" s="47" t="n">
        <v>4344.01</v>
      </c>
      <c r="G50" s="243">
        <f>ROUND(E50*F50,2)</f>
        <v/>
      </c>
      <c r="H50" s="277">
        <f>G50/$G$84</f>
        <v/>
      </c>
      <c r="I50" s="243">
        <f>ROUND(F50*Прил.10!$D$12,2)</f>
        <v/>
      </c>
      <c r="J50" s="243">
        <f>ROUND(I50*E50,2)</f>
        <v/>
      </c>
    </row>
    <row r="51" outlineLevel="1" ht="14.25" customFormat="1" customHeight="1" s="246">
      <c r="A51" s="273" t="n">
        <v>12</v>
      </c>
      <c r="B51" s="145" t="inlineStr">
        <is>
          <t>22.2.02.01-0020</t>
        </is>
      </c>
      <c r="C51" s="272" t="inlineStr">
        <is>
          <t>Гаситель вибрации, марка ГВП-1,6-11</t>
        </is>
      </c>
      <c r="D51" s="273" t="inlineStr">
        <is>
          <t>шт.</t>
        </is>
      </c>
      <c r="E51" s="241">
        <f>457+160+67</f>
        <v/>
      </c>
      <c r="F51" s="47" t="n">
        <v>120.89</v>
      </c>
      <c r="G51" s="243">
        <f>ROUND(E51*F51,2)</f>
        <v/>
      </c>
      <c r="H51" s="277">
        <f>G51/$G$84</f>
        <v/>
      </c>
      <c r="I51" s="243">
        <f>ROUND(F51*Прил.10!$D$12,2)</f>
        <v/>
      </c>
      <c r="J51" s="243">
        <f>ROUND(I51*E51,2)</f>
        <v/>
      </c>
    </row>
    <row r="52" outlineLevel="1" ht="25.5" customFormat="1" customHeight="1" s="246">
      <c r="A52" s="273" t="n">
        <v>13</v>
      </c>
      <c r="B52" s="145" t="inlineStr">
        <is>
          <t>20.5.04.04-0055</t>
        </is>
      </c>
      <c r="C52" s="272" t="inlineStr">
        <is>
          <t>Зажим натяжной спиральный НСО-13,0П-01 (прим. Зажим натяжной НСО-14.1/14)</t>
        </is>
      </c>
      <c r="D52" s="273" t="inlineStr">
        <is>
          <t>шт.</t>
        </is>
      </c>
      <c r="E52" s="241">
        <f>34+97+19+31+4</f>
        <v/>
      </c>
      <c r="F52" s="47" t="n">
        <v>374.45</v>
      </c>
      <c r="G52" s="243">
        <f>ROUND(E52*F52,2)</f>
        <v/>
      </c>
      <c r="H52" s="277">
        <f>G52/$G$84</f>
        <v/>
      </c>
      <c r="I52" s="243">
        <f>ROUND(F52*Прил.10!$D$12,2)</f>
        <v/>
      </c>
      <c r="J52" s="243">
        <f>ROUND(I52*E52,2)</f>
        <v/>
      </c>
    </row>
    <row r="53" outlineLevel="1" ht="38.25" customFormat="1" customHeight="1" s="246">
      <c r="A53" s="273" t="n">
        <v>14</v>
      </c>
      <c r="B53" s="145" t="inlineStr">
        <is>
          <t>20.5.04.08-0005</t>
        </is>
      </c>
      <c r="C53" s="272" t="inlineStr">
        <is>
          <t>Зажим соединительный шлейфовый спиральный ШС-18,8-01 (прим. Зажим шлейфовый ЗКШ-18/22-4)</t>
        </is>
      </c>
      <c r="D53" s="273" t="inlineStr">
        <is>
          <t>шт</t>
        </is>
      </c>
      <c r="E53" s="241" t="n">
        <v>166</v>
      </c>
      <c r="F53" s="47" t="n">
        <v>330.46</v>
      </c>
      <c r="G53" s="243">
        <f>ROUND(E53*F53,2)</f>
        <v/>
      </c>
      <c r="H53" s="277">
        <f>G53/$G$84</f>
        <v/>
      </c>
      <c r="I53" s="243">
        <f>ROUND(F53*Прил.10!$D$12,2)</f>
        <v/>
      </c>
      <c r="J53" s="243">
        <f>ROUND(I53*E53,2)</f>
        <v/>
      </c>
    </row>
    <row r="54" outlineLevel="1" ht="14.25" customFormat="1" customHeight="1" s="246">
      <c r="A54" s="273" t="n">
        <v>15</v>
      </c>
      <c r="B54" s="145" t="inlineStr">
        <is>
          <t>20.1.01.05-0009</t>
        </is>
      </c>
      <c r="C54" s="272" t="inlineStr">
        <is>
          <t>Зажим заземляющий 3ПС 120-3В</t>
        </is>
      </c>
      <c r="D54" s="273" t="inlineStr">
        <is>
          <t>шт</t>
        </is>
      </c>
      <c r="E54" s="241">
        <f>312+121+85+132</f>
        <v/>
      </c>
      <c r="F54" s="47" t="n">
        <v>76.04000000000001</v>
      </c>
      <c r="G54" s="243">
        <f>ROUND(E54*F54,2)</f>
        <v/>
      </c>
      <c r="H54" s="277">
        <f>G54/$G$84</f>
        <v/>
      </c>
      <c r="I54" s="243">
        <f>ROUND(F54*Прил.10!$D$12,2)</f>
        <v/>
      </c>
      <c r="J54" s="243">
        <f>ROUND(I54*E54,2)</f>
        <v/>
      </c>
    </row>
    <row r="55" outlineLevel="1" ht="81" customFormat="1" customHeight="1" s="246">
      <c r="A55" s="273" t="n">
        <v>16</v>
      </c>
      <c r="B55" s="145" t="inlineStr">
        <is>
          <t>20.2.09.09-0006</t>
        </is>
      </c>
      <c r="C55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3" t="inlineStr">
        <is>
          <t>компл.</t>
        </is>
      </c>
      <c r="E55" s="241">
        <f>15+6+4+2+1</f>
        <v/>
      </c>
      <c r="F55" s="47" t="n">
        <v>1194.89</v>
      </c>
      <c r="G55" s="243">
        <f>ROUND(E55*F55,2)</f>
        <v/>
      </c>
      <c r="H55" s="277">
        <f>G55/$G$84</f>
        <v/>
      </c>
      <c r="I55" s="243">
        <f>ROUND(F55*Прил.10!$D$12,2)</f>
        <v/>
      </c>
      <c r="J55" s="243">
        <f>ROUND(I55*E55,2)</f>
        <v/>
      </c>
    </row>
    <row r="56" outlineLevel="1" ht="25.5" customFormat="1" customHeight="1" s="246">
      <c r="A56" s="273" t="n">
        <v>17</v>
      </c>
      <c r="B56" s="145" t="inlineStr">
        <is>
          <t>22.2.02.04-0037</t>
        </is>
      </c>
      <c r="C56" s="272" t="inlineStr">
        <is>
          <t>Звено промежуточное регулируемое ПРР-12-1А</t>
        </is>
      </c>
      <c r="D56" s="273" t="inlineStr">
        <is>
          <t>шт.</t>
        </is>
      </c>
      <c r="E56" s="241">
        <f>64+63+34+19+17</f>
        <v/>
      </c>
      <c r="F56" s="47" t="n">
        <v>169.51</v>
      </c>
      <c r="G56" s="243">
        <f>ROUND(E56*F56,2)</f>
        <v/>
      </c>
      <c r="H56" s="277">
        <f>G56/$G$84</f>
        <v/>
      </c>
      <c r="I56" s="243">
        <f>ROUND(F56*Прил.10!$D$12,2)</f>
        <v/>
      </c>
      <c r="J56" s="243">
        <f>ROUND(I56*E56,2)</f>
        <v/>
      </c>
    </row>
    <row r="57" outlineLevel="1" ht="25.5" customFormat="1" customHeight="1" s="246">
      <c r="A57" s="273" t="n">
        <v>18</v>
      </c>
      <c r="B57" s="145" t="inlineStr">
        <is>
          <t>20.2.09.13-0038</t>
        </is>
      </c>
      <c r="C57" s="272" t="inlineStr">
        <is>
          <t>Муфта свинцовая П-1200 (прим. Комплект для ввода ОКГТ в муфту КГВ 12-17/2-3.6)</t>
        </is>
      </c>
      <c r="D57" s="273" t="inlineStr">
        <is>
          <t>шт</t>
        </is>
      </c>
      <c r="E57" s="241" t="n">
        <v>37</v>
      </c>
      <c r="F57" s="47" t="n">
        <v>873.46</v>
      </c>
      <c r="G57" s="243">
        <f>ROUND(E57*F57,2)</f>
        <v/>
      </c>
      <c r="H57" s="277">
        <f>G57/$G$84</f>
        <v/>
      </c>
      <c r="I57" s="243">
        <f>ROUND(F57*Прил.10!$D$12,2)</f>
        <v/>
      </c>
      <c r="J57" s="243">
        <f>ROUND(I57*E57,2)</f>
        <v/>
      </c>
    </row>
    <row r="58" outlineLevel="1" ht="14.25" customFormat="1" customHeight="1" s="246">
      <c r="A58" s="273" t="n">
        <v>19</v>
      </c>
      <c r="B58" s="145" t="inlineStr">
        <is>
          <t>20.1.02.22-0006</t>
        </is>
      </c>
      <c r="C58" s="272" t="inlineStr">
        <is>
          <t>Ушко однолапчатое У1-12-16</t>
        </is>
      </c>
      <c r="D58" s="273" t="inlineStr">
        <is>
          <t>шт.</t>
        </is>
      </c>
      <c r="E58" s="241">
        <f>63+47+64+19+4</f>
        <v/>
      </c>
      <c r="F58" s="47" t="n">
        <v>137.86</v>
      </c>
      <c r="G58" s="243">
        <f>ROUND(E58*F58,2)</f>
        <v/>
      </c>
      <c r="H58" s="277">
        <f>G58/$G$84</f>
        <v/>
      </c>
      <c r="I58" s="243">
        <f>ROUND(F58*Прил.10!$D$12,2)</f>
        <v/>
      </c>
      <c r="J58" s="243">
        <f>ROUND(I58*E58,2)</f>
        <v/>
      </c>
    </row>
    <row r="59" outlineLevel="1" ht="14.25" customFormat="1" customHeight="1" s="246">
      <c r="A59" s="273" t="n">
        <v>20</v>
      </c>
      <c r="B59" s="145" t="inlineStr">
        <is>
          <t>01.7.15.10-0032</t>
        </is>
      </c>
      <c r="C59" s="272" t="inlineStr">
        <is>
          <t>Скоба СК-12-1А</t>
        </is>
      </c>
      <c r="D59" s="273" t="inlineStr">
        <is>
          <t>шт.</t>
        </is>
      </c>
      <c r="E59" s="241">
        <f>220+166+8</f>
        <v/>
      </c>
      <c r="F59" s="47" t="n">
        <v>54.7</v>
      </c>
      <c r="G59" s="243">
        <f>ROUND(E59*F59,2)</f>
        <v/>
      </c>
      <c r="H59" s="277">
        <f>G59/$G$84</f>
        <v/>
      </c>
      <c r="I59" s="243">
        <f>ROUND(F59*Прил.10!$D$12,2)</f>
        <v/>
      </c>
      <c r="J59" s="243">
        <f>ROUND(I59*E59,2)</f>
        <v/>
      </c>
    </row>
    <row r="60" outlineLevel="1" ht="14.25" customFormat="1" customHeight="1" s="246">
      <c r="A60" s="273" t="n">
        <v>21</v>
      </c>
      <c r="B60" s="145" t="inlineStr">
        <is>
          <t>20.1.01.05-0019</t>
        </is>
      </c>
      <c r="C60" s="272" t="inlineStr">
        <is>
          <t>Зажим заземляющий 3ПС 300-3</t>
        </is>
      </c>
      <c r="D60" s="273" t="inlineStr">
        <is>
          <t>шт</t>
        </is>
      </c>
      <c r="E60" s="241">
        <f>78+9+4</f>
        <v/>
      </c>
      <c r="F60" s="47" t="n">
        <v>209.79</v>
      </c>
      <c r="G60" s="243">
        <f>ROUND(E60*F60,2)</f>
        <v/>
      </c>
      <c r="H60" s="277">
        <f>G60/$G$84</f>
        <v/>
      </c>
      <c r="I60" s="243">
        <f>ROUND(F60*Прил.10!$D$12,2)</f>
        <v/>
      </c>
      <c r="J60" s="243">
        <f>ROUND(I60*E60,2)</f>
        <v/>
      </c>
    </row>
    <row r="61" outlineLevel="1" ht="38.25" customFormat="1" customHeight="1" s="246">
      <c r="A61" s="273" t="n">
        <v>22</v>
      </c>
      <c r="B61" s="145" t="inlineStr">
        <is>
          <t>20.1.01.12-0033</t>
        </is>
      </c>
      <c r="C61" s="272" t="inlineStr">
        <is>
          <t>Зажим поддерживающий спиральный ПС-15, 4П11 (прим. Зажим поддерживающий спиральный  ПСО-21.3/21.7П-33)</t>
        </is>
      </c>
      <c r="D61" s="273" t="inlineStr">
        <is>
          <t>шт</t>
        </is>
      </c>
      <c r="E61" s="241">
        <f>23+9</f>
        <v/>
      </c>
      <c r="F61" s="47" t="n">
        <v>374.91</v>
      </c>
      <c r="G61" s="243">
        <f>ROUND(E61*F61,2)</f>
        <v/>
      </c>
      <c r="H61" s="277">
        <f>G61/$G$84</f>
        <v/>
      </c>
      <c r="I61" s="243">
        <f>ROUND(F61*Прил.10!$D$12,2)</f>
        <v/>
      </c>
      <c r="J61" s="243">
        <f>ROUND(I61*E61,2)</f>
        <v/>
      </c>
    </row>
    <row r="62" outlineLevel="1" ht="25.5" customFormat="1" customHeight="1" s="246">
      <c r="A62" s="273" t="n">
        <v>23</v>
      </c>
      <c r="B62" s="145" t="inlineStr">
        <is>
          <t>22.2.02.04-0008</t>
        </is>
      </c>
      <c r="C62" s="272" t="inlineStr">
        <is>
          <t>Звено промежуточное монтажное ПТМ-12-2</t>
        </is>
      </c>
      <c r="D62" s="273" t="inlineStr">
        <is>
          <t>шт.</t>
        </is>
      </c>
      <c r="E62" s="241">
        <f>93+34+34+32+4</f>
        <v/>
      </c>
      <c r="F62" s="47" t="n">
        <v>57.83</v>
      </c>
      <c r="G62" s="243">
        <f>ROUND(E62*F62,2)</f>
        <v/>
      </c>
      <c r="H62" s="277">
        <f>G62/$G$84</f>
        <v/>
      </c>
      <c r="I62" s="243">
        <f>ROUND(F62*Прил.10!$D$12,2)</f>
        <v/>
      </c>
      <c r="J62" s="243">
        <f>ROUND(I62*E62,2)</f>
        <v/>
      </c>
    </row>
    <row r="63" outlineLevel="1" ht="14.25" customFormat="1" customHeight="1" s="246">
      <c r="A63" s="273" t="n">
        <v>24</v>
      </c>
      <c r="B63" s="145" t="inlineStr">
        <is>
          <t>20.1.02.22-0004</t>
        </is>
      </c>
      <c r="C63" s="272" t="inlineStr">
        <is>
          <t>Ушко однолапчатое укороченное У1К-7-16</t>
        </is>
      </c>
      <c r="D63" s="273" t="inlineStr">
        <is>
          <t>шт.</t>
        </is>
      </c>
      <c r="E63" s="241">
        <f>150+128+9+6</f>
        <v/>
      </c>
      <c r="F63" s="47" t="n">
        <v>35.75</v>
      </c>
      <c r="G63" s="243">
        <f>ROUND(E63*F63,2)</f>
        <v/>
      </c>
      <c r="H63" s="277">
        <f>G63/$G$84</f>
        <v/>
      </c>
      <c r="I63" s="243">
        <f>ROUND(F63*Прил.10!$D$12,2)</f>
        <v/>
      </c>
      <c r="J63" s="243">
        <f>ROUND(I63*E63,2)</f>
        <v/>
      </c>
    </row>
    <row r="64" outlineLevel="1" ht="51" customFormat="1" customHeight="1" s="246">
      <c r="A64" s="273" t="n">
        <v>25</v>
      </c>
      <c r="B64" s="145" t="inlineStr">
        <is>
          <t>20.5.04.08-0005</t>
        </is>
      </c>
      <c r="C64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3" t="inlineStr">
        <is>
          <t>шт.</t>
        </is>
      </c>
      <c r="E64" s="241">
        <f>28</f>
        <v/>
      </c>
      <c r="F64" s="47" t="n">
        <v>330.46</v>
      </c>
      <c r="G64" s="243">
        <f>ROUND(E64*F64,2)</f>
        <v/>
      </c>
      <c r="H64" s="277">
        <f>G64/$G$84</f>
        <v/>
      </c>
      <c r="I64" s="243">
        <f>ROUND(F64*Прил.10!$D$12,2)</f>
        <v/>
      </c>
      <c r="J64" s="243">
        <f>ROUND(I64*E64,2)</f>
        <v/>
      </c>
    </row>
    <row r="65" outlineLevel="1" ht="25.5" customFormat="1" customHeight="1" s="246">
      <c r="A65" s="273" t="n">
        <v>26</v>
      </c>
      <c r="B65" s="145" t="inlineStr">
        <is>
          <t>20.1.02.11-0004</t>
        </is>
      </c>
      <c r="C65" s="272" t="inlineStr">
        <is>
          <t>Протектор защитный спиральный ПЗС-15,2-13</t>
        </is>
      </c>
      <c r="D65" s="273" t="inlineStr">
        <is>
          <t>шт.</t>
        </is>
      </c>
      <c r="E65" s="241">
        <f>125+53+14+4</f>
        <v/>
      </c>
      <c r="F65" s="47" t="n">
        <v>43.66</v>
      </c>
      <c r="G65" s="243">
        <f>ROUND(E65*F65,2)</f>
        <v/>
      </c>
      <c r="H65" s="277">
        <f>G65/$G$84</f>
        <v/>
      </c>
      <c r="I65" s="243">
        <f>ROUND(F65*Прил.10!$D$12,2)</f>
        <v/>
      </c>
      <c r="J65" s="243">
        <f>ROUND(I65*E65,2)</f>
        <v/>
      </c>
    </row>
    <row r="66" outlineLevel="1" ht="14.25" customFormat="1" customHeight="1" s="246">
      <c r="A66" s="273" t="n">
        <v>27</v>
      </c>
      <c r="B66" s="145" t="inlineStr">
        <is>
          <t>01.7.15.10-0031</t>
        </is>
      </c>
      <c r="C66" s="272" t="inlineStr">
        <is>
          <t>Скоба СК-7-1А</t>
        </is>
      </c>
      <c r="D66" s="273" t="inlineStr">
        <is>
          <t>шт.</t>
        </is>
      </c>
      <c r="E66" s="241">
        <f>196+34+22+26+6+9</f>
        <v/>
      </c>
      <c r="F66" s="47" t="n">
        <v>28.07</v>
      </c>
      <c r="G66" s="243">
        <f>ROUND(E66*F66,2)</f>
        <v/>
      </c>
      <c r="H66" s="277">
        <f>G66/$G$84</f>
        <v/>
      </c>
      <c r="I66" s="243">
        <f>ROUND(F66*Прил.10!$D$12,2)</f>
        <v/>
      </c>
      <c r="J66" s="243">
        <f>ROUND(I66*E66,2)</f>
        <v/>
      </c>
    </row>
    <row r="67" outlineLevel="1" ht="14.25" customFormat="1" customHeight="1" s="246">
      <c r="A67" s="273" t="n">
        <v>28</v>
      </c>
      <c r="B67" s="145" t="inlineStr">
        <is>
          <t>20.1.02.21-0043</t>
        </is>
      </c>
      <c r="C67" s="272" t="inlineStr">
        <is>
          <t>Узел крепления КГП-7-3</t>
        </is>
      </c>
      <c r="D67" s="273" t="inlineStr">
        <is>
          <t>шт.</t>
        </is>
      </c>
      <c r="E67" s="241">
        <f>164+72+34+9+6</f>
        <v/>
      </c>
      <c r="F67" s="47" t="n">
        <v>25.55</v>
      </c>
      <c r="G67" s="243">
        <f>ROUND(E67*F67,2)</f>
        <v/>
      </c>
      <c r="H67" s="277">
        <f>G67/$G$84</f>
        <v/>
      </c>
      <c r="I67" s="243">
        <f>ROUND(F67*Прил.10!$D$12,2)</f>
        <v/>
      </c>
      <c r="J67" s="243">
        <f>ROUND(I67*E67,2)</f>
        <v/>
      </c>
    </row>
    <row r="68" outlineLevel="1" ht="25.5" customFormat="1" customHeight="1" s="246">
      <c r="A68" s="273" t="n">
        <v>29</v>
      </c>
      <c r="B68" s="145" t="inlineStr">
        <is>
          <t>20.5.04.08-0002</t>
        </is>
      </c>
      <c r="C68" s="272" t="inlineStr">
        <is>
          <t>Зажим соединительный шлейфовый спиральный ШС-13,5-01</t>
        </is>
      </c>
      <c r="D68" s="273" t="inlineStr">
        <is>
          <t>шт.</t>
        </is>
      </c>
      <c r="E68" s="241" t="n">
        <v>51</v>
      </c>
      <c r="F68" s="47" t="n">
        <v>110.9</v>
      </c>
      <c r="G68" s="243">
        <f>ROUND(E68*F68,2)</f>
        <v/>
      </c>
      <c r="H68" s="277">
        <f>G68/$G$84</f>
        <v/>
      </c>
      <c r="I68" s="243">
        <f>ROUND(F68*Прил.10!$D$12,2)</f>
        <v/>
      </c>
      <c r="J68" s="243">
        <f>ROUND(I68*E68,2)</f>
        <v/>
      </c>
    </row>
    <row r="69" outlineLevel="1" ht="63.75" customFormat="1" customHeight="1" s="246">
      <c r="A69" s="273" t="n">
        <v>30</v>
      </c>
      <c r="B69" s="145" t="inlineStr">
        <is>
          <t>21.2.01.02-0088</t>
        </is>
      </c>
      <c r="C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3" t="inlineStr">
        <is>
          <t>т</t>
        </is>
      </c>
      <c r="E69" s="241">
        <f>0.0616+0.033+0.024+0.016+0.007+0.0098+0.0045</f>
        <v/>
      </c>
      <c r="F69" s="47" t="n">
        <v>31961.67</v>
      </c>
      <c r="G69" s="243">
        <f>ROUND(E69*F69,2)</f>
        <v/>
      </c>
      <c r="H69" s="277">
        <f>G69/$G$84</f>
        <v/>
      </c>
      <c r="I69" s="243">
        <f>ROUND(F69*Прил.10!$D$12,2)</f>
        <v/>
      </c>
      <c r="J69" s="243">
        <f>ROUND(I69*E69,2)</f>
        <v/>
      </c>
    </row>
    <row r="70" outlineLevel="1" ht="14.25" customFormat="1" customHeight="1" s="246">
      <c r="A70" s="273" t="n">
        <v>31</v>
      </c>
      <c r="B70" s="145" t="inlineStr">
        <is>
          <t>20.1.01.11-0002</t>
        </is>
      </c>
      <c r="C70" s="272" t="inlineStr">
        <is>
          <t>Зажим плашечный соединительный ПА-6-1</t>
        </is>
      </c>
      <c r="D70" s="273" t="inlineStr">
        <is>
          <t>шт.</t>
        </is>
      </c>
      <c r="E70" s="241">
        <f>31+38</f>
        <v/>
      </c>
      <c r="F70" s="47" t="n">
        <v>59.16</v>
      </c>
      <c r="G70" s="243">
        <f>ROUND(E70*F70,2)</f>
        <v/>
      </c>
      <c r="H70" s="277">
        <f>G70/$G$84</f>
        <v/>
      </c>
      <c r="I70" s="243">
        <f>ROUND(F70*Прил.10!$D$12,2)</f>
        <v/>
      </c>
      <c r="J70" s="243">
        <f>ROUND(I70*E70,2)</f>
        <v/>
      </c>
    </row>
    <row r="71" outlineLevel="1" ht="38.25" customFormat="1" customHeight="1" s="246">
      <c r="A71" s="273" t="n">
        <v>32</v>
      </c>
      <c r="B71" s="145" t="inlineStr">
        <is>
          <t>01.7.15.03-0022</t>
        </is>
      </c>
      <c r="C71" s="272" t="inlineStr">
        <is>
          <t>Болты с гайками и шайбами оцинкованные для монтажа стальных конструкций, диаметр 16 мм, длина 55-200 мм</t>
        </is>
      </c>
      <c r="D71" s="273" t="inlineStr">
        <is>
          <t>т</t>
        </is>
      </c>
      <c r="E71" s="241">
        <f>0.146087+0.0146+0.0113+0.0081+0.0037+0.97/1000+0.37/1000+0.185/1000</f>
        <v/>
      </c>
      <c r="F71" s="47" t="n">
        <v>18796.65</v>
      </c>
      <c r="G71" s="243">
        <f>ROUND(E71*F71,2)</f>
        <v/>
      </c>
      <c r="H71" s="277">
        <f>G71/$G$84</f>
        <v/>
      </c>
      <c r="I71" s="243">
        <f>ROUND(F71*Прил.10!$D$12,2)</f>
        <v/>
      </c>
      <c r="J71" s="243">
        <f>ROUND(I71*E71,2)</f>
        <v/>
      </c>
    </row>
    <row r="72" outlineLevel="1" ht="25.5" customFormat="1" customHeight="1" s="246">
      <c r="A72" s="273" t="n">
        <v>33</v>
      </c>
      <c r="B72" s="145" t="inlineStr">
        <is>
          <t>20.1.02.21-0032</t>
        </is>
      </c>
      <c r="C72" s="272" t="inlineStr">
        <is>
          <t>Узел крепления КГ-12-3 (прим. Узел подвески УПШ-03-01)</t>
        </is>
      </c>
      <c r="D72" s="273" t="inlineStr">
        <is>
          <t>шт.</t>
        </is>
      </c>
      <c r="E72" s="241" t="n">
        <v>44</v>
      </c>
      <c r="F72" s="47" t="n">
        <v>63.73</v>
      </c>
      <c r="G72" s="243">
        <f>ROUND(E72*F72,2)</f>
        <v/>
      </c>
      <c r="H72" s="277">
        <f>G72/$G$84</f>
        <v/>
      </c>
      <c r="I72" s="243">
        <f>ROUND(F72*Прил.10!$D$12,2)</f>
        <v/>
      </c>
      <c r="J72" s="243">
        <f>ROUND(I72*E72,2)</f>
        <v/>
      </c>
    </row>
    <row r="73" outlineLevel="1" ht="14.25" customFormat="1" customHeight="1" s="246">
      <c r="A73" s="273" t="n">
        <v>34</v>
      </c>
      <c r="B73" s="145" t="inlineStr">
        <is>
          <t>20.1.02.14-1014</t>
        </is>
      </c>
      <c r="C73" s="272" t="inlineStr">
        <is>
          <t>Серьга СР-7-16</t>
        </is>
      </c>
      <c r="D73" s="273" t="inlineStr">
        <is>
          <t>шт.</t>
        </is>
      </c>
      <c r="E73" s="241">
        <f>46+34+26+172+9+6</f>
        <v/>
      </c>
      <c r="F73" s="47" t="n">
        <v>9.359999999999999</v>
      </c>
      <c r="G73" s="243">
        <f>ROUND(E73*F73,2)</f>
        <v/>
      </c>
      <c r="H73" s="277">
        <f>G73/$G$84</f>
        <v/>
      </c>
      <c r="I73" s="243">
        <f>ROUND(F73*Прил.10!$D$12,2)</f>
        <v/>
      </c>
      <c r="J73" s="243">
        <f>ROUND(I73*E73,2)</f>
        <v/>
      </c>
    </row>
    <row r="74" outlineLevel="1" ht="14.25" customFormat="1" customHeight="1" s="246">
      <c r="A74" s="273" t="n">
        <v>35</v>
      </c>
      <c r="B74" s="145" t="inlineStr">
        <is>
          <t>20.1.02.14-1006</t>
        </is>
      </c>
      <c r="C74" s="272" t="inlineStr">
        <is>
          <t>Серьга СР-12-16</t>
        </is>
      </c>
      <c r="D74" s="273" t="inlineStr">
        <is>
          <t>шт.</t>
        </is>
      </c>
      <c r="E74" s="241">
        <f>97+34+30+19+13+4</f>
        <v/>
      </c>
      <c r="F74" s="47" t="n">
        <v>13.29</v>
      </c>
      <c r="G74" s="243">
        <f>ROUND(E74*F74,2)</f>
        <v/>
      </c>
      <c r="H74" s="277">
        <f>G74/$G$84</f>
        <v/>
      </c>
      <c r="I74" s="243">
        <f>ROUND(F74*Прил.10!$D$12,2)</f>
        <v/>
      </c>
      <c r="J74" s="243">
        <f>ROUND(I74*E74,2)</f>
        <v/>
      </c>
    </row>
    <row r="75" outlineLevel="1" ht="63.75" customFormat="1" customHeight="1" s="246">
      <c r="A75" s="273" t="n">
        <v>36</v>
      </c>
      <c r="B75" s="145" t="inlineStr">
        <is>
          <t>01.5.03.03-0031</t>
        </is>
      </c>
      <c r="C75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3" t="inlineStr">
        <is>
          <t>шт.</t>
        </is>
      </c>
      <c r="E75" s="241">
        <f>16+6</f>
        <v/>
      </c>
      <c r="F75" s="47" t="n">
        <v>112.6</v>
      </c>
      <c r="G75" s="243">
        <f>ROUND(E75*F75,2)</f>
        <v/>
      </c>
      <c r="H75" s="277">
        <f>G75/$G$84</f>
        <v/>
      </c>
      <c r="I75" s="243">
        <f>ROUND(F75*Прил.10!$D$12,2)</f>
        <v/>
      </c>
      <c r="J75" s="243">
        <f>ROUND(I75*E75,2)</f>
        <v/>
      </c>
    </row>
    <row r="76" outlineLevel="1" ht="63.75" customFormat="1" customHeight="1" s="246">
      <c r="A76" s="273" t="n">
        <v>37</v>
      </c>
      <c r="B76" s="145" t="inlineStr">
        <is>
          <t>21.2.01.02-0093</t>
        </is>
      </c>
      <c r="C76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3" t="inlineStr">
        <is>
          <t>т</t>
        </is>
      </c>
      <c r="E76" s="241">
        <f>0.0553+0.0098+0.0037</f>
        <v/>
      </c>
      <c r="F76" s="47" t="n">
        <v>32752.18</v>
      </c>
      <c r="G76" s="243">
        <f>ROUND(E76*F76,2)</f>
        <v/>
      </c>
      <c r="H76" s="277">
        <f>G76/$G$84</f>
        <v/>
      </c>
      <c r="I76" s="243">
        <f>ROUND(F76*Прил.10!$D$12,2)</f>
        <v/>
      </c>
      <c r="J76" s="243">
        <f>ROUND(I76*E76,2)</f>
        <v/>
      </c>
    </row>
    <row r="77" outlineLevel="1" ht="38.25" customFormat="1" customHeight="1" s="246">
      <c r="A77" s="273" t="n">
        <v>38</v>
      </c>
      <c r="B77" s="145" t="inlineStr">
        <is>
          <t>20.2.09.13-0038</t>
        </is>
      </c>
      <c r="C77" s="272" t="inlineStr">
        <is>
          <t>Муфта свинцовая П-1200 (прим. Комплект для ввода ОКСН (ДПМ) в муфту КВСц6-22)</t>
        </is>
      </c>
      <c r="D77" s="273" t="inlineStr">
        <is>
          <t>шт</t>
        </is>
      </c>
      <c r="E77" s="241" t="n">
        <v>2</v>
      </c>
      <c r="F77" s="47" t="n">
        <v>873.46</v>
      </c>
      <c r="G77" s="243">
        <f>ROUND(E77*F77,2)</f>
        <v/>
      </c>
      <c r="H77" s="277">
        <f>G77/$G$84</f>
        <v/>
      </c>
      <c r="I77" s="243">
        <f>ROUND(F77*Прил.10!$D$12,2)</f>
        <v/>
      </c>
      <c r="J77" s="243">
        <f>ROUND(I77*E77,2)</f>
        <v/>
      </c>
    </row>
    <row r="78" outlineLevel="1" ht="14.25" customFormat="1" customHeight="1" s="246">
      <c r="A78" s="273" t="n">
        <v>39</v>
      </c>
      <c r="B78" s="145" t="inlineStr">
        <is>
          <t>20.1.01.11-0006</t>
        </is>
      </c>
      <c r="C78" s="272" t="inlineStr">
        <is>
          <t>Зажим плашечный соединительный ПА 3-2</t>
        </is>
      </c>
      <c r="D78" s="273" t="inlineStr">
        <is>
          <t>шт.</t>
        </is>
      </c>
      <c r="E78" s="241">
        <f>67+43+19</f>
        <v/>
      </c>
      <c r="F78" s="47" t="n">
        <v>12.24</v>
      </c>
      <c r="G78" s="243">
        <f>ROUND(E78*F78,2)</f>
        <v/>
      </c>
      <c r="H78" s="277">
        <f>G78/$G$84</f>
        <v/>
      </c>
      <c r="I78" s="243">
        <f>ROUND(F78*Прил.10!$D$12,2)</f>
        <v/>
      </c>
      <c r="J78" s="243">
        <f>ROUND(I78*E78,2)</f>
        <v/>
      </c>
    </row>
    <row r="79" outlineLevel="1" ht="14.25" customFormat="1" customHeight="1" s="246">
      <c r="A79" s="273" t="n">
        <v>40</v>
      </c>
      <c r="B79" s="145" t="inlineStr">
        <is>
          <t>01.7.15.10-0035</t>
        </is>
      </c>
      <c r="C79" s="272" t="inlineStr">
        <is>
          <t>Скобы СК-21-1А (прим. Скоба СК-70-1Б)</t>
        </is>
      </c>
      <c r="D79" s="273" t="inlineStr">
        <is>
          <t>шт</t>
        </is>
      </c>
      <c r="E79" s="241" t="n">
        <v>8</v>
      </c>
      <c r="F79" s="47" t="n">
        <v>116.92</v>
      </c>
      <c r="G79" s="243">
        <f>ROUND(E79*F79,2)</f>
        <v/>
      </c>
      <c r="H79" s="277">
        <f>G79/$G$84</f>
        <v/>
      </c>
      <c r="I79" s="243">
        <f>ROUND(F79*Прил.10!$D$12,2)</f>
        <v/>
      </c>
      <c r="J79" s="243">
        <f>ROUND(I79*E79,2)</f>
        <v/>
      </c>
    </row>
    <row r="80" outlineLevel="1" ht="14.25" customFormat="1" customHeight="1" s="246">
      <c r="A80" s="273" t="n">
        <v>41</v>
      </c>
      <c r="B80" s="145" t="inlineStr">
        <is>
          <t>08.1.02.25-0011</t>
        </is>
      </c>
      <c r="C80" s="272" t="inlineStr">
        <is>
          <t>Детали крепления</t>
        </is>
      </c>
      <c r="D80" s="273" t="inlineStr">
        <is>
          <t>компл.</t>
        </is>
      </c>
      <c r="E80" s="241" t="n">
        <v>22</v>
      </c>
      <c r="F80" s="47" t="n">
        <v>25.46</v>
      </c>
      <c r="G80" s="243">
        <f>ROUND(E80*F80,2)</f>
        <v/>
      </c>
      <c r="H80" s="277">
        <f>G80/$G$84</f>
        <v/>
      </c>
      <c r="I80" s="243">
        <f>ROUND(F80*Прил.10!$D$12,2)</f>
        <v/>
      </c>
      <c r="J80" s="243">
        <f>ROUND(I80*E80,2)</f>
        <v/>
      </c>
    </row>
    <row r="81" outlineLevel="1" ht="25.5" customFormat="1" customHeight="1" s="246">
      <c r="A81" s="273" t="n">
        <v>42</v>
      </c>
      <c r="B81" s="145" t="inlineStr">
        <is>
          <t>01.3.01.07-0009</t>
        </is>
      </c>
      <c r="C81" s="272" t="inlineStr">
        <is>
          <t>Спирт этиловый ректификованный технический, сорт I</t>
        </is>
      </c>
      <c r="D81" s="273" t="inlineStr">
        <is>
          <t>кг</t>
        </is>
      </c>
      <c r="E81" s="241">
        <f>2.25+0.6+0.3+0.15</f>
        <v/>
      </c>
      <c r="F81" s="47" t="n">
        <v>38.89</v>
      </c>
      <c r="G81" s="243">
        <f>ROUND(E81*F81,2)</f>
        <v/>
      </c>
      <c r="H81" s="277">
        <f>G81/$G$84</f>
        <v/>
      </c>
      <c r="I81" s="243">
        <f>ROUND(F81*Прил.10!$D$12,2)</f>
        <v/>
      </c>
      <c r="J81" s="243">
        <f>ROUND(I81*E81,2)</f>
        <v/>
      </c>
    </row>
    <row r="82" outlineLevel="1" ht="25.5" customFormat="1" customHeight="1" s="246">
      <c r="A82" s="273" t="n">
        <v>43</v>
      </c>
      <c r="B82" s="145" t="inlineStr">
        <is>
          <t>999-9950</t>
        </is>
      </c>
      <c r="C82" s="272" t="inlineStr">
        <is>
          <t>Вспомогательные ненормируемые материалы</t>
        </is>
      </c>
      <c r="D82" s="273" t="inlineStr">
        <is>
          <t>руб</t>
        </is>
      </c>
      <c r="E82" s="241" t="n">
        <v>91.3</v>
      </c>
      <c r="F82" s="47" t="n">
        <v>1</v>
      </c>
      <c r="G82" s="243">
        <f>ROUND(E82*F82,2)</f>
        <v/>
      </c>
      <c r="H82" s="277">
        <f>G82/$G$84</f>
        <v/>
      </c>
      <c r="I82" s="243">
        <f>ROUND(F82*Прил.10!$D$12,2)</f>
        <v/>
      </c>
      <c r="J82" s="243">
        <f>ROUND(I82*E82,2)</f>
        <v/>
      </c>
    </row>
    <row r="83" ht="14.25" customFormat="1" customHeight="1" s="246">
      <c r="A83" s="273" t="n"/>
      <c r="B83" s="273" t="n"/>
      <c r="C83" s="272" t="inlineStr">
        <is>
          <t>Итого прочие материалы</t>
        </is>
      </c>
      <c r="D83" s="273" t="n"/>
      <c r="E83" s="274" t="n"/>
      <c r="F83" s="275" t="n"/>
      <c r="G83" s="243">
        <f>SUM(G48:G82)</f>
        <v/>
      </c>
      <c r="H83" s="277">
        <f>G83/G84</f>
        <v/>
      </c>
      <c r="I83" s="243" t="n"/>
      <c r="J83" s="243">
        <f>SUM(J48:J82)</f>
        <v/>
      </c>
    </row>
    <row r="84" ht="14.25" customFormat="1" customHeight="1" s="246">
      <c r="A84" s="273" t="n"/>
      <c r="B84" s="273" t="n"/>
      <c r="C84" s="268" t="inlineStr">
        <is>
          <t>Итого по разделу «Материалы»</t>
        </is>
      </c>
      <c r="D84" s="273" t="n"/>
      <c r="E84" s="274" t="n"/>
      <c r="F84" s="275" t="n"/>
      <c r="G84" s="243">
        <f>G47+G83</f>
        <v/>
      </c>
      <c r="H84" s="277" t="n">
        <v>1</v>
      </c>
      <c r="I84" s="275" t="n"/>
      <c r="J84" s="243">
        <f>J47+J83</f>
        <v/>
      </c>
      <c r="K84" s="143" t="n"/>
    </row>
    <row r="85" ht="14.25" customFormat="1" customHeight="1" s="246">
      <c r="A85" s="273" t="n"/>
      <c r="B85" s="273" t="n"/>
      <c r="C85" s="272" t="inlineStr">
        <is>
          <t>ИТОГО ПО РМ</t>
        </is>
      </c>
      <c r="D85" s="273" t="n"/>
      <c r="E85" s="274" t="n"/>
      <c r="F85" s="275" t="n"/>
      <c r="G85" s="243">
        <f>G15+G37+G84</f>
        <v/>
      </c>
      <c r="H85" s="277" t="n"/>
      <c r="I85" s="275" t="n"/>
      <c r="J85" s="243">
        <f>J15+J37+J84</f>
        <v/>
      </c>
    </row>
    <row r="86" ht="14.25" customFormat="1" customHeight="1" s="246">
      <c r="A86" s="273" t="n"/>
      <c r="B86" s="273" t="n"/>
      <c r="C86" s="272" t="inlineStr">
        <is>
          <t>Накладные расходы</t>
        </is>
      </c>
      <c r="D86" s="273" t="inlineStr">
        <is>
          <t>%</t>
        </is>
      </c>
      <c r="E86" s="16">
        <f>ROUND(G86/(G15+G17),2)</f>
        <v/>
      </c>
      <c r="F86" s="275" t="n"/>
      <c r="G86" s="243" t="n">
        <v>67777.639060606</v>
      </c>
      <c r="H86" s="277" t="n"/>
      <c r="I86" s="275" t="n"/>
      <c r="J86" s="243">
        <f>ROUND(E86*(J15+J17),2)</f>
        <v/>
      </c>
      <c r="K86" s="28" t="n"/>
    </row>
    <row r="87" ht="14.25" customFormat="1" customHeight="1" s="246">
      <c r="A87" s="273" t="n"/>
      <c r="B87" s="273" t="n"/>
      <c r="C87" s="272" t="inlineStr">
        <is>
          <t>Сметная прибыль</t>
        </is>
      </c>
      <c r="D87" s="273" t="inlineStr">
        <is>
          <t>%</t>
        </is>
      </c>
      <c r="E87" s="16">
        <f>ROUND(G87/(G15+G17),2)</f>
        <v/>
      </c>
      <c r="F87" s="275" t="n"/>
      <c r="G87" s="243" t="n">
        <v>39645.627645647</v>
      </c>
      <c r="H87" s="277" t="n"/>
      <c r="I87" s="275" t="n"/>
      <c r="J87" s="243">
        <f>ROUND(E87*(J15+J17),2)</f>
        <v/>
      </c>
      <c r="K87" s="28" t="n"/>
    </row>
    <row r="88" ht="14.25" customFormat="1" customHeight="1" s="246">
      <c r="A88" s="273" t="n"/>
      <c r="B88" s="273" t="n"/>
      <c r="C88" s="272" t="inlineStr">
        <is>
          <t>Итого СМР (с НР и СП)</t>
        </is>
      </c>
      <c r="D88" s="273" t="n"/>
      <c r="E88" s="274" t="n"/>
      <c r="F88" s="275" t="n"/>
      <c r="G88" s="243">
        <f>G15+G37+G84+G86+G87</f>
        <v/>
      </c>
      <c r="H88" s="277" t="n"/>
      <c r="I88" s="275" t="n"/>
      <c r="J88" s="243">
        <f>J15+J37+J84+J86+J87</f>
        <v/>
      </c>
      <c r="L88" s="154" t="n"/>
    </row>
    <row r="89" ht="14.25" customFormat="1" customHeight="1" s="246">
      <c r="A89" s="273" t="n"/>
      <c r="B89" s="273" t="n"/>
      <c r="C89" s="272" t="inlineStr">
        <is>
          <t>ВСЕГО СМР + ОБОРУДОВАНИЕ</t>
        </is>
      </c>
      <c r="D89" s="273" t="n"/>
      <c r="E89" s="274" t="n"/>
      <c r="F89" s="275" t="n"/>
      <c r="G89" s="243">
        <f>G88+G42</f>
        <v/>
      </c>
      <c r="H89" s="277" t="n"/>
      <c r="I89" s="275" t="n"/>
      <c r="J89" s="243">
        <f>J88+J42</f>
        <v/>
      </c>
      <c r="L89" s="28" t="n"/>
    </row>
    <row r="90" ht="14.25" customFormat="1" customHeight="1" s="246">
      <c r="A90" s="273" t="n"/>
      <c r="B90" s="273" t="n"/>
      <c r="C90" s="272" t="inlineStr">
        <is>
          <t>ИТОГО ПОКАЗАТЕЛЬ НА ЕД. ИЗМ.</t>
        </is>
      </c>
      <c r="D90" s="273" t="inlineStr">
        <is>
          <t>км</t>
        </is>
      </c>
      <c r="E90" s="155" t="n">
        <v>90</v>
      </c>
      <c r="F90" s="275" t="n"/>
      <c r="G90" s="243">
        <f>G89/E90</f>
        <v/>
      </c>
      <c r="H90" s="277" t="n"/>
      <c r="I90" s="275" t="n"/>
      <c r="J90" s="243">
        <f>J89/E90</f>
        <v/>
      </c>
      <c r="L90" s="28" t="n"/>
    </row>
    <row r="94" ht="14.25" customFormat="1" customHeight="1" s="246">
      <c r="A94" s="30" t="n"/>
    </row>
    <row r="95" ht="14.25" customFormat="1" customHeight="1" s="246">
      <c r="A95" s="245" t="inlineStr">
        <is>
          <t>Составил ______________________      Е. М. Добровольская</t>
        </is>
      </c>
    </row>
    <row r="96" ht="14.25" customFormat="1" customHeight="1" s="246">
      <c r="A96" s="247" t="inlineStr">
        <is>
          <t xml:space="preserve">                         (подпись, инициалы, фамилия)</t>
        </is>
      </c>
    </row>
    <row r="97" ht="14.25" customFormat="1" customHeight="1" s="246">
      <c r="A97" s="245" t="n"/>
    </row>
    <row r="98" ht="14.25" customFormat="1" customHeight="1" s="246">
      <c r="A98" s="245" t="inlineStr">
        <is>
          <t>Проверил ______________________        А.В. Костянецкая</t>
        </is>
      </c>
    </row>
    <row r="99" ht="14.25" customFormat="1" customHeight="1" s="246">
      <c r="A99" s="247" t="inlineStr">
        <is>
          <t xml:space="preserve">                        (подпись, инициалы, фамилия)</t>
        </is>
      </c>
    </row>
  </sheetData>
  <mergeCells count="20">
    <mergeCell ref="H9:H10"/>
    <mergeCell ref="B38:J38"/>
    <mergeCell ref="B44:J44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14" min="1" max="1"/>
    <col width="14.85546875" customWidth="1" style="214" min="2" max="2"/>
    <col width="39.140625" customWidth="1" style="214" min="3" max="3"/>
    <col width="9.7109375" customWidth="1" style="214" min="4" max="4"/>
    <col width="13.5703125" customWidth="1" style="214" min="5" max="5"/>
    <col width="12.42578125" customWidth="1" style="214" min="6" max="6"/>
    <col width="14.140625" customWidth="1" style="214" min="7" max="7"/>
  </cols>
  <sheetData>
    <row r="1">
      <c r="A1" s="292" t="inlineStr">
        <is>
          <t>Приложение №6</t>
        </is>
      </c>
    </row>
    <row r="2">
      <c r="A2" s="292" t="n"/>
      <c r="B2" s="292" t="n"/>
      <c r="C2" s="292" t="n"/>
      <c r="D2" s="292" t="n"/>
      <c r="E2" s="292" t="n"/>
      <c r="F2" s="292" t="n"/>
      <c r="G2" s="292" t="n"/>
    </row>
    <row r="3" ht="24.75" customHeight="1" s="214">
      <c r="A3" s="248" t="inlineStr">
        <is>
          <t>Расчет стоимости оборудования</t>
        </is>
      </c>
    </row>
    <row r="4" ht="24.75" customHeight="1" s="214">
      <c r="A4" s="248" t="n"/>
      <c r="B4" s="248" t="n"/>
      <c r="C4" s="248" t="n"/>
      <c r="D4" s="248" t="n"/>
      <c r="E4" s="248" t="n"/>
      <c r="F4" s="248" t="n"/>
      <c r="G4" s="248" t="n"/>
    </row>
    <row r="5" ht="25.5" customHeight="1" s="214">
      <c r="A5" s="251" t="inlineStr">
        <is>
          <t xml:space="preserve">Наименование разрабатываемого показателя УНЦ - </t>
        </is>
      </c>
      <c r="D5" s="251" t="inlineStr">
        <is>
          <t>ОКГТ механическая прочность на разрыв 233кН, количество волокон 24 шт.</t>
        </is>
      </c>
    </row>
    <row r="6">
      <c r="A6" s="245" t="n"/>
      <c r="B6" s="245" t="n"/>
      <c r="C6" s="245" t="n"/>
      <c r="D6" s="245" t="n"/>
      <c r="E6" s="245" t="n"/>
      <c r="F6" s="245" t="n"/>
      <c r="G6" s="245" t="n"/>
    </row>
    <row r="7" ht="30" customHeight="1" s="214">
      <c r="A7" s="293" t="inlineStr">
        <is>
          <t>№ пп.</t>
        </is>
      </c>
      <c r="B7" s="293" t="inlineStr">
        <is>
          <t>Код ресурса</t>
        </is>
      </c>
      <c r="C7" s="293" t="inlineStr">
        <is>
          <t>Наименование</t>
        </is>
      </c>
      <c r="D7" s="293" t="inlineStr">
        <is>
          <t>Ед. изм.</t>
        </is>
      </c>
      <c r="E7" s="273" t="inlineStr">
        <is>
          <t>Кол-во единиц по проектным данным</t>
        </is>
      </c>
      <c r="F7" s="293" t="inlineStr">
        <is>
          <t>Сметная стоимость в ценах на 01.01.2000 (руб.)</t>
        </is>
      </c>
      <c r="G7" s="344" t="n"/>
    </row>
    <row r="8">
      <c r="A8" s="346" t="n"/>
      <c r="B8" s="346" t="n"/>
      <c r="C8" s="346" t="n"/>
      <c r="D8" s="346" t="n"/>
      <c r="E8" s="346" t="n"/>
      <c r="F8" s="273" t="inlineStr">
        <is>
          <t>на ед. изм.</t>
        </is>
      </c>
      <c r="G8" s="273" t="inlineStr">
        <is>
          <t>общая</t>
        </is>
      </c>
    </row>
    <row r="9">
      <c r="A9" s="273" t="n">
        <v>1</v>
      </c>
      <c r="B9" s="273" t="n">
        <v>2</v>
      </c>
      <c r="C9" s="273" t="n">
        <v>3</v>
      </c>
      <c r="D9" s="273" t="n">
        <v>4</v>
      </c>
      <c r="E9" s="273" t="n">
        <v>5</v>
      </c>
      <c r="F9" s="273" t="n">
        <v>6</v>
      </c>
      <c r="G9" s="273" t="n">
        <v>7</v>
      </c>
    </row>
    <row r="10" ht="15" customHeight="1" s="214">
      <c r="A10" s="25" t="n"/>
      <c r="B10" s="272" t="inlineStr">
        <is>
          <t>ИНЖЕНЕРНОЕ ОБОРУДОВАНИЕ</t>
        </is>
      </c>
      <c r="C10" s="343" t="n"/>
      <c r="D10" s="343" t="n"/>
      <c r="E10" s="343" t="n"/>
      <c r="F10" s="343" t="n"/>
      <c r="G10" s="344" t="n"/>
    </row>
    <row r="11" ht="20.25" customHeight="1" s="214">
      <c r="A11" s="273" t="n"/>
      <c r="B11" s="268" t="n"/>
      <c r="C11" s="272" t="inlineStr">
        <is>
          <t>ИТОГО ИНЖЕНЕРНОЕ ОБОРУДОВАНИЕ</t>
        </is>
      </c>
      <c r="D11" s="268" t="n"/>
      <c r="E11" s="105" t="n"/>
      <c r="F11" s="275" t="n"/>
      <c r="G11" s="275" t="n">
        <v>0</v>
      </c>
    </row>
    <row r="12" ht="15" customHeight="1" s="214">
      <c r="A12" s="273" t="n"/>
      <c r="B12" s="112" t="inlineStr">
        <is>
          <t>ТЕХНОЛОГИЧЕСКОЕ ОБОРУДОВАНИЕ</t>
        </is>
      </c>
      <c r="C12" s="349" t="n"/>
      <c r="D12" s="349" t="n"/>
      <c r="E12" s="349" t="n"/>
      <c r="F12" s="349" t="n"/>
      <c r="G12" s="350" t="n"/>
    </row>
    <row r="13">
      <c r="A13" s="273" t="n"/>
      <c r="B13" s="145" t="n"/>
      <c r="C13" s="272" t="n"/>
      <c r="D13" s="273" t="n"/>
      <c r="E13" s="241" t="n"/>
      <c r="F13" s="243" t="n"/>
      <c r="G13" s="243">
        <f>ROUND(E13*F13,2)</f>
        <v/>
      </c>
    </row>
    <row r="14" ht="25.5" customHeight="1" s="214">
      <c r="A14" s="273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5" t="n"/>
      <c r="G14" s="243">
        <f>SUM(G13:G13)</f>
        <v/>
      </c>
    </row>
    <row r="15" ht="19.5" customHeight="1" s="214">
      <c r="A15" s="273" t="n"/>
      <c r="B15" s="272" t="n"/>
      <c r="C15" s="272" t="inlineStr">
        <is>
          <t>Всего по разделу «Оборудование»</t>
        </is>
      </c>
      <c r="D15" s="272" t="n"/>
      <c r="E15" s="47" t="n"/>
      <c r="F15" s="275" t="n"/>
      <c r="G15" s="243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245" t="inlineStr">
        <is>
          <t>Составил ______________________      Е. М. Добровольская</t>
        </is>
      </c>
      <c r="B17" s="246" t="n"/>
      <c r="C17" s="246" t="n"/>
      <c r="D17" s="30" t="n"/>
      <c r="E17" s="30" t="n"/>
      <c r="F17" s="30" t="n"/>
      <c r="G17" s="30" t="n"/>
    </row>
    <row r="18">
      <c r="A18" s="247" t="inlineStr">
        <is>
          <t xml:space="preserve">                         (подпись, инициалы, фамилия)</t>
        </is>
      </c>
      <c r="B18" s="246" t="n"/>
      <c r="C18" s="246" t="n"/>
      <c r="D18" s="30" t="n"/>
      <c r="E18" s="30" t="n"/>
      <c r="F18" s="30" t="n"/>
      <c r="G18" s="30" t="n"/>
    </row>
    <row r="19">
      <c r="A19" s="245" t="n"/>
      <c r="B19" s="246" t="n"/>
      <c r="C19" s="246" t="n"/>
      <c r="D19" s="30" t="n"/>
      <c r="E19" s="30" t="n"/>
      <c r="F19" s="30" t="n"/>
      <c r="G19" s="30" t="n"/>
    </row>
    <row r="20">
      <c r="A20" s="245" t="inlineStr">
        <is>
          <t>Проверил ______________________        А.В. Костянецкая</t>
        </is>
      </c>
      <c r="B20" s="246" t="n"/>
      <c r="C20" s="246" t="n"/>
      <c r="D20" s="30" t="n"/>
      <c r="E20" s="30" t="n"/>
      <c r="F20" s="30" t="n"/>
      <c r="G20" s="30" t="n"/>
    </row>
    <row r="21">
      <c r="A21" s="247" t="inlineStr">
        <is>
          <t xml:space="preserve">                        (подпись, инициалы, фамилия)</t>
        </is>
      </c>
      <c r="B21" s="246" t="n"/>
      <c r="C21" s="246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14" min="1" max="1"/>
    <col width="29.7109375" customWidth="1" style="214" min="2" max="2"/>
    <col width="39.140625" customWidth="1" style="214" min="3" max="3"/>
    <col width="24.5703125" customWidth="1" style="214" min="4" max="4"/>
    <col width="24.85546875" customWidth="1" style="214" min="5" max="5"/>
  </cols>
  <sheetData>
    <row r="1">
      <c r="B1" s="245" t="n"/>
      <c r="C1" s="245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 s="214">
      <c r="A3" s="248" t="inlineStr">
        <is>
          <t>Расчет показателя УНЦ</t>
        </is>
      </c>
    </row>
    <row r="4" ht="24.75" customHeight="1" s="214">
      <c r="A4" s="248" t="n"/>
      <c r="B4" s="248" t="n"/>
      <c r="C4" s="248" t="n"/>
      <c r="D4" s="248" t="n"/>
    </row>
    <row r="5" ht="47.25" customHeight="1" s="214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9.9" customHeight="1" s="214">
      <c r="A6" s="251" t="inlineStr">
        <is>
          <t>Единица измерения  — 1 км</t>
        </is>
      </c>
      <c r="D6" s="251" t="n"/>
    </row>
    <row r="7">
      <c r="A7" s="245" t="n"/>
      <c r="B7" s="245" t="n"/>
      <c r="C7" s="245" t="n"/>
      <c r="D7" s="245" t="n"/>
    </row>
    <row r="8" ht="14.45" customHeight="1" s="214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 ht="15" customHeight="1" s="214">
      <c r="A9" s="346" t="n"/>
      <c r="B9" s="346" t="n"/>
      <c r="C9" s="346" t="n"/>
      <c r="D9" s="346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 s="214">
      <c r="A11" s="273" t="inlineStr">
        <is>
          <t>О1-06-1</t>
        </is>
      </c>
      <c r="B11" s="273" t="inlineStr">
        <is>
          <t xml:space="preserve">УНЦ ОКГТ </t>
        </is>
      </c>
      <c r="C11" s="202">
        <f>D5</f>
        <v/>
      </c>
      <c r="D11" s="203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245" t="inlineStr">
        <is>
          <t>Составил ______________________      Е. М. Добровольская</t>
        </is>
      </c>
      <c r="B13" s="246" t="n"/>
      <c r="C13" s="246" t="n"/>
      <c r="D13" s="30" t="n"/>
    </row>
    <row r="14">
      <c r="A14" s="247" t="inlineStr">
        <is>
          <t xml:space="preserve">                         (подпись, инициалы, фамилия)</t>
        </is>
      </c>
      <c r="B14" s="246" t="n"/>
      <c r="C14" s="246" t="n"/>
      <c r="D14" s="30" t="n"/>
    </row>
    <row r="15">
      <c r="A15" s="245" t="n"/>
      <c r="B15" s="246" t="n"/>
      <c r="C15" s="246" t="n"/>
      <c r="D15" s="30" t="n"/>
    </row>
    <row r="16">
      <c r="A16" s="245" t="inlineStr">
        <is>
          <t>Проверил ______________________        А.В. Костянецкая</t>
        </is>
      </c>
      <c r="B16" s="246" t="n"/>
      <c r="C16" s="246" t="n"/>
      <c r="D16" s="30" t="n"/>
    </row>
    <row r="17">
      <c r="A17" s="247" t="inlineStr">
        <is>
          <t xml:space="preserve">                        (подпись, инициалы, фамилия)</t>
        </is>
      </c>
      <c r="B17" s="246" t="n"/>
      <c r="C17" s="246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8" zoomScale="60" zoomScaleNormal="100" workbookViewId="0">
      <selection activeCell="C23" sqref="C23"/>
    </sheetView>
  </sheetViews>
  <sheetFormatPr baseColWidth="8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56" t="inlineStr">
        <is>
          <t>Приложение № 10</t>
        </is>
      </c>
    </row>
    <row r="5" ht="18.75" customHeight="1" s="214">
      <c r="B5" s="133" t="n"/>
    </row>
    <row r="6" ht="15.75" customHeight="1" s="214">
      <c r="B6" s="262" t="inlineStr">
        <is>
          <t>Используемые индексы изменений сметной стоимости и нормы сопутствующих затрат</t>
        </is>
      </c>
    </row>
    <row r="7" ht="18.75" customHeight="1" s="214">
      <c r="B7" s="134" t="n"/>
    </row>
    <row r="8" ht="47.25" customHeight="1" s="214">
      <c r="B8" s="261" t="inlineStr">
        <is>
          <t>Наименование индекса / норм сопутствующих затрат</t>
        </is>
      </c>
      <c r="C8" s="261" t="inlineStr">
        <is>
          <t>Дата применения и обоснование индекса / норм сопутствующих затрат</t>
        </is>
      </c>
      <c r="D8" s="261" t="inlineStr">
        <is>
          <t>Размер индекса / норма сопутствующих затрат</t>
        </is>
      </c>
    </row>
    <row r="9" ht="15.75" customHeight="1" s="214">
      <c r="B9" s="261" t="n">
        <v>1</v>
      </c>
      <c r="C9" s="261" t="n">
        <v>2</v>
      </c>
      <c r="D9" s="261" t="n">
        <v>3</v>
      </c>
    </row>
    <row r="10" ht="45" customHeight="1" s="214">
      <c r="B10" s="261" t="inlineStr">
        <is>
          <t xml:space="preserve">Индекс изменения сметной стоимости на 1 квартал 2023 года. ОЗП </t>
        </is>
      </c>
      <c r="C10" s="261" t="inlineStr">
        <is>
          <t>Письмо Минстроя России от  01.04.2023г. №17772-ИФ/09  прил.9</t>
        </is>
      </c>
      <c r="D10" s="261" t="n">
        <v>46.83</v>
      </c>
    </row>
    <row r="11" ht="29.25" customHeight="1" s="214">
      <c r="B11" s="261" t="inlineStr">
        <is>
          <t>Индекс изменения сметной стоимости на 1 квартал 2023 года. ЭМ</t>
        </is>
      </c>
      <c r="C11" s="261" t="inlineStr">
        <is>
          <t>Письмо Минстроя России от  01.04.2023г. №17772-ИФ/09  прил.9</t>
        </is>
      </c>
      <c r="D11" s="261" t="n">
        <v>11.96</v>
      </c>
    </row>
    <row r="12" ht="29.25" customHeight="1" s="214">
      <c r="B12" s="261" t="inlineStr">
        <is>
          <t>Индекс изменения сметной стоимости на 1 квартал 2023 года. МАТ</t>
        </is>
      </c>
      <c r="C12" s="261" t="inlineStr">
        <is>
          <t>Письмо Минстроя России от  01.04.2023г. №17772-ИФ/09  прил.9</t>
        </is>
      </c>
      <c r="D12" s="261" t="n">
        <v>9.84</v>
      </c>
    </row>
    <row r="13" ht="30.75" customHeight="1" s="214">
      <c r="B13" s="261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1" t="n">
        <v>6.26</v>
      </c>
    </row>
    <row r="14" ht="89.25" customHeight="1" s="214">
      <c r="B14" s="261" t="inlineStr">
        <is>
          <t>Временные здания и сооружения</t>
        </is>
      </c>
      <c r="C14" s="2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8" t="n">
        <v>0.033</v>
      </c>
    </row>
    <row r="15" ht="78.75" customHeight="1" s="214">
      <c r="B15" s="261" t="inlineStr">
        <is>
          <t>Дополнительные затраты при производстве строительно-монтажных работ в зимнее время</t>
        </is>
      </c>
      <c r="C15" s="26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8" t="n">
        <v>0.01</v>
      </c>
    </row>
    <row r="16" ht="34.5" customHeight="1" s="214">
      <c r="B16" s="261" t="n"/>
      <c r="C16" s="261" t="n"/>
      <c r="D16" s="261" t="n"/>
    </row>
    <row r="17" ht="31.5" customHeight="1" s="214">
      <c r="B17" s="261" t="inlineStr">
        <is>
          <t>Строительный контроль</t>
        </is>
      </c>
      <c r="C17" s="261" t="inlineStr">
        <is>
          <t>Постановление Правительства РФ от 21.06.10 г. № 468</t>
        </is>
      </c>
      <c r="D17" s="138" t="n">
        <v>0.0214</v>
      </c>
    </row>
    <row r="18" ht="31.5" customHeight="1" s="214">
      <c r="B18" s="261" t="inlineStr">
        <is>
          <t>Авторский надзор - 0,2%</t>
        </is>
      </c>
      <c r="C18" s="261" t="inlineStr">
        <is>
          <t>Приказ от 4.08.2020 № 421/пр п.173</t>
        </is>
      </c>
      <c r="D18" s="138" t="n">
        <v>0.002</v>
      </c>
    </row>
    <row r="19" ht="24" customHeight="1" s="214">
      <c r="B19" s="261" t="inlineStr">
        <is>
          <t>Непредвиденные расходы</t>
        </is>
      </c>
      <c r="C19" s="261" t="inlineStr">
        <is>
          <t>Приказ от 4.08.2020 № 421/пр п.179</t>
        </is>
      </c>
      <c r="D19" s="138" t="n">
        <v>0.03</v>
      </c>
    </row>
    <row r="20" ht="18.75" customHeight="1" s="214">
      <c r="B20" s="134" t="n"/>
    </row>
    <row r="21" ht="18.75" customHeight="1" s="214">
      <c r="B21" s="134" t="n"/>
    </row>
    <row r="22" ht="18.75" customHeight="1" s="214">
      <c r="B22" s="134" t="n"/>
    </row>
    <row r="23" ht="18.75" customHeight="1" s="214">
      <c r="B23" s="134" t="n"/>
    </row>
    <row r="26">
      <c r="B26" s="245" t="inlineStr">
        <is>
          <t>Составил ______________________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E13" sqref="E13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2" ht="18" customHeight="1" s="214">
      <c r="A2" s="2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122" t="inlineStr">
        <is>
          <t>Составлен в уровне цен на 01.01.2023 г.</t>
        </is>
      </c>
    </row>
    <row r="5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</row>
    <row r="6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</row>
    <row r="7" ht="105" customHeight="1" s="214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2" t="inlineStr">
        <is>
          <t>С1ср</t>
        </is>
      </c>
      <c r="D7" s="322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14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22" t="inlineStr">
        <is>
          <t>tср</t>
        </is>
      </c>
      <c r="D8" s="322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22" t="inlineStr">
        <is>
          <t>Кув</t>
        </is>
      </c>
      <c r="D9" s="322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22" t="n"/>
      <c r="D10" s="322" t="n"/>
      <c r="E10" s="126" t="n">
        <v>4.1</v>
      </c>
      <c r="F10" s="63" t="inlineStr">
        <is>
          <t>РТМ</t>
        </is>
      </c>
      <c r="G10" s="125" t="n"/>
    </row>
    <row r="11" ht="75" customHeight="1" s="214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22" t="inlineStr">
        <is>
          <t>КТ</t>
        </is>
      </c>
      <c r="D11" s="322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14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22" t="inlineStr">
        <is>
          <t>Кинф</t>
        </is>
      </c>
      <c r="D12" s="322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14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22" t="inlineStr">
        <is>
          <t>ФОТр.тек.</t>
        </is>
      </c>
      <c r="D13" s="322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184" t="n"/>
      <c r="B14" s="185" t="inlineStr">
        <is>
          <t>Инженер I категории</t>
        </is>
      </c>
      <c r="C14" s="184" t="n"/>
      <c r="D14" s="184" t="n"/>
      <c r="E14" s="184" t="n"/>
      <c r="F14" s="184" t="n"/>
    </row>
    <row r="15" ht="63.75" customHeight="1" s="214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2" t="inlineStr">
        <is>
          <t>С1ср</t>
        </is>
      </c>
      <c r="D15" s="182" t="inlineStr">
        <is>
          <t>-</t>
        </is>
      </c>
      <c r="E15" s="188" t="n">
        <v>43361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14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182" t="inlineStr">
        <is>
          <t>tср</t>
        </is>
      </c>
      <c r="D16" s="182" t="inlineStr">
        <is>
          <t>1973ч/12мес.</t>
        </is>
      </c>
      <c r="E16" s="188">
        <f>1973/12</f>
        <v/>
      </c>
      <c r="F16" s="187" t="inlineStr">
        <is>
          <t>Производственный календарь 2023 год
(40-часов.неделя)</t>
        </is>
      </c>
    </row>
    <row r="17">
      <c r="A17" s="186" t="inlineStr">
        <is>
          <t>1.3</t>
        </is>
      </c>
      <c r="B17" s="187" t="inlineStr">
        <is>
          <t>Коэффициент увеличения</t>
        </is>
      </c>
      <c r="C17" s="182" t="inlineStr">
        <is>
          <t>Кув</t>
        </is>
      </c>
      <c r="D17" s="182" t="inlineStr">
        <is>
          <t>-</t>
        </is>
      </c>
      <c r="E17" s="188" t="n">
        <v>1</v>
      </c>
      <c r="F17" s="187" t="n"/>
    </row>
    <row r="18">
      <c r="A18" s="186" t="inlineStr">
        <is>
          <t>1.4</t>
        </is>
      </c>
      <c r="B18" s="187" t="inlineStr">
        <is>
          <t>Средний разряд работ</t>
        </is>
      </c>
      <c r="C18" s="182" t="n"/>
      <c r="D18" s="182" t="n"/>
      <c r="E18" s="189" t="n">
        <v>1</v>
      </c>
      <c r="F18" s="187" t="inlineStr">
        <is>
          <t>РТМ</t>
        </is>
      </c>
    </row>
    <row r="19" ht="51" customHeight="1" s="214">
      <c r="A19" s="186" t="inlineStr">
        <is>
          <t>1.5</t>
        </is>
      </c>
      <c r="B19" s="187" t="inlineStr">
        <is>
          <t>Тарифный коэффициент среднего разряда работ</t>
        </is>
      </c>
      <c r="C19" s="182" t="inlineStr">
        <is>
          <t>КТ</t>
        </is>
      </c>
      <c r="D19" s="182" t="inlineStr">
        <is>
          <t>-</t>
        </is>
      </c>
      <c r="E19" s="190" t="n">
        <v>2.15</v>
      </c>
      <c r="F19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14">
      <c r="A20" s="186" t="inlineStr">
        <is>
          <t>1.6</t>
        </is>
      </c>
      <c r="B20" s="191" t="inlineStr">
        <is>
          <t>Коэффициент инфляции, определяемый поквартально</t>
        </is>
      </c>
      <c r="C20" s="182" t="inlineStr">
        <is>
          <t>Кинф</t>
        </is>
      </c>
      <c r="D20" s="182" t="inlineStr">
        <is>
          <t>-</t>
        </is>
      </c>
      <c r="E20" s="192" t="n">
        <v>1.139</v>
      </c>
      <c r="F20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9.75" customHeight="1" s="214">
      <c r="A21" s="186" t="inlineStr">
        <is>
          <t>1.7</t>
        </is>
      </c>
      <c r="B21" s="194" t="inlineStr">
        <is>
          <t>Размер средств на оплату труда рабочих-строителей в текущем уровне цен (ФОТи.тек.), руб/чел.-ч</t>
        </is>
      </c>
      <c r="C21" s="182" t="inlineStr">
        <is>
          <t>ФОТр.тек.</t>
        </is>
      </c>
      <c r="D21" s="182" t="inlineStr">
        <is>
          <t>(С1ср/tср*КТ*Т*Кув)*Кинф</t>
        </is>
      </c>
      <c r="E21" s="195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2025-01-24T12:12:44Z</dcterms:modified>
  <cp:lastModifiedBy>Danil</cp:lastModifiedBy>
  <cp:lastPrinted>2023-11-29T11:31:03Z</cp:lastPrinted>
</cp:coreProperties>
</file>