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55" workbookViewId="0">
      <selection activeCell="C26" sqref="C26"/>
    </sheetView>
  </sheetViews>
  <sheetFormatPr baseColWidth="8" defaultRowHeight="15"/>
  <cols>
    <col width="36.85546875" customWidth="1" style="222" min="3" max="3"/>
    <col width="51.28515625" customWidth="1" style="218" min="4" max="4"/>
    <col width="14.28515625" customWidth="1" style="222" min="7" max="7"/>
    <col width="15" customWidth="1" style="222" min="10" max="10"/>
  </cols>
  <sheetData>
    <row r="2" ht="15.75" customHeight="1" s="222">
      <c r="B2" s="253" t="inlineStr">
        <is>
          <t>Приложение № 1</t>
        </is>
      </c>
    </row>
    <row r="3" ht="18.75" customHeight="1" s="222">
      <c r="B3" s="254" t="inlineStr">
        <is>
          <t>Сравнительная таблица отбора объекта-представителя</t>
        </is>
      </c>
    </row>
    <row r="4" ht="84" customHeight="1" s="222">
      <c r="B4" s="2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22">
      <c r="B5" s="191" t="n"/>
      <c r="C5" s="191" t="n"/>
      <c r="D5" s="191" t="n"/>
    </row>
    <row r="6" ht="64.5" customHeight="1" s="222">
      <c r="B6" s="256" t="inlineStr">
        <is>
          <t xml:space="preserve">Наименование разрабатываемого показателя УНЦ - </t>
        </is>
      </c>
      <c r="D6" s="258" t="inlineStr">
        <is>
          <t>ОКГТ механическая прочность на разрыв 233кН, количество волокон 36 шт.</t>
        </is>
      </c>
    </row>
    <row r="7" ht="31.5" customHeight="1" s="222">
      <c r="B7" s="252" t="inlineStr">
        <is>
          <t>Сопоставимый уровень цен:2 квартал 2017 года</t>
        </is>
      </c>
    </row>
    <row r="8" ht="15.75" customHeight="1" s="222">
      <c r="B8" s="252" t="inlineStr">
        <is>
          <t>Единица измерения  — 1 км</t>
        </is>
      </c>
    </row>
    <row r="9" ht="18.75" customHeight="1" s="222">
      <c r="B9" s="134" t="n"/>
    </row>
    <row r="10" ht="15.75" customHeight="1" s="222">
      <c r="B10" s="260" t="inlineStr">
        <is>
          <t>№ п/п</t>
        </is>
      </c>
      <c r="C10" s="260" t="inlineStr">
        <is>
          <t>Параметр</t>
        </is>
      </c>
      <c r="D10" s="260" t="inlineStr">
        <is>
          <t>Объект-представитель</t>
        </is>
      </c>
    </row>
    <row r="11" ht="90" customHeight="1" s="222">
      <c r="B11" s="260" t="n">
        <v>1</v>
      </c>
      <c r="C11" s="171" t="inlineStr">
        <is>
          <t>Наименование объекта-представителя</t>
        </is>
      </c>
      <c r="D11" s="235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 s="222">
      <c r="B12" s="260" t="n">
        <v>2</v>
      </c>
      <c r="C12" s="171" t="inlineStr">
        <is>
          <t>Наименование субъекта Российской Федерации</t>
        </is>
      </c>
      <c r="D12" s="235" t="inlineStr">
        <is>
          <t>Ленингардская область</t>
        </is>
      </c>
    </row>
    <row r="13" ht="15.75" customHeight="1" s="222">
      <c r="B13" s="260" t="n">
        <v>3</v>
      </c>
      <c r="C13" s="171" t="inlineStr">
        <is>
          <t>Климатический район и подрайон</t>
        </is>
      </c>
      <c r="D13" s="260" t="inlineStr">
        <is>
          <t>IIВ</t>
        </is>
      </c>
    </row>
    <row r="14" ht="15.75" customHeight="1" s="222">
      <c r="B14" s="260" t="n">
        <v>4</v>
      </c>
      <c r="C14" s="171" t="inlineStr">
        <is>
          <t>Мощность объекта</t>
        </is>
      </c>
      <c r="D14" s="260" t="n">
        <v>90</v>
      </c>
    </row>
    <row r="15" ht="94.5" customHeight="1" s="222">
      <c r="B15" s="260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5" t="inlineStr">
        <is>
          <t>Марка муфты - МОПГ-М
Тип кабеля - ОКГТ-с-1-24 (24G.652)-14,4/66; ОКГТ-ц-1-24 (G/652)-15/50</t>
        </is>
      </c>
    </row>
    <row r="16" ht="78.75" customHeight="1" s="222">
      <c r="B16" s="260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 s="222">
      <c r="B17" s="238" t="inlineStr">
        <is>
          <t>6.1</t>
        </is>
      </c>
      <c r="C17" s="171" t="inlineStr">
        <is>
          <t>строительно-монтажные работы</t>
        </is>
      </c>
      <c r="D17" s="219" t="n">
        <v>860.82424</v>
      </c>
    </row>
    <row r="18" ht="15.75" customHeight="1" s="222">
      <c r="B18" s="238" t="inlineStr">
        <is>
          <t>6.2</t>
        </is>
      </c>
      <c r="C18" s="171" t="inlineStr">
        <is>
          <t>оборудование и инвентарь</t>
        </is>
      </c>
      <c r="D18" s="219" t="n">
        <v>0</v>
      </c>
    </row>
    <row r="19" ht="15.75" customHeight="1" s="222">
      <c r="B19" s="238" t="inlineStr">
        <is>
          <t>6.3</t>
        </is>
      </c>
      <c r="C19" s="171" t="inlineStr">
        <is>
          <t>пусконаладочные работы</t>
        </is>
      </c>
      <c r="D19" s="219" t="n">
        <v>0</v>
      </c>
    </row>
    <row r="20" ht="31.5" customHeight="1" s="222">
      <c r="B20" s="238" t="inlineStr">
        <is>
          <t>6.4</t>
        </is>
      </c>
      <c r="C20" s="171" t="inlineStr">
        <is>
          <t>прочие и лимитированные затраты</t>
        </is>
      </c>
      <c r="D20" s="219" t="n">
        <v>95.29979</v>
      </c>
    </row>
    <row r="21" ht="15.75" customHeight="1" s="222">
      <c r="B21" s="260" t="n">
        <v>7</v>
      </c>
      <c r="C21" s="171" t="inlineStr">
        <is>
          <t>Сопоставимый уровень цен</t>
        </is>
      </c>
      <c r="D21" s="238" t="inlineStr">
        <is>
          <t>2 квартал 2017 года</t>
        </is>
      </c>
      <c r="G21" s="198" t="n"/>
    </row>
    <row r="22" ht="110.25" customHeight="1" s="222">
      <c r="B22" s="260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 s="222">
      <c r="B23" s="260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98" t="n"/>
    </row>
    <row r="24" hidden="1" ht="110.25" customHeight="1" s="222">
      <c r="B24" s="260" t="n">
        <v>10</v>
      </c>
      <c r="C24" s="171" t="inlineStr">
        <is>
          <t>Примечание</t>
        </is>
      </c>
      <c r="D24" s="2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222">
      <c r="B25" s="193" t="n"/>
      <c r="C25" s="194" t="n"/>
      <c r="D25" s="220" t="n"/>
    </row>
    <row r="26">
      <c r="B26" s="223" t="inlineStr">
        <is>
          <t>Составил ______________________    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  <row r="31" ht="15.75" customHeight="1" s="222">
      <c r="B31" s="194" t="n"/>
      <c r="C31" s="194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style="222" min="1" max="1"/>
    <col width="44.85546875" customWidth="1" style="222" min="3" max="3"/>
    <col width="19.7109375" customWidth="1" style="222" min="4" max="4"/>
    <col width="29" customWidth="1" style="222" min="5" max="5"/>
    <col width="12.710937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</cols>
  <sheetData>
    <row r="3" ht="15.75" customHeight="1" s="222">
      <c r="B3" s="253" t="inlineStr">
        <is>
          <t>Приложение № 2</t>
        </is>
      </c>
    </row>
    <row r="4" ht="15.75" customHeight="1" s="222">
      <c r="B4" s="257" t="inlineStr">
        <is>
          <t>Расчет стоимости основных видов работ для выбора объекта-представителя</t>
        </is>
      </c>
    </row>
    <row r="5" ht="15.75" customHeight="1" s="222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 s="222">
      <c r="B6" s="258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233кН, количество волокон 36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 s="222">
      <c r="B7" s="252">
        <f>'Прил.1 Сравнит табл'!B8</f>
        <v/>
      </c>
    </row>
    <row r="8" ht="18.75" customHeight="1" s="222">
      <c r="B8" s="134" t="n"/>
    </row>
    <row r="9" ht="15.75" customHeight="1" s="222">
      <c r="B9" s="260" t="inlineStr">
        <is>
          <t>№ п/п</t>
        </is>
      </c>
      <c r="C9" s="2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0" t="inlineStr">
        <is>
          <t>Объект-представитель 1</t>
        </is>
      </c>
      <c r="E9" s="340" t="n"/>
      <c r="F9" s="340" t="n"/>
      <c r="G9" s="340" t="n"/>
      <c r="H9" s="340" t="n"/>
      <c r="I9" s="340" t="n"/>
      <c r="J9" s="341" t="n"/>
    </row>
    <row r="10" ht="15.75" customHeight="1" s="222">
      <c r="B10" s="342" t="n"/>
      <c r="C10" s="342" t="n"/>
      <c r="D10" s="260" t="inlineStr">
        <is>
          <t>Номер сметы</t>
        </is>
      </c>
      <c r="E10" s="260" t="inlineStr">
        <is>
          <t>Наименование сметы</t>
        </is>
      </c>
      <c r="F10" s="260" t="inlineStr">
        <is>
          <t>Сметная стоимость в уровне цен 2 кв. 2017 г., тыс. руб.</t>
        </is>
      </c>
      <c r="G10" s="340" t="n"/>
      <c r="H10" s="340" t="n"/>
      <c r="I10" s="340" t="n"/>
      <c r="J10" s="341" t="n"/>
    </row>
    <row r="11" ht="58.5" customHeight="1" s="222">
      <c r="B11" s="343" t="n"/>
      <c r="C11" s="343" t="n"/>
      <c r="D11" s="343" t="n"/>
      <c r="E11" s="343" t="n"/>
      <c r="F11" s="260" t="inlineStr">
        <is>
          <t>Строительные работы</t>
        </is>
      </c>
      <c r="G11" s="260" t="inlineStr">
        <is>
          <t>Монтажные работы</t>
        </is>
      </c>
      <c r="H11" s="260" t="inlineStr">
        <is>
          <t>Оборудование</t>
        </is>
      </c>
      <c r="I11" s="260" t="inlineStr">
        <is>
          <t>Прочее</t>
        </is>
      </c>
      <c r="J11" s="260" t="inlineStr">
        <is>
          <t>Всего</t>
        </is>
      </c>
    </row>
    <row r="12" ht="133.5" customFormat="1" customHeight="1" s="243">
      <c r="B12" s="236" t="n">
        <v>1</v>
      </c>
      <c r="C12" s="260" t="inlineStr">
        <is>
          <t>Марка муфты - МОПГ-М
Тип кабеля - ОКГТ-с-1-24 (24G.652)-14,4/66; ОКГТ-ц-1-24 (G/652)-15/50</t>
        </is>
      </c>
      <c r="D12" s="238" t="inlineStr">
        <is>
          <t>ЛС 05-01-01.1
ЛС 05-01-01.2
ЛС 05-01-01.3
ЛС 05-02-01.1
ЛС 05-02-01.2
ЛС 09-04-01</t>
        </is>
      </c>
      <c r="E12" s="239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40">
        <f>136856*6.29/1000</f>
        <v/>
      </c>
      <c r="G12" s="240" t="n"/>
      <c r="H12" s="240" t="n"/>
      <c r="I12" s="241" t="n"/>
      <c r="J12" s="242">
        <f>SUM(F12:I12)</f>
        <v/>
      </c>
    </row>
    <row r="13" ht="15.75" customHeight="1" s="222">
      <c r="B13" s="259" t="inlineStr">
        <is>
          <t>Всего по объекту:</t>
        </is>
      </c>
      <c r="C13" s="340" t="n"/>
      <c r="D13" s="340" t="n"/>
      <c r="E13" s="341" t="n"/>
      <c r="F13" s="244">
        <f>F12</f>
        <v/>
      </c>
      <c r="G13" s="196" t="n"/>
      <c r="H13" s="196" t="n"/>
      <c r="I13" s="196" t="n"/>
      <c r="J13" s="244">
        <f>J12</f>
        <v/>
      </c>
    </row>
    <row r="14" ht="15.75" customHeight="1" s="222">
      <c r="B14" s="259" t="inlineStr">
        <is>
          <t>Всего по объекту в сопоставимом уровне цен 2 кв. 2017 г:</t>
        </is>
      </c>
      <c r="C14" s="340" t="n"/>
      <c r="D14" s="340" t="n"/>
      <c r="E14" s="341" t="n"/>
      <c r="F14" s="244">
        <f>F13</f>
        <v/>
      </c>
      <c r="G14" s="196" t="n"/>
      <c r="H14" s="196" t="n"/>
      <c r="I14" s="196" t="n"/>
      <c r="J14" s="244">
        <f>J13</f>
        <v/>
      </c>
    </row>
    <row r="18">
      <c r="C18" s="223" t="inlineStr">
        <is>
          <t>Составил ______________________        Е. М. Добровольская</t>
        </is>
      </c>
      <c r="D18" s="233" t="n"/>
    </row>
    <row r="19">
      <c r="C19" s="234" t="inlineStr">
        <is>
          <t xml:space="preserve">                         (подпись, инициалы, фамилия)</t>
        </is>
      </c>
      <c r="D19" s="233" t="n"/>
    </row>
    <row r="20">
      <c r="C20" s="223" t="n"/>
      <c r="D20" s="233" t="n"/>
    </row>
    <row r="21">
      <c r="C21" s="223" t="inlineStr">
        <is>
          <t>Проверил ______________________        А.В. Костянецкая</t>
        </is>
      </c>
      <c r="D21" s="233" t="n"/>
    </row>
    <row r="22">
      <c r="C22" s="234" t="inlineStr">
        <is>
          <t xml:space="preserve">                        (подпись, инициалы, фамилия)</t>
        </is>
      </c>
      <c r="D22" s="233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="70" workbookViewId="0">
      <selection activeCell="C81" sqref="C81"/>
    </sheetView>
  </sheetViews>
  <sheetFormatPr baseColWidth="8" defaultRowHeight="15"/>
  <cols>
    <col width="11.140625" customWidth="1" style="222" min="1" max="1"/>
    <col width="14.7109375" customWidth="1" style="222" min="2" max="2"/>
    <col width="17" customWidth="1" style="222" min="3" max="3"/>
    <col width="49.7109375" customWidth="1" style="222" min="4" max="4"/>
    <col width="16.28515625" customWidth="1" style="222" min="5" max="5"/>
    <col width="20.7109375" customWidth="1" style="222" min="6" max="6"/>
    <col width="16.140625" customWidth="1" style="222" min="7" max="7"/>
    <col width="16.7109375" customWidth="1" style="222" min="8" max="8"/>
    <col width="11.140625" customWidth="1" style="222" min="9" max="9"/>
    <col width="9.28515625" customWidth="1" style="222" min="10" max="10"/>
    <col width="13" customWidth="1" style="222" min="11" max="11"/>
    <col width="9.140625" customWidth="1" style="222" min="12" max="12"/>
  </cols>
  <sheetData>
    <row r="2" ht="15.75" customHeight="1" s="222">
      <c r="A2" s="253" t="inlineStr">
        <is>
          <t xml:space="preserve">Приложение № 3 </t>
        </is>
      </c>
    </row>
    <row r="3" ht="18.75" customHeight="1" s="222">
      <c r="A3" s="254" t="inlineStr">
        <is>
          <t>Объектная ресурсная ведомость</t>
        </is>
      </c>
    </row>
    <row r="4" ht="18.75" customHeight="1" s="222">
      <c r="A4" s="254" t="n"/>
      <c r="B4" s="254" t="n"/>
      <c r="C4" s="254" t="n"/>
      <c r="D4" s="254" t="n"/>
      <c r="E4" s="254" t="n"/>
      <c r="F4" s="254" t="n"/>
      <c r="G4" s="254" t="n"/>
      <c r="H4" s="254" t="n"/>
    </row>
    <row r="5">
      <c r="B5" s="150" t="n"/>
    </row>
    <row r="6" ht="18.75" customHeight="1" s="222">
      <c r="A6" s="254" t="n"/>
      <c r="B6" s="254" t="n"/>
      <c r="C6" s="2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 s="222">
      <c r="A7" s="261" t="inlineStr">
        <is>
          <t xml:space="preserve">Наименование разрабатываемого показателя УНЦ - </t>
        </is>
      </c>
      <c r="D7" s="261" t="inlineStr">
        <is>
          <t>ОКГТ механическая прочность на разрыв 233кН, количество волокон 36 шт.</t>
        </is>
      </c>
    </row>
    <row r="8" ht="21.75" customHeight="1" s="222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 s="222">
      <c r="A9" s="260" t="inlineStr">
        <is>
          <t>п/п</t>
        </is>
      </c>
      <c r="B9" s="260" t="inlineStr">
        <is>
          <t>№ЛСР</t>
        </is>
      </c>
      <c r="C9" s="260" t="inlineStr">
        <is>
          <t>Код ресурса</t>
        </is>
      </c>
      <c r="D9" s="260" t="inlineStr">
        <is>
          <t>Наименование ресурса</t>
        </is>
      </c>
      <c r="E9" s="260" t="inlineStr">
        <is>
          <t>Ед. изм.</t>
        </is>
      </c>
      <c r="F9" s="260" t="inlineStr">
        <is>
          <t>Кол-во единиц по данным объекта-представителя</t>
        </is>
      </c>
      <c r="G9" s="260" t="inlineStr">
        <is>
          <t>Сметная стоимость в ценах на 01.01.2000 (руб.)</t>
        </is>
      </c>
      <c r="H9" s="341" t="n"/>
    </row>
    <row r="10" ht="40.5" customHeight="1" s="222">
      <c r="A10" s="343" t="n"/>
      <c r="B10" s="343" t="n"/>
      <c r="C10" s="343" t="n"/>
      <c r="D10" s="343" t="n"/>
      <c r="E10" s="343" t="n"/>
      <c r="F10" s="343" t="n"/>
      <c r="G10" s="260" t="inlineStr">
        <is>
          <t>на ед.изм.</t>
        </is>
      </c>
      <c r="H10" s="260" t="inlineStr">
        <is>
          <t>общая</t>
        </is>
      </c>
    </row>
    <row r="11" ht="15.75" customHeight="1" s="222">
      <c r="A11" s="260" t="n">
        <v>1</v>
      </c>
      <c r="B11" s="148" t="n"/>
      <c r="C11" s="260" t="n">
        <v>2</v>
      </c>
      <c r="D11" s="260" t="inlineStr">
        <is>
          <t>З</t>
        </is>
      </c>
      <c r="E11" s="260" t="n">
        <v>4</v>
      </c>
      <c r="F11" s="260" t="n">
        <v>5</v>
      </c>
      <c r="G11" s="148" t="n">
        <v>6</v>
      </c>
      <c r="H11" s="148" t="n">
        <v>7</v>
      </c>
    </row>
    <row r="12" ht="15" customHeight="1" s="222">
      <c r="A12" s="262" t="inlineStr">
        <is>
          <t>Затраты труда рабочих</t>
        </is>
      </c>
      <c r="B12" s="340" t="n"/>
      <c r="C12" s="340" t="n"/>
      <c r="D12" s="340" t="n"/>
      <c r="E12" s="340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90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90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90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90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90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90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 s="222">
      <c r="A19" s="266" t="inlineStr">
        <is>
          <t>Затраты труда машинистов</t>
        </is>
      </c>
      <c r="B19" s="340" t="n"/>
      <c r="C19" s="340" t="n"/>
      <c r="D19" s="340" t="n"/>
      <c r="E19" s="341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90" t="inlineStr">
        <is>
          <t>чел.-ч</t>
        </is>
      </c>
      <c r="F20" s="290" t="n">
        <v>334.24</v>
      </c>
      <c r="G20" s="145" t="n"/>
      <c r="H20" s="139" t="n">
        <v>18368.04</v>
      </c>
      <c r="L20" s="141" t="n"/>
      <c r="N20" s="202" t="n"/>
    </row>
    <row r="21" ht="15" customHeight="1" s="222">
      <c r="A21" s="266" t="inlineStr">
        <is>
          <t>Машины и механизмы</t>
        </is>
      </c>
      <c r="B21" s="340" t="n"/>
      <c r="C21" s="340" t="n"/>
      <c r="D21" s="340" t="n"/>
      <c r="E21" s="341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90" t="inlineStr">
        <is>
          <t>маш.-ч</t>
        </is>
      </c>
      <c r="F22" s="290" t="n">
        <v>298.179088</v>
      </c>
      <c r="G22" s="147" t="n">
        <v>243.49</v>
      </c>
      <c r="H22" s="145">
        <f>ROUND(F22*G22,2)</f>
        <v/>
      </c>
    </row>
    <row r="23" ht="25.5" customHeight="1" s="222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90" t="inlineStr">
        <is>
          <t>маш.-ч</t>
        </is>
      </c>
      <c r="F23" s="290" t="n">
        <v>109.116778</v>
      </c>
      <c r="G23" s="147" t="n">
        <v>637.76</v>
      </c>
      <c r="H23" s="145">
        <f>ROUND(F23*G23,2)</f>
        <v/>
      </c>
    </row>
    <row r="24" ht="25.5" customHeight="1" s="222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90" t="inlineStr">
        <is>
          <t>маш.-ч</t>
        </is>
      </c>
      <c r="F24" s="290" t="n">
        <v>398.001999</v>
      </c>
      <c r="G24" s="147" t="n">
        <v>147.43</v>
      </c>
      <c r="H24" s="145">
        <f>ROUND(F24*G24,2)</f>
        <v/>
      </c>
    </row>
    <row r="25" ht="25.5" customHeight="1" s="222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90" t="inlineStr">
        <is>
          <t>маш.-ч</t>
        </is>
      </c>
      <c r="F25" s="290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90" t="inlineStr">
        <is>
          <t>маш.-ч</t>
        </is>
      </c>
      <c r="F26" s="290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90" t="inlineStr">
        <is>
          <t>маш.-ч</t>
        </is>
      </c>
      <c r="F27" s="290" t="n">
        <v>145.92</v>
      </c>
      <c r="G27" s="147" t="n">
        <v>27.11</v>
      </c>
      <c r="H27" s="145">
        <f>ROUND(F27*G27,2)</f>
        <v/>
      </c>
    </row>
    <row r="28" ht="25.5" customHeight="1" s="222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90" t="inlineStr">
        <is>
          <t>маш.-ч</t>
        </is>
      </c>
      <c r="F28" s="290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90" t="inlineStr">
        <is>
          <t>маш.-ч</t>
        </is>
      </c>
      <c r="F29" s="290" t="n">
        <v>32.456039</v>
      </c>
      <c r="G29" s="147" t="n">
        <v>92.94</v>
      </c>
      <c r="H29" s="145">
        <f>ROUND(F29*G29,2)</f>
        <v/>
      </c>
    </row>
    <row r="30" ht="25.5" customHeight="1" s="222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90" t="inlineStr">
        <is>
          <t>маш.-ч</t>
        </is>
      </c>
      <c r="F30" s="290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90" t="inlineStr">
        <is>
          <t>маш.-ч</t>
        </is>
      </c>
      <c r="F31" s="290" t="n">
        <v>170.88</v>
      </c>
      <c r="G31" s="147" t="n">
        <v>10.62</v>
      </c>
      <c r="H31" s="145">
        <f>ROUND(F31*G31,2)</f>
        <v/>
      </c>
    </row>
    <row r="32" ht="25.5" customHeight="1" s="222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90" t="inlineStr">
        <is>
          <t>маш.-ч</t>
        </is>
      </c>
      <c r="F32" s="290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90" t="inlineStr">
        <is>
          <t>маш.-ч</t>
        </is>
      </c>
      <c r="F33" s="290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90" t="inlineStr">
        <is>
          <t>маш.-ч</t>
        </is>
      </c>
      <c r="F34" s="290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90" t="inlineStr">
        <is>
          <t>маш.-ч</t>
        </is>
      </c>
      <c r="F35" s="290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90" t="inlineStr">
        <is>
          <t>маш.-ч</t>
        </is>
      </c>
      <c r="F36" s="290" t="n">
        <v>1.5572</v>
      </c>
      <c r="G36" s="147" t="n">
        <v>17.14</v>
      </c>
      <c r="H36" s="145">
        <f>ROUND(F36*G36,2)</f>
        <v/>
      </c>
    </row>
    <row r="37" ht="15" customHeight="1" s="222">
      <c r="A37" s="266" t="inlineStr">
        <is>
          <t>Оборудование</t>
        </is>
      </c>
      <c r="B37" s="340" t="n"/>
      <c r="C37" s="340" t="n"/>
      <c r="D37" s="340" t="n"/>
      <c r="E37" s="341" t="n"/>
      <c r="F37" s="10" t="n"/>
      <c r="G37" s="10" t="n"/>
      <c r="H37" s="149">
        <f>SUM(H38:H38)</f>
        <v/>
      </c>
    </row>
    <row r="38" ht="20.25" customHeight="1" s="222">
      <c r="A38" s="146" t="n"/>
      <c r="B38" s="266" t="n"/>
      <c r="C38" s="142" t="n"/>
      <c r="D38" s="143" t="n"/>
      <c r="E38" s="290" t="n"/>
      <c r="F38" s="290" t="n"/>
      <c r="G38" s="145" t="n"/>
      <c r="H38" s="145" t="n"/>
      <c r="I38" s="199" t="n"/>
    </row>
    <row r="39" ht="15" customHeight="1" s="222">
      <c r="A39" s="266" t="inlineStr">
        <is>
          <t>Материалы</t>
        </is>
      </c>
      <c r="B39" s="340" t="n"/>
      <c r="C39" s="340" t="n"/>
      <c r="D39" s="340" t="n"/>
      <c r="E39" s="341" t="n"/>
      <c r="F39" s="10" t="n"/>
      <c r="G39" s="10" t="n"/>
      <c r="H39" s="149">
        <f>SUM(H40:H75)</f>
        <v/>
      </c>
    </row>
    <row r="40" ht="27" customHeight="1" s="222">
      <c r="A40" s="146">
        <f>A36+1</f>
        <v/>
      </c>
      <c r="B40" s="169" t="n"/>
      <c r="C40" s="142" t="inlineStr">
        <is>
          <t>Прайс из СД ОП</t>
        </is>
      </c>
      <c r="D40" s="269" t="inlineStr">
        <is>
          <t>Грозотрос ОКГТ 36 волокна (МПР 233кН)</t>
        </is>
      </c>
      <c r="E40" s="270" t="inlineStr">
        <is>
          <t>м</t>
        </is>
      </c>
      <c r="F40" s="156" t="n">
        <v>112120</v>
      </c>
      <c r="G40" s="272" t="n">
        <v>97.45999999999999</v>
      </c>
      <c r="H40" s="32">
        <f>G40*F40</f>
        <v/>
      </c>
      <c r="K40" s="199" t="n"/>
    </row>
    <row r="41" ht="38.25" customHeight="1" s="222">
      <c r="A41" s="146">
        <f>A40+1</f>
        <v/>
      </c>
      <c r="B41" s="169" t="n"/>
      <c r="C41" s="142" t="inlineStr">
        <is>
          <t>20.5.04.08-0005</t>
        </is>
      </c>
      <c r="D41" s="269" t="inlineStr">
        <is>
          <t>Зажим соединительный шлейфовый спиральный ШС-18,8-01 (прим. Зажим шлейфовый ЗКШ2-14/18-4)</t>
        </is>
      </c>
      <c r="E41" s="270" t="inlineStr">
        <is>
          <t>шт.</t>
        </is>
      </c>
      <c r="F41" s="156">
        <f>651+120</f>
        <v/>
      </c>
      <c r="G41" s="272" t="n">
        <v>330.46</v>
      </c>
      <c r="H41" s="32">
        <f>ROUND(F41*G41,2)</f>
        <v/>
      </c>
      <c r="K41" s="199" t="n"/>
    </row>
    <row r="42" ht="30.75" customHeight="1" s="222">
      <c r="A42" s="146">
        <f>A41+1</f>
        <v/>
      </c>
      <c r="B42" s="169" t="n"/>
      <c r="C42" s="142" t="inlineStr">
        <is>
          <t>20.1.01.12-0033</t>
        </is>
      </c>
      <c r="D42" s="269" t="inlineStr">
        <is>
          <t>Зажим поддерживающий спиральный ПС-15, 4П11 (прим. ПСО-14,1/14, 4П-33, 4П-21)</t>
        </is>
      </c>
      <c r="E42" s="270" t="inlineStr">
        <is>
          <t>шт.</t>
        </is>
      </c>
      <c r="F42" s="156">
        <f>172+28+26+34+13</f>
        <v/>
      </c>
      <c r="G42" s="272" t="n">
        <v>374.91</v>
      </c>
      <c r="H42" s="32">
        <f>ROUND(F42*G42,2)</f>
        <v/>
      </c>
      <c r="K42" s="199" t="n"/>
    </row>
    <row r="43" ht="41.25" customHeight="1" s="222">
      <c r="A43" s="146">
        <f>A42+1</f>
        <v/>
      </c>
      <c r="B43" s="169" t="n"/>
      <c r="C43" s="142" t="inlineStr">
        <is>
          <t>15.1.02.27-0002</t>
        </is>
      </c>
      <c r="D43" s="269" t="inlineStr">
        <is>
          <t>Барабан (крутящаяся часть с площадками) (прим. Барабан БШ-1-3)</t>
        </is>
      </c>
      <c r="E43" s="270" t="inlineStr">
        <is>
          <t>шт.</t>
        </is>
      </c>
      <c r="F43" s="156">
        <f>12+10</f>
        <v/>
      </c>
      <c r="G43" s="272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9" t="inlineStr">
        <is>
          <t>Гаситель вибрации, марка ГВП-1,6-11</t>
        </is>
      </c>
      <c r="E44" s="270" t="inlineStr">
        <is>
          <t>шт.</t>
        </is>
      </c>
      <c r="F44" s="156">
        <f>457+160+67</f>
        <v/>
      </c>
      <c r="G44" s="272" t="n">
        <v>120.89</v>
      </c>
      <c r="H44" s="32">
        <f>ROUND(F44*G44,2)</f>
        <v/>
      </c>
      <c r="K44" s="199" t="n"/>
    </row>
    <row r="45" ht="25.5" customHeight="1" s="222">
      <c r="A45" s="146">
        <f>A44+1</f>
        <v/>
      </c>
      <c r="B45" s="169" t="n"/>
      <c r="C45" s="142" t="inlineStr">
        <is>
          <t>20.5.04.04-0055</t>
        </is>
      </c>
      <c r="D45" s="269" t="inlineStr">
        <is>
          <t>Зажим натяжной спиральный НСО-13,0П-01 (прим. Зажим натяжной НСО-14.1/14)</t>
        </is>
      </c>
      <c r="E45" s="270" t="inlineStr">
        <is>
          <t>шт.</t>
        </is>
      </c>
      <c r="F45" s="156">
        <f>34+97+19+31+4</f>
        <v/>
      </c>
      <c r="G45" s="272" t="n">
        <v>374.45</v>
      </c>
      <c r="H45" s="32">
        <f>ROUND(F45*G45,2)</f>
        <v/>
      </c>
      <c r="K45" s="199" t="n"/>
    </row>
    <row r="46" ht="25.5" customHeight="1" s="222">
      <c r="A46" s="146">
        <f>A45+1</f>
        <v/>
      </c>
      <c r="B46" s="169" t="n"/>
      <c r="C46" s="142" t="inlineStr">
        <is>
          <t>20.5.04.08-0005</t>
        </is>
      </c>
      <c r="D46" s="269" t="inlineStr">
        <is>
          <t>Зажим соединительный шлейфовый спиральный ШС-18,8-01 (прим. Зажим шлейфовый ЗКШ-18/22-4)</t>
        </is>
      </c>
      <c r="E46" s="270" t="inlineStr">
        <is>
          <t>шт</t>
        </is>
      </c>
      <c r="F46" s="156" t="n">
        <v>166</v>
      </c>
      <c r="G46" s="272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9" t="inlineStr">
        <is>
          <t>Зажим заземляющий 3ПС 120-3В</t>
        </is>
      </c>
      <c r="E47" s="270" t="inlineStr">
        <is>
          <t>шт</t>
        </is>
      </c>
      <c r="F47" s="156">
        <f>312+121+85+132</f>
        <v/>
      </c>
      <c r="G47" s="272" t="n">
        <v>76.04000000000001</v>
      </c>
      <c r="H47" s="32">
        <f>ROUND(F47*G47,2)</f>
        <v/>
      </c>
      <c r="K47" s="199" t="n"/>
    </row>
    <row r="48" ht="63.75" customHeight="1" s="222">
      <c r="A48" s="146">
        <f>A47+1</f>
        <v/>
      </c>
      <c r="B48" s="169" t="n"/>
      <c r="C48" s="142" t="inlineStr">
        <is>
          <t>20.2.09.09-0006</t>
        </is>
      </c>
      <c r="D48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70" t="inlineStr">
        <is>
          <t>компл.</t>
        </is>
      </c>
      <c r="F48" s="156">
        <f>15+6+4+2+1</f>
        <v/>
      </c>
      <c r="G48" s="272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9" t="inlineStr">
        <is>
          <t>Звено промежуточное регулируемое ПРР-12-1А</t>
        </is>
      </c>
      <c r="E49" s="270" t="inlineStr">
        <is>
          <t>шт.</t>
        </is>
      </c>
      <c r="F49" s="156">
        <f>64+63+34+19+17</f>
        <v/>
      </c>
      <c r="G49" s="272" t="n">
        <v>169.51</v>
      </c>
      <c r="H49" s="32">
        <f>ROUND(F49*G49,2)</f>
        <v/>
      </c>
      <c r="K49" s="199" t="n"/>
    </row>
    <row r="50" ht="25.5" customHeight="1" s="222">
      <c r="A50" s="146">
        <f>A49+1</f>
        <v/>
      </c>
      <c r="B50" s="169" t="n"/>
      <c r="C50" s="142" t="inlineStr">
        <is>
          <t>20.2.09.13-0038</t>
        </is>
      </c>
      <c r="D50" s="269" t="inlineStr">
        <is>
          <t>Муфта свинцовая П-1200 (прим. Комплект для ввода ОКГТ в муфту КГВ 12-17/2-3.6)</t>
        </is>
      </c>
      <c r="E50" s="270" t="inlineStr">
        <is>
          <t>шт</t>
        </is>
      </c>
      <c r="F50" s="156" t="n">
        <v>37</v>
      </c>
      <c r="G50" s="272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9" t="inlineStr">
        <is>
          <t>Ушко однолапчатое У1-12-16</t>
        </is>
      </c>
      <c r="E51" s="270" t="inlineStr">
        <is>
          <t>шт.</t>
        </is>
      </c>
      <c r="F51" s="156">
        <f>63+47+64+19+4</f>
        <v/>
      </c>
      <c r="G51" s="272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9" t="inlineStr">
        <is>
          <t>Скоба СК-12-1А</t>
        </is>
      </c>
      <c r="E52" s="270" t="inlineStr">
        <is>
          <t>шт.</t>
        </is>
      </c>
      <c r="F52" s="156">
        <f>220+166+8</f>
        <v/>
      </c>
      <c r="G52" s="272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9" t="inlineStr">
        <is>
          <t>Зажим заземляющий 3ПС 300-3</t>
        </is>
      </c>
      <c r="E53" s="270" t="inlineStr">
        <is>
          <t>шт</t>
        </is>
      </c>
      <c r="F53" s="156">
        <f>78+9+4</f>
        <v/>
      </c>
      <c r="G53" s="272" t="n">
        <v>209.79</v>
      </c>
      <c r="H53" s="32">
        <f>ROUND(F53*G53,2)</f>
        <v/>
      </c>
      <c r="K53" s="199" t="n"/>
    </row>
    <row r="54" ht="38.25" customHeight="1" s="222">
      <c r="A54" s="146">
        <f>A53+1</f>
        <v/>
      </c>
      <c r="B54" s="169" t="n"/>
      <c r="C54" s="142" t="inlineStr">
        <is>
          <t>20.1.01.12-0033</t>
        </is>
      </c>
      <c r="D54" s="269" t="inlineStr">
        <is>
          <t>Зажим поддерживающий спиральный ПС-15, 4П11 (прим. Зажим поддерживающий спиральный  ПСО-21.3/21.7П-33)</t>
        </is>
      </c>
      <c r="E54" s="270" t="inlineStr">
        <is>
          <t>шт</t>
        </is>
      </c>
      <c r="F54" s="156">
        <f>23+9</f>
        <v/>
      </c>
      <c r="G54" s="272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9" t="inlineStr">
        <is>
          <t>Звено промежуточное монтажное ПТМ-12-2</t>
        </is>
      </c>
      <c r="E55" s="270" t="inlineStr">
        <is>
          <t>шт.</t>
        </is>
      </c>
      <c r="F55" s="156">
        <f>93+34+34+32+4</f>
        <v/>
      </c>
      <c r="G55" s="272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9" t="inlineStr">
        <is>
          <t>Ушко однолапчатое укороченное У1К-7-16</t>
        </is>
      </c>
      <c r="E56" s="270" t="inlineStr">
        <is>
          <t>шт.</t>
        </is>
      </c>
      <c r="F56" s="156">
        <f>150+128+9+6</f>
        <v/>
      </c>
      <c r="G56" s="272" t="n">
        <v>35.75</v>
      </c>
      <c r="H56" s="32">
        <f>ROUND(F56*G56,2)</f>
        <v/>
      </c>
      <c r="K56" s="199" t="n"/>
    </row>
    <row r="57" ht="38.25" customHeight="1" s="222">
      <c r="A57" s="146">
        <f>A56+1</f>
        <v/>
      </c>
      <c r="B57" s="169" t="n"/>
      <c r="C57" s="142" t="inlineStr">
        <is>
          <t>20.5.04.08-0005</t>
        </is>
      </c>
      <c r="D57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70" t="inlineStr">
        <is>
          <t>шт.</t>
        </is>
      </c>
      <c r="F57" s="156">
        <f>28</f>
        <v/>
      </c>
      <c r="G57" s="272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9" t="inlineStr">
        <is>
          <t>Протектор защитный спиральный ПЗС-15,2-13</t>
        </is>
      </c>
      <c r="E58" s="270" t="inlineStr">
        <is>
          <t>шт.</t>
        </is>
      </c>
      <c r="F58" s="156">
        <f>125+53+14+4</f>
        <v/>
      </c>
      <c r="G58" s="272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9" t="inlineStr">
        <is>
          <t>Скоба СК-7-1А</t>
        </is>
      </c>
      <c r="E59" s="270" t="inlineStr">
        <is>
          <t>шт.</t>
        </is>
      </c>
      <c r="F59" s="156">
        <f>196+34+22+26+6+9</f>
        <v/>
      </c>
      <c r="G59" s="272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9" t="inlineStr">
        <is>
          <t>Узел крепления КГП-7-3</t>
        </is>
      </c>
      <c r="E60" s="270" t="inlineStr">
        <is>
          <t>шт.</t>
        </is>
      </c>
      <c r="F60" s="156">
        <f>164+72+34+9+6</f>
        <v/>
      </c>
      <c r="G60" s="272" t="n">
        <v>25.55</v>
      </c>
      <c r="H60" s="32">
        <f>ROUND(F60*G60,2)</f>
        <v/>
      </c>
    </row>
    <row r="61" ht="25.5" customHeight="1" s="222">
      <c r="A61" s="146">
        <f>A60+1</f>
        <v/>
      </c>
      <c r="B61" s="169" t="n"/>
      <c r="C61" s="142" t="inlineStr">
        <is>
          <t>20.5.04.08-0002</t>
        </is>
      </c>
      <c r="D61" s="269" t="inlineStr">
        <is>
          <t>Зажим соединительный шлейфовый спиральный ШС-13,5-01</t>
        </is>
      </c>
      <c r="E61" s="270" t="inlineStr">
        <is>
          <t>шт.</t>
        </is>
      </c>
      <c r="F61" s="156" t="n">
        <v>51</v>
      </c>
      <c r="G61" s="272" t="n">
        <v>110.9</v>
      </c>
      <c r="H61" s="32">
        <f>ROUND(F61*G61,2)</f>
        <v/>
      </c>
    </row>
    <row r="62" ht="51" customHeight="1" s="222">
      <c r="A62" s="146">
        <f>A61+1</f>
        <v/>
      </c>
      <c r="B62" s="169" t="n"/>
      <c r="C62" s="142" t="inlineStr">
        <is>
          <t>21.2.01.02-0088</t>
        </is>
      </c>
      <c r="D62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70" t="inlineStr">
        <is>
          <t>т</t>
        </is>
      </c>
      <c r="F62" s="156">
        <f>0.0616+0.033+0.024+0.016+0.007+0.0098+0.0045</f>
        <v/>
      </c>
      <c r="G62" s="272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9" t="inlineStr">
        <is>
          <t>Зажим плашечный соединительный ПА-6-1</t>
        </is>
      </c>
      <c r="E63" s="270" t="inlineStr">
        <is>
          <t>шт.</t>
        </is>
      </c>
      <c r="F63" s="156">
        <f>31+38</f>
        <v/>
      </c>
      <c r="G63" s="272" t="n">
        <v>59.16</v>
      </c>
      <c r="H63" s="32">
        <f>ROUND(F63*G63,2)</f>
        <v/>
      </c>
    </row>
    <row r="64" ht="38.25" customHeight="1" s="222">
      <c r="A64" s="146">
        <f>A63+1</f>
        <v/>
      </c>
      <c r="B64" s="169" t="n"/>
      <c r="C64" s="142" t="inlineStr">
        <is>
          <t>01.7.15.03-0022</t>
        </is>
      </c>
      <c r="D64" s="269" t="inlineStr">
        <is>
          <t>Болты с гайками и шайбами оцинкованные для монтажа стальных конструкций, диаметр 16 мм, длина 55-200 мм</t>
        </is>
      </c>
      <c r="E64" s="270" t="inlineStr">
        <is>
          <t>т</t>
        </is>
      </c>
      <c r="F64" s="156">
        <f>0.146087+0.0146+0.0113+0.0081+0.0037+0.97/1000+0.37/1000+0.185/1000</f>
        <v/>
      </c>
      <c r="G64" s="272" t="n">
        <v>18796.65</v>
      </c>
      <c r="H64" s="32">
        <f>ROUND(F64*G64,2)</f>
        <v/>
      </c>
    </row>
    <row r="65" ht="25.5" customHeight="1" s="222">
      <c r="A65" s="146">
        <f>A64+1</f>
        <v/>
      </c>
      <c r="B65" s="169" t="n"/>
      <c r="C65" s="142" t="inlineStr">
        <is>
          <t>20.1.02.21-0032</t>
        </is>
      </c>
      <c r="D65" s="269" t="inlineStr">
        <is>
          <t>Узел крепления КГ-12-3 (прим. Узел подвески УПШ-03-01)</t>
        </is>
      </c>
      <c r="E65" s="270" t="inlineStr">
        <is>
          <t>шт.</t>
        </is>
      </c>
      <c r="F65" s="156" t="n">
        <v>44</v>
      </c>
      <c r="G65" s="272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9" t="inlineStr">
        <is>
          <t>Серьга СР-7-16</t>
        </is>
      </c>
      <c r="E66" s="270" t="inlineStr">
        <is>
          <t>шт.</t>
        </is>
      </c>
      <c r="F66" s="156">
        <f>46+34+26+172+9+6</f>
        <v/>
      </c>
      <c r="G66" s="272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9" t="inlineStr">
        <is>
          <t>Серьга СР-12-16</t>
        </is>
      </c>
      <c r="E67" s="270" t="inlineStr">
        <is>
          <t>шт.</t>
        </is>
      </c>
      <c r="F67" s="156">
        <f>97+34+30+19+13+4</f>
        <v/>
      </c>
      <c r="G67" s="272" t="n">
        <v>13.29</v>
      </c>
      <c r="H67" s="32">
        <f>ROUND(F67*G67,2)</f>
        <v/>
      </c>
    </row>
    <row r="68" ht="51" customHeight="1" s="222">
      <c r="A68" s="146">
        <f>A67+1</f>
        <v/>
      </c>
      <c r="B68" s="169" t="n"/>
      <c r="C68" s="142" t="inlineStr">
        <is>
          <t>01.5.03.03-0031</t>
        </is>
      </c>
      <c r="D68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70" t="inlineStr">
        <is>
          <t>шт.</t>
        </is>
      </c>
      <c r="F68" s="156">
        <f>16+6</f>
        <v/>
      </c>
      <c r="G68" s="272" t="n">
        <v>112.6</v>
      </c>
      <c r="H68" s="32">
        <f>ROUND(F68*G68,2)</f>
        <v/>
      </c>
    </row>
    <row r="69" ht="51" customHeight="1" s="222">
      <c r="A69" s="146">
        <f>A68+1</f>
        <v/>
      </c>
      <c r="B69" s="169" t="n"/>
      <c r="C69" s="142" t="inlineStr">
        <is>
          <t>21.2.01.02-0093</t>
        </is>
      </c>
      <c r="D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70" t="inlineStr">
        <is>
          <t>т</t>
        </is>
      </c>
      <c r="F69" s="156">
        <f>0.0553+0.0098+0.0037</f>
        <v/>
      </c>
      <c r="G69" s="272" t="n">
        <v>32752.18</v>
      </c>
      <c r="H69" s="32">
        <f>ROUND(F69*G69,2)</f>
        <v/>
      </c>
    </row>
    <row r="70" ht="25.5" customHeight="1" s="222">
      <c r="A70" s="146">
        <f>A69+1</f>
        <v/>
      </c>
      <c r="B70" s="169" t="n"/>
      <c r="C70" s="142" t="inlineStr">
        <is>
          <t>20.2.09.13-0038</t>
        </is>
      </c>
      <c r="D70" s="269" t="inlineStr">
        <is>
          <t>Муфта свинцовая П-1200 (прим. Комплект для ввода ОКСН (ДПМ) в муфту КВСц6-22)</t>
        </is>
      </c>
      <c r="E70" s="270" t="inlineStr">
        <is>
          <t>шт</t>
        </is>
      </c>
      <c r="F70" s="156" t="n">
        <v>2</v>
      </c>
      <c r="G70" s="272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9" t="inlineStr">
        <is>
          <t>Зажим плашечный соединительный ПА 3-2</t>
        </is>
      </c>
      <c r="E71" s="270" t="inlineStr">
        <is>
          <t>шт.</t>
        </is>
      </c>
      <c r="F71" s="156">
        <f>67+43+19</f>
        <v/>
      </c>
      <c r="G71" s="272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9" t="inlineStr">
        <is>
          <t>Скобы СК-21-1А (прим. Скоба СК-70-1Б)</t>
        </is>
      </c>
      <c r="E72" s="270" t="inlineStr">
        <is>
          <t>шт</t>
        </is>
      </c>
      <c r="F72" s="156" t="n">
        <v>8</v>
      </c>
      <c r="G72" s="272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9" t="inlineStr">
        <is>
          <t>Детали крепления</t>
        </is>
      </c>
      <c r="E73" s="270" t="inlineStr">
        <is>
          <t>компл.</t>
        </is>
      </c>
      <c r="F73" s="156" t="n">
        <v>22</v>
      </c>
      <c r="G73" s="272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9" t="inlineStr">
        <is>
          <t>Спирт этиловый ректификованный технический, сорт I</t>
        </is>
      </c>
      <c r="E74" s="270" t="inlineStr">
        <is>
          <t>кг</t>
        </is>
      </c>
      <c r="F74" s="156">
        <f>2.25+0.6+0.3+0.15</f>
        <v/>
      </c>
      <c r="G74" s="272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9" t="inlineStr">
        <is>
          <t>Вспомогательные ненормируемые материалы</t>
        </is>
      </c>
      <c r="E75" s="270" t="inlineStr">
        <is>
          <t>руб</t>
        </is>
      </c>
      <c r="F75" s="156" t="n">
        <v>91.3</v>
      </c>
      <c r="G75" s="272" t="n">
        <v>1</v>
      </c>
      <c r="H75" s="32">
        <f>ROUND(F75*G75,2)</f>
        <v/>
      </c>
    </row>
    <row r="76">
      <c r="K76" s="195" t="n"/>
    </row>
    <row r="77" ht="25.5" customHeight="1" s="222">
      <c r="A77" t="inlineStr">
        <is>
          <t>`</t>
        </is>
      </c>
      <c r="B77" s="150" t="inlineStr">
        <is>
          <t xml:space="preserve">Примечание: </t>
        </is>
      </c>
      <c r="C77" s="265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223" t="inlineStr">
        <is>
          <t>Составил ______________________     Е. М. Добровольская</t>
        </is>
      </c>
      <c r="C81" s="233" t="n"/>
    </row>
    <row r="82">
      <c r="B82" s="234" t="inlineStr">
        <is>
          <t xml:space="preserve">                         (подпись, инициалы, фамилия)</t>
        </is>
      </c>
      <c r="C82" s="233" t="n"/>
    </row>
    <row r="83">
      <c r="B83" s="223" t="n"/>
      <c r="C83" s="233" t="n"/>
    </row>
    <row r="84">
      <c r="B84" s="223" t="inlineStr">
        <is>
          <t>Проверил ______________________        А.В. Костянецкая</t>
        </is>
      </c>
      <c r="C84" s="233" t="n"/>
    </row>
    <row r="85">
      <c r="B85" s="234" t="inlineStr">
        <is>
          <t xml:space="preserve">                        (подпись, инициалы, фамилия)</t>
        </is>
      </c>
      <c r="C85" s="233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style="222" min="1" max="1"/>
    <col width="36.28515625" customWidth="1" style="222" min="2" max="2"/>
    <col width="18.85546875" customWidth="1" style="222" min="3" max="3"/>
    <col width="18.28515625" customWidth="1" style="222" min="4" max="4"/>
    <col width="18.85546875" customWidth="1" style="222" min="5" max="5"/>
    <col width="12.85546875" customWidth="1" style="222" min="7" max="7"/>
    <col width="13.5703125" customWidth="1" style="222" min="12" max="12"/>
  </cols>
  <sheetData>
    <row r="1">
      <c r="B1" s="223" t="n"/>
      <c r="C1" s="223" t="n"/>
      <c r="D1" s="223" t="n"/>
      <c r="E1" s="223" t="n"/>
    </row>
    <row r="2">
      <c r="B2" s="223" t="n"/>
      <c r="C2" s="223" t="n"/>
      <c r="D2" s="223" t="n"/>
      <c r="E2" s="289" t="inlineStr">
        <is>
          <t>Приложение № 4</t>
        </is>
      </c>
    </row>
    <row r="3">
      <c r="B3" s="223" t="n"/>
      <c r="C3" s="223" t="n"/>
      <c r="D3" s="223" t="n"/>
      <c r="E3" s="223" t="n"/>
    </row>
    <row r="4">
      <c r="B4" s="223" t="n"/>
      <c r="C4" s="223" t="n"/>
      <c r="D4" s="223" t="n"/>
      <c r="E4" s="223" t="n"/>
    </row>
    <row r="5">
      <c r="B5" s="245" t="inlineStr">
        <is>
          <t>Ресурсная модель</t>
        </is>
      </c>
    </row>
    <row r="6">
      <c r="B6" s="245" t="n"/>
      <c r="C6" s="245" t="n"/>
      <c r="D6" s="245" t="n"/>
      <c r="E6" s="245" t="n"/>
    </row>
    <row r="7" ht="34.5" customHeight="1" s="222">
      <c r="B7" s="268" t="inlineStr">
        <is>
          <t xml:space="preserve">Наименование разрабатываемого показателя УНЦ - </t>
        </is>
      </c>
      <c r="D7" s="268" t="inlineStr">
        <is>
          <t>ОКГТ механическая прочность на разрыв 233кН, количество волокон 36 шт.</t>
        </is>
      </c>
    </row>
    <row r="8">
      <c r="B8" s="267">
        <f>'Прил.1 Сравнит табл'!B8</f>
        <v/>
      </c>
    </row>
    <row r="9">
      <c r="B9" s="118" t="n"/>
      <c r="C9" s="223" t="n"/>
      <c r="D9" s="223" t="n"/>
      <c r="E9" s="223" t="n"/>
    </row>
    <row r="10" ht="51" customHeight="1" s="222">
      <c r="B10" s="270" t="inlineStr">
        <is>
          <t>Наименование</t>
        </is>
      </c>
      <c r="C10" s="270" t="inlineStr">
        <is>
          <t>Сметная стоимость в ценах на 01.01.2023
 (руб.)</t>
        </is>
      </c>
      <c r="D10" s="270" t="inlineStr">
        <is>
          <t>Удельный вес, 
(в СМР)</t>
        </is>
      </c>
      <c r="E10" s="27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8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8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8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8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8">
        <f>C19+C20+C22</f>
        <v/>
      </c>
      <c r="D24" s="27">
        <f>C24/$C$24</f>
        <v/>
      </c>
      <c r="E24" s="27">
        <f>C24/$C$40</f>
        <v/>
      </c>
    </row>
    <row r="25" ht="25.5" customHeight="1" s="222">
      <c r="B25" s="25" t="inlineStr">
        <is>
          <t>ВСЕГО стоимость оборудования, в том числе</t>
        </is>
      </c>
      <c r="C25" s="228">
        <f>'Прил.5 Расчет СМР и ОБ'!J43</f>
        <v/>
      </c>
      <c r="D25" s="27" t="n"/>
      <c r="E25" s="27">
        <f>C25/$C$40</f>
        <v/>
      </c>
    </row>
    <row r="26" ht="25.5" customHeight="1" s="222">
      <c r="B26" s="25" t="inlineStr">
        <is>
          <t>стоимость оборудования технологического</t>
        </is>
      </c>
      <c r="C26" s="228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22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22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 s="222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 s="222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22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22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22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22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 s="222">
      <c r="B38" s="25" t="inlineStr">
        <is>
          <t>ИТОГО (СМР+ОБОРУДОВАНИЕ+ПРОЧ. ЗАТР., УЧТЕННЫЕ ПОКАЗАТЕЛЕМ)</t>
        </is>
      </c>
      <c r="C38" s="228">
        <f>C27+C32+C33+C34+C35+C29+C31+C30+C36+C37</f>
        <v/>
      </c>
      <c r="D38" s="25" t="n"/>
      <c r="E38" s="27">
        <f>C38/$C$40</f>
        <v/>
      </c>
    </row>
    <row r="39" ht="13.5" customHeight="1" s="222">
      <c r="B39" s="25" t="inlineStr">
        <is>
          <t>Непредвиденные расходы</t>
        </is>
      </c>
      <c r="C39" s="228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8">
        <f>C40/'Прил.5 Расчет СМР и ОБ'!E90</f>
        <v/>
      </c>
      <c r="D41" s="25" t="n"/>
      <c r="E41" s="25" t="n"/>
    </row>
    <row r="42">
      <c r="B42" s="230" t="n"/>
      <c r="C42" s="223" t="n"/>
      <c r="D42" s="223" t="n"/>
      <c r="E42" s="223" t="n"/>
    </row>
    <row r="43">
      <c r="B43" s="230" t="inlineStr">
        <is>
          <t>Составил ____________________________  Е. М. Добровольская</t>
        </is>
      </c>
      <c r="C43" s="223" t="n"/>
      <c r="D43" s="223" t="n"/>
      <c r="E43" s="223" t="n"/>
    </row>
    <row r="44">
      <c r="B44" s="230" t="inlineStr">
        <is>
          <t xml:space="preserve">(должность, подпись, инициалы, фамилия) </t>
        </is>
      </c>
      <c r="C44" s="223" t="n"/>
      <c r="D44" s="223" t="n"/>
      <c r="E44" s="223" t="n"/>
    </row>
    <row r="45">
      <c r="B45" s="230" t="n"/>
      <c r="C45" s="223" t="n"/>
      <c r="D45" s="223" t="n"/>
      <c r="E45" s="223" t="n"/>
    </row>
    <row r="46">
      <c r="B46" s="230" t="inlineStr">
        <is>
          <t>Проверил ____________________________ А.В. Костянецкая</t>
        </is>
      </c>
      <c r="C46" s="223" t="n"/>
      <c r="D46" s="223" t="n"/>
      <c r="E46" s="223" t="n"/>
    </row>
    <row r="47">
      <c r="B47" s="267" t="inlineStr">
        <is>
          <t>(должность, подпись, инициалы, фамилия)</t>
        </is>
      </c>
      <c r="D47" s="223" t="n"/>
      <c r="E47" s="223" t="n"/>
    </row>
    <row r="49">
      <c r="B49" s="223" t="n"/>
      <c r="C49" s="223" t="n"/>
      <c r="D49" s="223" t="n"/>
      <c r="E49" s="223" t="n"/>
    </row>
    <row r="50">
      <c r="B50" s="223" t="n"/>
      <c r="C50" s="223" t="n"/>
      <c r="D50" s="223" t="n"/>
      <c r="E50" s="223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C93" sqref="C93"/>
    </sheetView>
  </sheetViews>
  <sheetFormatPr baseColWidth="8" defaultColWidth="9.140625" defaultRowHeight="15" outlineLevelRow="1"/>
  <cols>
    <col width="5.7109375" customWidth="1" style="233" min="1" max="1"/>
    <col width="22.5703125" customWidth="1" style="233" min="2" max="2"/>
    <col width="39.140625" customWidth="1" style="233" min="3" max="3"/>
    <col width="10.7109375" customWidth="1" style="233" min="4" max="4"/>
    <col width="12.7109375" customWidth="1" style="233" min="5" max="5"/>
    <col width="14.5703125" customWidth="1" style="233" min="6" max="6"/>
    <col width="13.42578125" customWidth="1" style="233" min="7" max="7"/>
    <col width="12.7109375" customWidth="1" style="233" min="8" max="8"/>
    <col width="14.5703125" customWidth="1" style="233" min="9" max="9"/>
    <col width="15.140625" customWidth="1" style="233" min="10" max="10"/>
    <col width="22.42578125" customWidth="1" style="233" min="11" max="11"/>
    <col width="20.28515625" customWidth="1" style="233" min="12" max="12"/>
    <col width="10.85546875" customWidth="1" style="233" min="13" max="13"/>
    <col width="9.140625" customWidth="1" style="233" min="14" max="14"/>
  </cols>
  <sheetData>
    <row r="2" ht="15.75" customHeight="1" s="222">
      <c r="I2" s="243" t="n"/>
      <c r="J2" s="173" t="inlineStr">
        <is>
          <t>Приложение №5</t>
        </is>
      </c>
    </row>
    <row r="4" ht="12.75" customFormat="1" customHeight="1" s="223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223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26.25" customFormat="1" customHeight="1" s="223">
      <c r="A6" s="248" t="inlineStr">
        <is>
          <t xml:space="preserve">Наименование разрабатываемого показателя УНЦ </t>
        </is>
      </c>
      <c r="D6" s="248" t="inlineStr">
        <is>
          <t>ОКГТ механическая прочность на разрыв 233кН, количество волокон 36 шт.</t>
        </is>
      </c>
    </row>
    <row r="7" ht="25.5" customFormat="1" customHeight="1" s="223">
      <c r="A7" s="248">
        <f>'Прил.1 Сравнит табл'!B8</f>
        <v/>
      </c>
      <c r="I7" s="268" t="n"/>
      <c r="J7" s="268" t="n"/>
    </row>
    <row r="8" ht="12.75" customFormat="1" customHeight="1" s="223"/>
    <row r="9" ht="27" customHeight="1" s="222">
      <c r="A9" s="270" t="inlineStr">
        <is>
          <t>№ пп.</t>
        </is>
      </c>
      <c r="B9" s="270" t="inlineStr">
        <is>
          <t>Код ресурса</t>
        </is>
      </c>
      <c r="C9" s="270" t="inlineStr">
        <is>
          <t>Наименование</t>
        </is>
      </c>
      <c r="D9" s="270" t="inlineStr">
        <is>
          <t>Ед. изм.</t>
        </is>
      </c>
      <c r="E9" s="270" t="inlineStr">
        <is>
          <t>Кол-во единиц по проектным данным</t>
        </is>
      </c>
      <c r="F9" s="270" t="inlineStr">
        <is>
          <t>Сметная стоимость в ценах на 01.01.2000 (руб.)</t>
        </is>
      </c>
      <c r="G9" s="341" t="n"/>
      <c r="H9" s="270" t="inlineStr">
        <is>
          <t>Удельный вес, %</t>
        </is>
      </c>
      <c r="I9" s="270" t="inlineStr">
        <is>
          <t>Сметная стоимость в ценах на 01.01.2023 (руб.)</t>
        </is>
      </c>
      <c r="J9" s="341" t="n"/>
    </row>
    <row r="10" ht="28.5" customHeight="1" s="222">
      <c r="A10" s="343" t="n"/>
      <c r="B10" s="343" t="n"/>
      <c r="C10" s="343" t="n"/>
      <c r="D10" s="343" t="n"/>
      <c r="E10" s="343" t="n"/>
      <c r="F10" s="270" t="inlineStr">
        <is>
          <t>на ед. изм.</t>
        </is>
      </c>
      <c r="G10" s="270" t="inlineStr">
        <is>
          <t>общая</t>
        </is>
      </c>
      <c r="H10" s="343" t="n"/>
      <c r="I10" s="270" t="inlineStr">
        <is>
          <t>на ед. изм.</t>
        </is>
      </c>
      <c r="J10" s="270" t="inlineStr">
        <is>
          <t>общая</t>
        </is>
      </c>
    </row>
    <row r="11">
      <c r="A11" s="270" t="n">
        <v>1</v>
      </c>
      <c r="B11" s="270" t="n">
        <v>2</v>
      </c>
      <c r="C11" s="270" t="n">
        <v>3</v>
      </c>
      <c r="D11" s="270" t="n">
        <v>4</v>
      </c>
      <c r="E11" s="270" t="n">
        <v>5</v>
      </c>
      <c r="F11" s="270" t="n">
        <v>6</v>
      </c>
      <c r="G11" s="270" t="n">
        <v>7</v>
      </c>
      <c r="H11" s="270" t="n">
        <v>8</v>
      </c>
      <c r="I11" s="270" t="n">
        <v>9</v>
      </c>
      <c r="J11" s="270" t="n">
        <v>10</v>
      </c>
    </row>
    <row r="12">
      <c r="A12" s="270" t="n"/>
      <c r="B12" s="266" t="inlineStr">
        <is>
          <t>Затраты труда рабочих-строителей</t>
        </is>
      </c>
      <c r="C12" s="340" t="n"/>
      <c r="D12" s="340" t="n"/>
      <c r="E12" s="340" t="n"/>
      <c r="F12" s="340" t="n"/>
      <c r="G12" s="340" t="n"/>
      <c r="H12" s="341" t="n"/>
      <c r="I12" s="153" t="n"/>
      <c r="J12" s="153" t="n"/>
    </row>
    <row r="13" ht="30" customHeight="1" s="222">
      <c r="A13" s="270" t="n">
        <v>1</v>
      </c>
      <c r="B13" s="157" t="inlineStr">
        <is>
          <t>1-4-1</t>
        </is>
      </c>
      <c r="C13" s="269" t="inlineStr">
        <is>
          <t>Затраты труда рабочих-строителей среднего разряда (4,1)</t>
        </is>
      </c>
      <c r="D13" s="270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73">
        <f>G13/G15</f>
        <v/>
      </c>
      <c r="I13" s="32">
        <f>ФОТр.тек.!E13</f>
        <v/>
      </c>
      <c r="J13" s="32">
        <f>ROUND(I13*E13,2)</f>
        <v/>
      </c>
    </row>
    <row r="14" ht="30" customHeight="1" s="222">
      <c r="A14" s="270">
        <f>A13+1</f>
        <v/>
      </c>
      <c r="B14" s="157" t="inlineStr">
        <is>
          <t>10-3-1</t>
        </is>
      </c>
      <c r="C14" s="269" t="inlineStr">
        <is>
          <t>Инженер I категории</t>
        </is>
      </c>
      <c r="D14" s="270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73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233">
      <c r="A15" s="270" t="n"/>
      <c r="B15" s="270" t="n"/>
      <c r="C15" s="266" t="inlineStr">
        <is>
          <t>Итого по разделу "Затраты труда рабочих-строителей"</t>
        </is>
      </c>
      <c r="D15" s="270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73" t="n">
        <v>1</v>
      </c>
      <c r="I15" s="32" t="n"/>
      <c r="J15" s="32">
        <f>J14+J13</f>
        <v/>
      </c>
      <c r="K15" s="155" t="n"/>
    </row>
    <row r="16" ht="14.25" customFormat="1" customHeight="1" s="233">
      <c r="A16" s="270" t="n"/>
      <c r="B16" s="269" t="inlineStr">
        <is>
          <t>Затраты труда машинистов</t>
        </is>
      </c>
      <c r="C16" s="340" t="n"/>
      <c r="D16" s="340" t="n"/>
      <c r="E16" s="340" t="n"/>
      <c r="F16" s="340" t="n"/>
      <c r="G16" s="340" t="n"/>
      <c r="H16" s="341" t="n"/>
      <c r="I16" s="153" t="n"/>
      <c r="J16" s="153" t="n"/>
    </row>
    <row r="17" ht="14.25" customFormat="1" customHeight="1" s="233">
      <c r="A17" s="270" t="n">
        <v>3</v>
      </c>
      <c r="B17" s="270" t="n">
        <v>2</v>
      </c>
      <c r="C17" s="269" t="inlineStr">
        <is>
          <t>Затраты труда машинистов</t>
        </is>
      </c>
      <c r="D17" s="270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73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233">
      <c r="A18" s="270" t="n"/>
      <c r="B18" s="266" t="inlineStr">
        <is>
          <t>Машины и механизмы</t>
        </is>
      </c>
      <c r="C18" s="340" t="n"/>
      <c r="D18" s="340" t="n"/>
      <c r="E18" s="340" t="n"/>
      <c r="F18" s="340" t="n"/>
      <c r="G18" s="340" t="n"/>
      <c r="H18" s="341" t="n"/>
      <c r="I18" s="273" t="n"/>
      <c r="J18" s="273" t="n"/>
    </row>
    <row r="19" ht="14.25" customFormat="1" customHeight="1" s="233">
      <c r="A19" s="270" t="n"/>
      <c r="B19" s="269" t="inlineStr">
        <is>
          <t>Основные машины и механизмы</t>
        </is>
      </c>
      <c r="C19" s="340" t="n"/>
      <c r="D19" s="340" t="n"/>
      <c r="E19" s="340" t="n"/>
      <c r="F19" s="340" t="n"/>
      <c r="G19" s="340" t="n"/>
      <c r="H19" s="341" t="n"/>
      <c r="I19" s="153" t="n"/>
      <c r="J19" s="153" t="n"/>
    </row>
    <row r="20" ht="25.5" customFormat="1" customHeight="1" s="233">
      <c r="A20" s="270">
        <f>A17+1</f>
        <v/>
      </c>
      <c r="B20" s="157" t="inlineStr">
        <is>
          <t>91.06.06-014</t>
        </is>
      </c>
      <c r="C20" s="269" t="inlineStr">
        <is>
          <t>Автогидроподъемники, высота подъема 28 м</t>
        </is>
      </c>
      <c r="D20" s="270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73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233">
      <c r="A21" s="270">
        <f>A20+1</f>
        <v/>
      </c>
      <c r="B21" s="157" t="inlineStr">
        <is>
          <t>91.11.02-021</t>
        </is>
      </c>
      <c r="C21" s="269" t="inlineStr">
        <is>
          <t>Комплексы для монтажа проводов методом "под тяжением"</t>
        </is>
      </c>
      <c r="D21" s="270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73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233">
      <c r="A22" s="270">
        <f>A21+1</f>
        <v/>
      </c>
      <c r="B22" s="157" t="inlineStr">
        <is>
          <t>91.15.02-029</t>
        </is>
      </c>
      <c r="C22" s="269" t="inlineStr">
        <is>
          <t>Тракторы на гусеничном ходу с лебедкой 132 кВт (180 л.с.)</t>
        </is>
      </c>
      <c r="D22" s="270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73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233">
      <c r="A23" s="270">
        <f>A22+1</f>
        <v/>
      </c>
      <c r="B23" s="157" t="inlineStr">
        <is>
          <t>91.05.05-016</t>
        </is>
      </c>
      <c r="C23" s="269" t="inlineStr">
        <is>
          <t>Краны на автомобильном ходу, грузоподъемность 25 т</t>
        </is>
      </c>
      <c r="D23" s="270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73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233">
      <c r="A24" s="270" t="n"/>
      <c r="B24" s="270" t="n"/>
      <c r="C24" s="269" t="inlineStr">
        <is>
          <t>Итого основные машины и механизмы</t>
        </is>
      </c>
      <c r="D24" s="270" t="n"/>
      <c r="E24" s="158" t="n"/>
      <c r="F24" s="32" t="n"/>
      <c r="G24" s="32">
        <f>SUM(G20:G23)</f>
        <v/>
      </c>
      <c r="H24" s="273">
        <f>G24/G37</f>
        <v/>
      </c>
      <c r="I24" s="32" t="n"/>
      <c r="J24" s="32">
        <f>SUM(J20:J23)</f>
        <v/>
      </c>
      <c r="L24" s="155" t="n"/>
    </row>
    <row r="25" outlineLevel="1" ht="14.25" customFormat="1" customHeight="1" s="233">
      <c r="A25" s="270" t="n"/>
      <c r="B25" s="157" t="inlineStr">
        <is>
          <t>91.14.04-002</t>
        </is>
      </c>
      <c r="C25" s="269" t="inlineStr">
        <is>
          <t>Тягачи седельные, грузоподъемность 15 т</t>
        </is>
      </c>
      <c r="D25" s="270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73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outlineLevel="1" ht="25.5" customFormat="1" customHeight="1" s="233">
      <c r="A26" s="270" t="n"/>
      <c r="B26" s="157" t="inlineStr">
        <is>
          <t>91.16.01-002</t>
        </is>
      </c>
      <c r="C26" s="269" t="inlineStr">
        <is>
          <t>Электростанции передвижные, мощность 4 кВт</t>
        </is>
      </c>
      <c r="D26" s="270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73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outlineLevel="1" ht="25.5" customFormat="1" customHeight="1" s="233">
      <c r="A27" s="270" t="n"/>
      <c r="B27" s="157" t="inlineStr">
        <is>
          <t>91.14.05-012</t>
        </is>
      </c>
      <c r="C27" s="269" t="inlineStr">
        <is>
          <t>Полуприцепы общего назначения, грузоподъемность 15 т</t>
        </is>
      </c>
      <c r="D27" s="270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73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outlineLevel="1" ht="25.5" customFormat="1" customHeight="1" s="233">
      <c r="A28" s="270" t="n"/>
      <c r="B28" s="157" t="inlineStr">
        <is>
          <t>91.14.02-004</t>
        </is>
      </c>
      <c r="C28" s="269" t="inlineStr">
        <is>
          <t>Автомобили бортовые, грузоподъемность до 15 т</t>
        </is>
      </c>
      <c r="D28" s="270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73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outlineLevel="1" ht="25.5" customFormat="1" customHeight="1" s="233">
      <c r="A29" s="270" t="n"/>
      <c r="B29" s="157" t="inlineStr">
        <is>
          <t>91.13.03-111</t>
        </is>
      </c>
      <c r="C29" s="269" t="inlineStr">
        <is>
          <t>Спецавтомобили-вездеходы, грузоподъемность до 8 т</t>
        </is>
      </c>
      <c r="D29" s="270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73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outlineLevel="1" ht="14.25" customFormat="1" customHeight="1" s="233">
      <c r="A30" s="270" t="n"/>
      <c r="B30" s="157" t="inlineStr">
        <is>
          <t>91.21.22-341</t>
        </is>
      </c>
      <c r="C30" s="269" t="inlineStr">
        <is>
          <t>Рефлектометры</t>
        </is>
      </c>
      <c r="D30" s="270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73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outlineLevel="1" ht="25.5" customFormat="1" customHeight="1" s="233">
      <c r="A31" s="270" t="n"/>
      <c r="B31" s="157" t="inlineStr">
        <is>
          <t>91.17.04-194</t>
        </is>
      </c>
      <c r="C31" s="269" t="inlineStr">
        <is>
          <t>Аппараты сварочные для сварки оптических кабелей со скалывателем</t>
        </is>
      </c>
      <c r="D31" s="270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73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outlineLevel="1" ht="14.25" customFormat="1" customHeight="1" s="233">
      <c r="A32" s="270" t="n"/>
      <c r="B32" s="157" t="inlineStr">
        <is>
          <t>91.06.05-011</t>
        </is>
      </c>
      <c r="C32" s="269" t="inlineStr">
        <is>
          <t>Погрузчики, грузоподъемность 5 т</t>
        </is>
      </c>
      <c r="D32" s="270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73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outlineLevel="1" ht="25.5" customFormat="1" customHeight="1" s="233">
      <c r="A33" s="270" t="n"/>
      <c r="B33" s="157" t="inlineStr">
        <is>
          <t>91.14.02-002</t>
        </is>
      </c>
      <c r="C33" s="269" t="inlineStr">
        <is>
          <t>Автомобили бортовые, грузоподъемность до 8 т</t>
        </is>
      </c>
      <c r="D33" s="270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73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outlineLevel="1" ht="25.5" customFormat="1" customHeight="1" s="233">
      <c r="A34" s="270" t="n"/>
      <c r="B34" s="157" t="inlineStr">
        <is>
          <t>91.21.16-012</t>
        </is>
      </c>
      <c r="C34" s="269" t="inlineStr">
        <is>
          <t>Прессы гидравлические с электроприводом</t>
        </is>
      </c>
      <c r="D34" s="270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73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outlineLevel="1" ht="14.25" customFormat="1" customHeight="1" s="233">
      <c r="A35" s="270" t="n"/>
      <c r="B35" s="157" t="inlineStr">
        <is>
          <t>91.11.02-061</t>
        </is>
      </c>
      <c r="C35" s="269" t="inlineStr">
        <is>
          <t>Тележки раскаточные на гусеничном ходу</t>
        </is>
      </c>
      <c r="D35" s="270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73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ht="14.25" customFormat="1" customHeight="1" s="233">
      <c r="A36" s="270" t="n"/>
      <c r="B36" s="270" t="n"/>
      <c r="C36" s="269" t="inlineStr">
        <is>
          <t>Итого прочие машины и механизмы</t>
        </is>
      </c>
      <c r="D36" s="270" t="n"/>
      <c r="E36" s="271" t="n"/>
      <c r="F36" s="32" t="n"/>
      <c r="G36" s="32">
        <f>SUM(G25:G35)</f>
        <v/>
      </c>
      <c r="H36" s="273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233">
      <c r="A37" s="270" t="n"/>
      <c r="B37" s="274" t="n"/>
      <c r="C37" s="161" t="inlineStr">
        <is>
          <t>Итого по разделу «Машины и механизмы»</t>
        </is>
      </c>
      <c r="D37" s="274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 s="222">
      <c r="A38" s="276" t="n"/>
      <c r="B38" s="266" t="inlineStr">
        <is>
          <t xml:space="preserve">Оборудование </t>
        </is>
      </c>
      <c r="C38" s="340" t="n"/>
      <c r="D38" s="340" t="n"/>
      <c r="E38" s="340" t="n"/>
      <c r="F38" s="340" t="n"/>
      <c r="G38" s="340" t="n"/>
      <c r="H38" s="340" t="n"/>
      <c r="I38" s="340" t="n"/>
      <c r="J38" s="341" t="n"/>
    </row>
    <row r="39" ht="15" customHeight="1" s="222">
      <c r="A39" s="270" t="n"/>
      <c r="B39" s="279" t="inlineStr">
        <is>
          <t>Основное оборудование</t>
        </is>
      </c>
    </row>
    <row r="40" ht="15.75" customHeight="1" s="222">
      <c r="A40" s="270" t="n"/>
      <c r="B40" s="270" t="n"/>
      <c r="C40" s="269" t="inlineStr">
        <is>
          <t>Итого основное оборудование</t>
        </is>
      </c>
      <c r="D40" s="270" t="n"/>
      <c r="E40" s="156" t="n"/>
      <c r="F40" s="272" t="n"/>
      <c r="G40" s="32" t="n">
        <v>0</v>
      </c>
      <c r="H40" s="273" t="n"/>
      <c r="I40" s="32" t="n"/>
      <c r="J40" s="32" t="n">
        <v>0</v>
      </c>
      <c r="K40" s="155" t="n"/>
    </row>
    <row r="41" ht="13.5" customHeight="1" s="222">
      <c r="A41" s="270" t="n"/>
      <c r="B41" s="270" t="n"/>
      <c r="C41" s="269" t="inlineStr">
        <is>
          <t>Итого прочее оборудование</t>
        </is>
      </c>
      <c r="D41" s="270" t="n"/>
      <c r="E41" s="271" t="n"/>
      <c r="F41" s="272" t="n"/>
      <c r="G41" s="32" t="n">
        <v>0</v>
      </c>
      <c r="H41" s="273" t="n"/>
      <c r="I41" s="272" t="n"/>
      <c r="J41" s="32" t="n">
        <v>0</v>
      </c>
      <c r="K41" s="155" t="n"/>
    </row>
    <row r="42" ht="23.25" customHeight="1" s="222">
      <c r="A42" s="270" t="n"/>
      <c r="B42" s="270" t="n"/>
      <c r="C42" s="266" t="inlineStr">
        <is>
          <t>Итого по разделу «Оборудование»</t>
        </is>
      </c>
      <c r="D42" s="270" t="n"/>
      <c r="E42" s="271" t="n"/>
      <c r="F42" s="272" t="n"/>
      <c r="G42" s="32">
        <f>G41+G40</f>
        <v/>
      </c>
      <c r="H42" s="273" t="n"/>
      <c r="I42" s="32" t="n"/>
      <c r="J42" s="32">
        <f>J41+J40</f>
        <v/>
      </c>
      <c r="K42" s="155" t="n"/>
    </row>
    <row r="43" ht="25.5" customHeight="1" s="222">
      <c r="A43" s="270" t="n"/>
      <c r="B43" s="270" t="n"/>
      <c r="C43" s="269" t="inlineStr">
        <is>
          <t>в том числе технологическое оборудование</t>
        </is>
      </c>
      <c r="D43" s="270" t="n"/>
      <c r="E43" s="271" t="n"/>
      <c r="F43" s="272" t="n"/>
      <c r="G43" s="32">
        <f>G42</f>
        <v/>
      </c>
      <c r="H43" s="273" t="n"/>
      <c r="I43" s="32" t="n"/>
      <c r="J43" s="32">
        <f>ROUND(G43*Прил.10!$D$13,2)</f>
        <v/>
      </c>
      <c r="K43" s="155" t="n"/>
    </row>
    <row r="44" ht="30" customFormat="1" customHeight="1" s="233">
      <c r="A44" s="270" t="n"/>
      <c r="B44" s="344" t="inlineStr">
        <is>
          <t xml:space="preserve">Материалы </t>
        </is>
      </c>
      <c r="J44" s="345" t="n"/>
      <c r="K44" s="155" t="n"/>
    </row>
    <row r="45" ht="14.25" customFormat="1" customHeight="1" s="233">
      <c r="A45" s="270" t="n"/>
      <c r="B45" s="269" t="inlineStr">
        <is>
          <t>Основные материалы</t>
        </is>
      </c>
      <c r="C45" s="340" t="n"/>
      <c r="D45" s="340" t="n"/>
      <c r="E45" s="340" t="n"/>
      <c r="F45" s="340" t="n"/>
      <c r="G45" s="340" t="n"/>
      <c r="H45" s="341" t="n"/>
      <c r="I45" s="273" t="n"/>
      <c r="J45" s="273" t="n"/>
    </row>
    <row r="46" ht="14.25" customFormat="1" customHeight="1" s="233">
      <c r="A46" s="270" t="n">
        <v>8</v>
      </c>
      <c r="B46" s="157" t="inlineStr">
        <is>
          <t>БЦ.94.205</t>
        </is>
      </c>
      <c r="C46" s="269" t="inlineStr">
        <is>
          <t>Грозотрос ОКГТ 36 волокна (МПР 233кН)</t>
        </is>
      </c>
      <c r="D46" s="270" t="inlineStr">
        <is>
          <t>км</t>
        </is>
      </c>
      <c r="E46" s="156" t="n">
        <v>112.12</v>
      </c>
      <c r="F46" s="221">
        <f>ROUND(I46/Прил.10!D12,2)</f>
        <v/>
      </c>
      <c r="G46" s="32">
        <f>ROUND(E46*F46,2)</f>
        <v/>
      </c>
      <c r="H46" s="273">
        <f>G46/$G$84</f>
        <v/>
      </c>
      <c r="I46" s="32" t="n">
        <v>910593</v>
      </c>
      <c r="J46" s="32">
        <f>ROUND(I46*E46,2)</f>
        <v/>
      </c>
    </row>
    <row r="47" ht="22.5" customFormat="1" customHeight="1" s="233">
      <c r="A47" s="270" t="n"/>
      <c r="B47" s="157" t="n"/>
      <c r="C47" s="269" t="inlineStr">
        <is>
          <t>Итого основные материалы</t>
        </is>
      </c>
      <c r="D47" s="270" t="n"/>
      <c r="E47" s="156" t="n"/>
      <c r="F47" s="47" t="n"/>
      <c r="G47" s="32">
        <f>SUM(G46:G46)</f>
        <v/>
      </c>
      <c r="H47" s="273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233">
      <c r="A48" s="270" t="n">
        <v>9</v>
      </c>
      <c r="B48" s="157" t="inlineStr">
        <is>
          <t>20.5.04.08-0005</t>
        </is>
      </c>
      <c r="C48" s="269" t="inlineStr">
        <is>
          <t>Зажим соединительный шлейфовый спиральный ШС-18,8-01 (прим. Зажим шлейфовый ЗКШ2-14/18-4)</t>
        </is>
      </c>
      <c r="D48" s="270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73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233">
      <c r="A49" s="270" t="n">
        <v>10</v>
      </c>
      <c r="B49" s="157" t="inlineStr">
        <is>
          <t>20.1.01.12-0033</t>
        </is>
      </c>
      <c r="C49" s="269" t="inlineStr">
        <is>
          <t>Зажим поддерживающий спиральный ПС-15, 4П11 (прим. ПСО-14,1/14, 4П-33, 4П-21)</t>
        </is>
      </c>
      <c r="D49" s="270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73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233">
      <c r="A50" s="270" t="n">
        <v>11</v>
      </c>
      <c r="B50" s="157" t="inlineStr">
        <is>
          <t>15.1.02.27-0002</t>
        </is>
      </c>
      <c r="C50" s="269" t="inlineStr">
        <is>
          <t>Барабан (крутящаяся часть с площадками) (прим. Барабан БШ-1-3)</t>
        </is>
      </c>
      <c r="D50" s="270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73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233">
      <c r="A51" s="270" t="n">
        <v>12</v>
      </c>
      <c r="B51" s="157" t="inlineStr">
        <is>
          <t>22.2.02.01-0020</t>
        </is>
      </c>
      <c r="C51" s="269" t="inlineStr">
        <is>
          <t>Гаситель вибрации, марка ГВП-1,6-11</t>
        </is>
      </c>
      <c r="D51" s="270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73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233">
      <c r="A52" s="270" t="n">
        <v>13</v>
      </c>
      <c r="B52" s="157" t="inlineStr">
        <is>
          <t>20.5.04.04-0055</t>
        </is>
      </c>
      <c r="C52" s="269" t="inlineStr">
        <is>
          <t>Зажим натяжной спиральный НСО-13,0П-01 (прим. Зажим натяжной НСО-14.1/14)</t>
        </is>
      </c>
      <c r="D52" s="270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73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233">
      <c r="A53" s="270" t="n">
        <v>14</v>
      </c>
      <c r="B53" s="157" t="inlineStr">
        <is>
          <t>20.5.04.08-0005</t>
        </is>
      </c>
      <c r="C53" s="269" t="inlineStr">
        <is>
          <t>Зажим соединительный шлейфовый спиральный ШС-18,8-01 (прим. Зажим шлейфовый ЗКШ-18/22-4)</t>
        </is>
      </c>
      <c r="D53" s="270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73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233">
      <c r="A54" s="270" t="n">
        <v>15</v>
      </c>
      <c r="B54" s="157" t="inlineStr">
        <is>
          <t>20.1.01.05-0009</t>
        </is>
      </c>
      <c r="C54" s="269" t="inlineStr">
        <is>
          <t>Зажим заземляющий 3ПС 120-3В</t>
        </is>
      </c>
      <c r="D54" s="270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73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233">
      <c r="A55" s="270" t="n">
        <v>16</v>
      </c>
      <c r="B55" s="157" t="inlineStr">
        <is>
          <t>20.2.09.09-0006</t>
        </is>
      </c>
      <c r="C55" s="269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70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73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233">
      <c r="A56" s="270" t="n">
        <v>17</v>
      </c>
      <c r="B56" s="157" t="inlineStr">
        <is>
          <t>22.2.02.04-0037</t>
        </is>
      </c>
      <c r="C56" s="269" t="inlineStr">
        <is>
          <t>Звено промежуточное регулируемое ПРР-12-1А</t>
        </is>
      </c>
      <c r="D56" s="270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73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233">
      <c r="A57" s="270" t="n">
        <v>18</v>
      </c>
      <c r="B57" s="157" t="inlineStr">
        <is>
          <t>20.2.09.13-0038</t>
        </is>
      </c>
      <c r="C57" s="269" t="inlineStr">
        <is>
          <t>Муфта свинцовая П-1200 (прим. Комплект для ввода ОКГТ в муфту КГВ 12-17/2-3.6)</t>
        </is>
      </c>
      <c r="D57" s="270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73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233">
      <c r="A58" s="270" t="n">
        <v>19</v>
      </c>
      <c r="B58" s="157" t="inlineStr">
        <is>
          <t>20.1.02.22-0006</t>
        </is>
      </c>
      <c r="C58" s="269" t="inlineStr">
        <is>
          <t>Ушко однолапчатое У1-12-16</t>
        </is>
      </c>
      <c r="D58" s="270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73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233">
      <c r="A59" s="270" t="n">
        <v>20</v>
      </c>
      <c r="B59" s="157" t="inlineStr">
        <is>
          <t>01.7.15.10-0032</t>
        </is>
      </c>
      <c r="C59" s="269" t="inlineStr">
        <is>
          <t>Скоба СК-12-1А</t>
        </is>
      </c>
      <c r="D59" s="270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73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233">
      <c r="A60" s="270" t="n">
        <v>21</v>
      </c>
      <c r="B60" s="157" t="inlineStr">
        <is>
          <t>20.1.01.05-0019</t>
        </is>
      </c>
      <c r="C60" s="269" t="inlineStr">
        <is>
          <t>Зажим заземляющий 3ПС 300-3</t>
        </is>
      </c>
      <c r="D60" s="270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73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233">
      <c r="A61" s="270" t="n">
        <v>22</v>
      </c>
      <c r="B61" s="157" t="inlineStr">
        <is>
          <t>20.1.01.12-0033</t>
        </is>
      </c>
      <c r="C61" s="269" t="inlineStr">
        <is>
          <t>Зажим поддерживающий спиральный ПС-15, 4П11 (прим. Зажим поддерживающий спиральный  ПСО-21.3/21.7П-33)</t>
        </is>
      </c>
      <c r="D61" s="270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73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233">
      <c r="A62" s="270" t="n">
        <v>23</v>
      </c>
      <c r="B62" s="157" t="inlineStr">
        <is>
          <t>22.2.02.04-0008</t>
        </is>
      </c>
      <c r="C62" s="269" t="inlineStr">
        <is>
          <t>Звено промежуточное монтажное ПТМ-12-2</t>
        </is>
      </c>
      <c r="D62" s="270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73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233">
      <c r="A63" s="270" t="n">
        <v>24</v>
      </c>
      <c r="B63" s="157" t="inlineStr">
        <is>
          <t>20.1.02.22-0004</t>
        </is>
      </c>
      <c r="C63" s="269" t="inlineStr">
        <is>
          <t>Ушко однолапчатое укороченное У1К-7-16</t>
        </is>
      </c>
      <c r="D63" s="270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73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233">
      <c r="A64" s="270" t="n">
        <v>25</v>
      </c>
      <c r="B64" s="157" t="inlineStr">
        <is>
          <t>20.5.04.08-0005</t>
        </is>
      </c>
      <c r="C64" s="269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70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73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233">
      <c r="A65" s="270" t="n">
        <v>26</v>
      </c>
      <c r="B65" s="157" t="inlineStr">
        <is>
          <t>20.1.02.11-0004</t>
        </is>
      </c>
      <c r="C65" s="269" t="inlineStr">
        <is>
          <t>Протектор защитный спиральный ПЗС-15,2-13</t>
        </is>
      </c>
      <c r="D65" s="270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73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233">
      <c r="A66" s="270" t="n">
        <v>27</v>
      </c>
      <c r="B66" s="157" t="inlineStr">
        <is>
          <t>01.7.15.10-0031</t>
        </is>
      </c>
      <c r="C66" s="269" t="inlineStr">
        <is>
          <t>Скоба СК-7-1А</t>
        </is>
      </c>
      <c r="D66" s="270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73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233">
      <c r="A67" s="270" t="n">
        <v>28</v>
      </c>
      <c r="B67" s="157" t="inlineStr">
        <is>
          <t>20.1.02.21-0043</t>
        </is>
      </c>
      <c r="C67" s="269" t="inlineStr">
        <is>
          <t>Узел крепления КГП-7-3</t>
        </is>
      </c>
      <c r="D67" s="270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73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233">
      <c r="A68" s="270" t="n">
        <v>29</v>
      </c>
      <c r="B68" s="157" t="inlineStr">
        <is>
          <t>20.5.04.08-0002</t>
        </is>
      </c>
      <c r="C68" s="269" t="inlineStr">
        <is>
          <t>Зажим соединительный шлейфовый спиральный ШС-13,5-01</t>
        </is>
      </c>
      <c r="D68" s="270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73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233">
      <c r="A69" s="270" t="n">
        <v>30</v>
      </c>
      <c r="B69" s="157" t="inlineStr">
        <is>
          <t>21.2.01.02-0088</t>
        </is>
      </c>
      <c r="C69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70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73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233">
      <c r="A70" s="270" t="n">
        <v>31</v>
      </c>
      <c r="B70" s="157" t="inlineStr">
        <is>
          <t>20.1.01.11-0002</t>
        </is>
      </c>
      <c r="C70" s="269" t="inlineStr">
        <is>
          <t>Зажим плашечный соединительный ПА-6-1</t>
        </is>
      </c>
      <c r="D70" s="270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73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233">
      <c r="A71" s="270" t="n">
        <v>32</v>
      </c>
      <c r="B71" s="157" t="inlineStr">
        <is>
          <t>01.7.15.03-0022</t>
        </is>
      </c>
      <c r="C71" s="269" t="inlineStr">
        <is>
          <t>Болты с гайками и шайбами оцинкованные для монтажа стальных конструкций, диаметр 16 мм, длина 55-200 мм</t>
        </is>
      </c>
      <c r="D71" s="270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73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233">
      <c r="A72" s="270" t="n">
        <v>33</v>
      </c>
      <c r="B72" s="157" t="inlineStr">
        <is>
          <t>20.1.02.21-0032</t>
        </is>
      </c>
      <c r="C72" s="269" t="inlineStr">
        <is>
          <t>Узел крепления КГ-12-3 (прим. Узел подвески УПШ-03-01)</t>
        </is>
      </c>
      <c r="D72" s="270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73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233">
      <c r="A73" s="270" t="n">
        <v>34</v>
      </c>
      <c r="B73" s="157" t="inlineStr">
        <is>
          <t>20.1.02.14-1014</t>
        </is>
      </c>
      <c r="C73" s="269" t="inlineStr">
        <is>
          <t>Серьга СР-7-16</t>
        </is>
      </c>
      <c r="D73" s="270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73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233">
      <c r="A74" s="270" t="n">
        <v>35</v>
      </c>
      <c r="B74" s="157" t="inlineStr">
        <is>
          <t>20.1.02.14-1006</t>
        </is>
      </c>
      <c r="C74" s="269" t="inlineStr">
        <is>
          <t>Серьга СР-12-16</t>
        </is>
      </c>
      <c r="D74" s="270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73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233">
      <c r="A75" s="270" t="n">
        <v>36</v>
      </c>
      <c r="B75" s="157" t="inlineStr">
        <is>
          <t>01.5.03.03-0031</t>
        </is>
      </c>
      <c r="C75" s="269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70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73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233">
      <c r="A76" s="270" t="n">
        <v>37</v>
      </c>
      <c r="B76" s="157" t="inlineStr">
        <is>
          <t>21.2.01.02-0093</t>
        </is>
      </c>
      <c r="C76" s="269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70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73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233">
      <c r="A77" s="270" t="n">
        <v>38</v>
      </c>
      <c r="B77" s="157" t="inlineStr">
        <is>
          <t>20.2.09.13-0038</t>
        </is>
      </c>
      <c r="C77" s="269" t="inlineStr">
        <is>
          <t>Муфта свинцовая П-1200 (прим. Комплект для ввода ОКСН (ДПМ) в муфту КВСц6-22)</t>
        </is>
      </c>
      <c r="D77" s="270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73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233">
      <c r="A78" s="270" t="n">
        <v>39</v>
      </c>
      <c r="B78" s="157" t="inlineStr">
        <is>
          <t>20.1.01.11-0006</t>
        </is>
      </c>
      <c r="C78" s="269" t="inlineStr">
        <is>
          <t>Зажим плашечный соединительный ПА 3-2</t>
        </is>
      </c>
      <c r="D78" s="270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73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233">
      <c r="A79" s="270" t="n">
        <v>40</v>
      </c>
      <c r="B79" s="157" t="inlineStr">
        <is>
          <t>01.7.15.10-0035</t>
        </is>
      </c>
      <c r="C79" s="269" t="inlineStr">
        <is>
          <t>Скобы СК-21-1А (прим. Скоба СК-70-1Б)</t>
        </is>
      </c>
      <c r="D79" s="270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73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233">
      <c r="A80" s="270" t="n">
        <v>41</v>
      </c>
      <c r="B80" s="157" t="inlineStr">
        <is>
          <t>08.1.02.25-0011</t>
        </is>
      </c>
      <c r="C80" s="269" t="inlineStr">
        <is>
          <t>Детали крепления</t>
        </is>
      </c>
      <c r="D80" s="270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73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233">
      <c r="A81" s="270" t="n">
        <v>42</v>
      </c>
      <c r="B81" s="157" t="inlineStr">
        <is>
          <t>01.3.01.07-0009</t>
        </is>
      </c>
      <c r="C81" s="269" t="inlineStr">
        <is>
          <t>Спирт этиловый ректификованный технический, сорт I</t>
        </is>
      </c>
      <c r="D81" s="270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73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233">
      <c r="A82" s="270" t="n">
        <v>43</v>
      </c>
      <c r="B82" s="157" t="inlineStr">
        <is>
          <t>999-9950</t>
        </is>
      </c>
      <c r="C82" s="269" t="inlineStr">
        <is>
          <t>Вспомогательные ненормируемые материалы</t>
        </is>
      </c>
      <c r="D82" s="270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73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233">
      <c r="A83" s="270" t="n"/>
      <c r="B83" s="270" t="n"/>
      <c r="C83" s="269" t="inlineStr">
        <is>
          <t>Итого прочие материалы</t>
        </is>
      </c>
      <c r="D83" s="270" t="n"/>
      <c r="E83" s="271" t="n"/>
      <c r="F83" s="272" t="n"/>
      <c r="G83" s="32">
        <f>SUM(G48:G82)</f>
        <v/>
      </c>
      <c r="H83" s="273">
        <f>G83/G84</f>
        <v/>
      </c>
      <c r="I83" s="32" t="n"/>
      <c r="J83" s="32">
        <f>SUM(J48:J82)</f>
        <v/>
      </c>
    </row>
    <row r="84" ht="14.25" customFormat="1" customHeight="1" s="233">
      <c r="A84" s="270" t="n"/>
      <c r="B84" s="270" t="n"/>
      <c r="C84" s="266" t="inlineStr">
        <is>
          <t>Итого по разделу «Материалы»</t>
        </is>
      </c>
      <c r="D84" s="270" t="n"/>
      <c r="E84" s="271" t="n"/>
      <c r="F84" s="272" t="n"/>
      <c r="G84" s="32">
        <f>G47+G83</f>
        <v/>
      </c>
      <c r="H84" s="273" t="n">
        <v>1</v>
      </c>
      <c r="I84" s="272" t="n"/>
      <c r="J84" s="32">
        <f>J47+J83</f>
        <v/>
      </c>
      <c r="K84" s="155" t="n"/>
    </row>
    <row r="85" ht="14.25" customFormat="1" customHeight="1" s="233">
      <c r="A85" s="270" t="n"/>
      <c r="B85" s="270" t="n"/>
      <c r="C85" s="269" t="inlineStr">
        <is>
          <t>ИТОГО ПО РМ</t>
        </is>
      </c>
      <c r="D85" s="270" t="n"/>
      <c r="E85" s="271" t="n"/>
      <c r="F85" s="272" t="n"/>
      <c r="G85" s="32">
        <f>G15+G37+G84</f>
        <v/>
      </c>
      <c r="H85" s="273" t="n"/>
      <c r="I85" s="272" t="n"/>
      <c r="J85" s="32">
        <f>J15+J37+J84</f>
        <v/>
      </c>
    </row>
    <row r="86" ht="14.25" customFormat="1" customHeight="1" s="233">
      <c r="A86" s="270" t="n"/>
      <c r="B86" s="270" t="n"/>
      <c r="C86" s="269" t="inlineStr">
        <is>
          <t>Накладные расходы</t>
        </is>
      </c>
      <c r="D86" s="270" t="inlineStr">
        <is>
          <t>%</t>
        </is>
      </c>
      <c r="E86" s="16">
        <f>ROUND(G86/(G15+G17),2)</f>
        <v/>
      </c>
      <c r="F86" s="272" t="n"/>
      <c r="G86" s="32" t="n">
        <v>67777.639060606</v>
      </c>
      <c r="H86" s="273" t="n"/>
      <c r="I86" s="272" t="n"/>
      <c r="J86" s="32">
        <f>ROUND(E86*(J15+J17),2)</f>
        <v/>
      </c>
      <c r="K86" s="28" t="n"/>
    </row>
    <row r="87" ht="14.25" customFormat="1" customHeight="1" s="233">
      <c r="A87" s="270" t="n"/>
      <c r="B87" s="270" t="n"/>
      <c r="C87" s="269" t="inlineStr">
        <is>
          <t>Сметная прибыль</t>
        </is>
      </c>
      <c r="D87" s="270" t="inlineStr">
        <is>
          <t>%</t>
        </is>
      </c>
      <c r="E87" s="16">
        <f>ROUND(G87/(G15+G17),2)</f>
        <v/>
      </c>
      <c r="F87" s="272" t="n"/>
      <c r="G87" s="32" t="n">
        <v>39645.627645647</v>
      </c>
      <c r="H87" s="273" t="n"/>
      <c r="I87" s="272" t="n"/>
      <c r="J87" s="32">
        <f>ROUND(E87*(J15+J17),2)</f>
        <v/>
      </c>
      <c r="K87" s="28" t="n"/>
    </row>
    <row r="88" ht="14.25" customFormat="1" customHeight="1" s="233">
      <c r="A88" s="270" t="n"/>
      <c r="B88" s="270" t="n"/>
      <c r="C88" s="269" t="inlineStr">
        <is>
          <t>Итого СМР (с НР и СП)</t>
        </is>
      </c>
      <c r="D88" s="270" t="n"/>
      <c r="E88" s="271" t="n"/>
      <c r="F88" s="272" t="n"/>
      <c r="G88" s="32">
        <f>G15+G37+G84+G86+G87</f>
        <v/>
      </c>
      <c r="H88" s="273" t="n"/>
      <c r="I88" s="272" t="n"/>
      <c r="J88" s="32">
        <f>J15+J37+J84+J86+J87</f>
        <v/>
      </c>
      <c r="L88" s="166" t="n"/>
    </row>
    <row r="89" ht="14.25" customFormat="1" customHeight="1" s="233">
      <c r="A89" s="270" t="n"/>
      <c r="B89" s="270" t="n"/>
      <c r="C89" s="269" t="inlineStr">
        <is>
          <t>ВСЕГО СМР + ОБОРУДОВАНИЕ</t>
        </is>
      </c>
      <c r="D89" s="270" t="n"/>
      <c r="E89" s="271" t="n"/>
      <c r="F89" s="272" t="n"/>
      <c r="G89" s="32">
        <f>G88+G42</f>
        <v/>
      </c>
      <c r="H89" s="273" t="n"/>
      <c r="I89" s="272" t="n"/>
      <c r="J89" s="32">
        <f>J88+J42</f>
        <v/>
      </c>
      <c r="L89" s="28" t="n"/>
    </row>
    <row r="90" ht="14.25" customFormat="1" customHeight="1" s="233">
      <c r="A90" s="270" t="n"/>
      <c r="B90" s="270" t="n"/>
      <c r="C90" s="269" t="inlineStr">
        <is>
          <t>ИТОГО ПОКАЗАТЕЛЬ НА ЕД. ИЗМ.</t>
        </is>
      </c>
      <c r="D90" s="270" t="inlineStr">
        <is>
          <t>км</t>
        </is>
      </c>
      <c r="E90" s="167" t="n">
        <v>90</v>
      </c>
      <c r="F90" s="272" t="n"/>
      <c r="G90" s="32">
        <f>G89/E90</f>
        <v/>
      </c>
      <c r="H90" s="273" t="n"/>
      <c r="I90" s="272" t="n"/>
      <c r="J90" s="32">
        <f>J89/E90</f>
        <v/>
      </c>
      <c r="L90" s="28" t="n"/>
    </row>
    <row r="94" ht="14.25" customFormat="1" customHeight="1" s="233">
      <c r="A94" s="231" t="n"/>
    </row>
    <row r="95" ht="14.25" customFormat="1" customHeight="1" s="233">
      <c r="A95" s="223" t="inlineStr">
        <is>
          <t>Составил ______________________      Е. М. Добровольская</t>
        </is>
      </c>
    </row>
    <row r="96" ht="14.25" customFormat="1" customHeight="1" s="233">
      <c r="A96" s="234" t="inlineStr">
        <is>
          <t xml:space="preserve">                         (подпись, инициалы, фамилия)</t>
        </is>
      </c>
    </row>
    <row r="97" ht="14.25" customFormat="1" customHeight="1" s="233">
      <c r="A97" s="223" t="n"/>
    </row>
    <row r="98" ht="14.25" customFormat="1" customHeight="1" s="233">
      <c r="A98" s="223" t="inlineStr">
        <is>
          <t>Проверил ______________________        А.В. Костянецкая</t>
        </is>
      </c>
    </row>
    <row r="99" ht="14.25" customFormat="1" customHeight="1" s="233">
      <c r="A99" s="234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9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style="222" min="1" max="1"/>
    <col width="14.85546875" customWidth="1" style="222" min="2" max="2"/>
    <col width="39.140625" customWidth="1" style="222" min="3" max="3"/>
    <col width="9.7109375" customWidth="1" style="222" min="4" max="4"/>
    <col width="13.5703125" customWidth="1" style="222" min="5" max="5"/>
    <col width="12.42578125" customWidth="1" style="222" min="6" max="6"/>
    <col width="14.140625" customWidth="1" style="222" min="7" max="7"/>
  </cols>
  <sheetData>
    <row r="1">
      <c r="A1" s="289" t="inlineStr">
        <is>
          <t>Приложение №6</t>
        </is>
      </c>
    </row>
    <row r="2">
      <c r="A2" s="289" t="n"/>
      <c r="B2" s="289" t="n"/>
      <c r="C2" s="289" t="n"/>
      <c r="D2" s="289" t="n"/>
      <c r="E2" s="289" t="n"/>
      <c r="F2" s="289" t="n"/>
      <c r="G2" s="289" t="n"/>
    </row>
    <row r="3" ht="24.75" customHeight="1" s="222">
      <c r="A3" s="245" t="inlineStr">
        <is>
          <t>Расчет стоимости оборудования</t>
        </is>
      </c>
    </row>
    <row r="4" ht="24.75" customHeight="1" s="222">
      <c r="A4" s="245" t="n"/>
      <c r="B4" s="245" t="n"/>
      <c r="C4" s="245" t="n"/>
      <c r="D4" s="245" t="n"/>
      <c r="E4" s="245" t="n"/>
      <c r="F4" s="245" t="n"/>
      <c r="G4" s="245" t="n"/>
    </row>
    <row r="5" ht="25.5" customHeight="1" s="222">
      <c r="A5" s="248" t="inlineStr">
        <is>
          <t xml:space="preserve">Наименование разрабатываемого показателя УНЦ - </t>
        </is>
      </c>
      <c r="D5" s="248" t="inlineStr">
        <is>
          <t>ОКГТ механическая прочность на разрыв 233кН, количество волокон 36 шт.</t>
        </is>
      </c>
    </row>
    <row r="6">
      <c r="A6" s="223" t="n"/>
      <c r="B6" s="223" t="n"/>
      <c r="C6" s="223" t="n"/>
      <c r="D6" s="223" t="n"/>
      <c r="E6" s="223" t="n"/>
      <c r="F6" s="223" t="n"/>
      <c r="G6" s="223" t="n"/>
    </row>
    <row r="7" ht="30" customHeight="1" s="222">
      <c r="A7" s="290" t="inlineStr">
        <is>
          <t>№ пп.</t>
        </is>
      </c>
      <c r="B7" s="290" t="inlineStr">
        <is>
          <t>Код ресурса</t>
        </is>
      </c>
      <c r="C7" s="290" t="inlineStr">
        <is>
          <t>Наименование</t>
        </is>
      </c>
      <c r="D7" s="290" t="inlineStr">
        <is>
          <t>Ед. изм.</t>
        </is>
      </c>
      <c r="E7" s="270" t="inlineStr">
        <is>
          <t>Кол-во единиц по проектным данным</t>
        </is>
      </c>
      <c r="F7" s="290" t="inlineStr">
        <is>
          <t>Сметная стоимость в ценах на 01.01.2000 (руб.)</t>
        </is>
      </c>
      <c r="G7" s="341" t="n"/>
    </row>
    <row r="8">
      <c r="A8" s="343" t="n"/>
      <c r="B8" s="343" t="n"/>
      <c r="C8" s="343" t="n"/>
      <c r="D8" s="343" t="n"/>
      <c r="E8" s="343" t="n"/>
      <c r="F8" s="270" t="inlineStr">
        <is>
          <t>на ед. изм.</t>
        </is>
      </c>
      <c r="G8" s="270" t="inlineStr">
        <is>
          <t>общая</t>
        </is>
      </c>
    </row>
    <row r="9">
      <c r="A9" s="270" t="n">
        <v>1</v>
      </c>
      <c r="B9" s="270" t="n">
        <v>2</v>
      </c>
      <c r="C9" s="270" t="n">
        <v>3</v>
      </c>
      <c r="D9" s="270" t="n">
        <v>4</v>
      </c>
      <c r="E9" s="270" t="n">
        <v>5</v>
      </c>
      <c r="F9" s="270" t="n">
        <v>6</v>
      </c>
      <c r="G9" s="270" t="n">
        <v>7</v>
      </c>
    </row>
    <row r="10" ht="15" customHeight="1" s="222">
      <c r="A10" s="25" t="n"/>
      <c r="B10" s="269" t="inlineStr">
        <is>
          <t>ИНЖЕНЕРНОЕ ОБОРУДОВАНИЕ</t>
        </is>
      </c>
      <c r="C10" s="340" t="n"/>
      <c r="D10" s="340" t="n"/>
      <c r="E10" s="340" t="n"/>
      <c r="F10" s="340" t="n"/>
      <c r="G10" s="341" t="n"/>
    </row>
    <row r="11" ht="20.25" customHeight="1" s="222">
      <c r="A11" s="270" t="n"/>
      <c r="B11" s="266" t="n"/>
      <c r="C11" s="269" t="inlineStr">
        <is>
          <t>ИТОГО ИНЖЕНЕРНОЕ ОБОРУДОВАНИЕ</t>
        </is>
      </c>
      <c r="D11" s="266" t="n"/>
      <c r="E11" s="105" t="n"/>
      <c r="F11" s="272" t="n"/>
      <c r="G11" s="272" t="n">
        <v>0</v>
      </c>
    </row>
    <row r="12" ht="15" customHeight="1" s="222">
      <c r="A12" s="270" t="n"/>
      <c r="B12" s="112" t="inlineStr">
        <is>
          <t>ТЕХНОЛОГИЧЕСКОЕ ОБОРУДОВАНИЕ</t>
        </is>
      </c>
      <c r="C12" s="346" t="n"/>
      <c r="D12" s="346" t="n"/>
      <c r="E12" s="346" t="n"/>
      <c r="F12" s="346" t="n"/>
      <c r="G12" s="347" t="n"/>
    </row>
    <row r="13">
      <c r="A13" s="270" t="n"/>
      <c r="B13" s="157" t="n"/>
      <c r="C13" s="269" t="n"/>
      <c r="D13" s="270" t="n"/>
      <c r="E13" s="156" t="n"/>
      <c r="F13" s="32" t="n"/>
      <c r="G13" s="32">
        <f>ROUND(E13*F13,2)</f>
        <v/>
      </c>
    </row>
    <row r="14" ht="25.5" customHeight="1" s="222">
      <c r="A14" s="270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72" t="n"/>
      <c r="G14" s="32">
        <f>SUM(G13:G13)</f>
        <v/>
      </c>
    </row>
    <row r="15" ht="19.5" customHeight="1" s="222">
      <c r="A15" s="270" t="n"/>
      <c r="B15" s="269" t="n"/>
      <c r="C15" s="269" t="inlineStr">
        <is>
          <t>Всего по разделу «Оборудование»</t>
        </is>
      </c>
      <c r="D15" s="269" t="n"/>
      <c r="E15" s="47" t="n"/>
      <c r="F15" s="272" t="n"/>
      <c r="G15" s="32">
        <f>G11+G14</f>
        <v/>
      </c>
    </row>
    <row r="16">
      <c r="A16" s="231" t="n"/>
      <c r="B16" s="232" t="n"/>
      <c r="C16" s="231" t="n"/>
      <c r="D16" s="231" t="n"/>
      <c r="E16" s="231" t="n"/>
      <c r="F16" s="231" t="n"/>
      <c r="G16" s="231" t="n"/>
    </row>
    <row r="17">
      <c r="A17" s="223" t="inlineStr">
        <is>
          <t>Составил ______________________      Е. М. Добровольская</t>
        </is>
      </c>
      <c r="B17" s="233" t="n"/>
      <c r="C17" s="233" t="n"/>
      <c r="D17" s="231" t="n"/>
      <c r="E17" s="231" t="n"/>
      <c r="F17" s="231" t="n"/>
      <c r="G17" s="231" t="n"/>
    </row>
    <row r="18">
      <c r="A18" s="234" t="inlineStr">
        <is>
          <t xml:space="preserve">                         (подпись, инициалы, фамилия)</t>
        </is>
      </c>
      <c r="B18" s="233" t="n"/>
      <c r="C18" s="233" t="n"/>
      <c r="D18" s="231" t="n"/>
      <c r="E18" s="231" t="n"/>
      <c r="F18" s="231" t="n"/>
      <c r="G18" s="231" t="n"/>
    </row>
    <row r="19">
      <c r="A19" s="223" t="n"/>
      <c r="B19" s="233" t="n"/>
      <c r="C19" s="233" t="n"/>
      <c r="D19" s="231" t="n"/>
      <c r="E19" s="231" t="n"/>
      <c r="F19" s="231" t="n"/>
      <c r="G19" s="231" t="n"/>
    </row>
    <row r="20">
      <c r="A20" s="223" t="inlineStr">
        <is>
          <t>Проверил ______________________        А.В. Костянецкая</t>
        </is>
      </c>
      <c r="B20" s="233" t="n"/>
      <c r="C20" s="233" t="n"/>
      <c r="D20" s="231" t="n"/>
      <c r="E20" s="231" t="n"/>
      <c r="F20" s="231" t="n"/>
      <c r="G20" s="231" t="n"/>
    </row>
    <row r="21">
      <c r="A21" s="234" t="inlineStr">
        <is>
          <t xml:space="preserve">                        (подпись, инициалы, фамилия)</t>
        </is>
      </c>
      <c r="B21" s="233" t="n"/>
      <c r="C21" s="233" t="n"/>
      <c r="D21" s="231" t="n"/>
      <c r="E21" s="231" t="n"/>
      <c r="F21" s="231" t="n"/>
      <c r="G21" s="231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22" min="1" max="1"/>
    <col width="29.7109375" customWidth="1" style="222" min="2" max="2"/>
    <col width="39.140625" customWidth="1" style="222" min="3" max="3"/>
    <col width="24.5703125" customWidth="1" style="222" min="4" max="4"/>
    <col width="24.85546875" customWidth="1" style="222" min="5" max="5"/>
    <col width="8.85546875" customWidth="1" style="222" min="6" max="6"/>
  </cols>
  <sheetData>
    <row r="1">
      <c r="B1" s="223" t="n"/>
      <c r="C1" s="223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22">
      <c r="A3" s="245" t="inlineStr">
        <is>
          <t>Расчет показателя УНЦ</t>
        </is>
      </c>
    </row>
    <row r="4" ht="24.75" customHeight="1" s="222">
      <c r="A4" s="245" t="n"/>
      <c r="B4" s="245" t="n"/>
      <c r="C4" s="245" t="n"/>
      <c r="D4" s="245" t="n"/>
    </row>
    <row r="5" ht="47.25" customHeight="1" s="222">
      <c r="A5" s="248" t="inlineStr">
        <is>
          <t xml:space="preserve">Наименование разрабатываемого показателя УНЦ - </t>
        </is>
      </c>
      <c r="D5" s="248">
        <f>'Прил.5 Расчет СМР и ОБ'!D6:J6</f>
        <v/>
      </c>
    </row>
    <row r="6" ht="19.9" customHeight="1" s="222">
      <c r="A6" s="248" t="inlineStr">
        <is>
          <t>Единица измерения  — 1 км</t>
        </is>
      </c>
      <c r="D6" s="248" t="n"/>
    </row>
    <row r="7">
      <c r="A7" s="223" t="n"/>
      <c r="B7" s="223" t="n"/>
      <c r="C7" s="223" t="n"/>
      <c r="D7" s="223" t="n"/>
    </row>
    <row r="8" ht="14.45" customHeight="1" s="222">
      <c r="A8" s="260" t="inlineStr">
        <is>
          <t>Код показателя</t>
        </is>
      </c>
      <c r="B8" s="260" t="inlineStr">
        <is>
          <t>Наименование показателя</t>
        </is>
      </c>
      <c r="C8" s="260" t="inlineStr">
        <is>
          <t>Наименование РМ, входящих в состав показателя</t>
        </is>
      </c>
      <c r="D8" s="260" t="inlineStr">
        <is>
          <t>Норматив цены на 01.01.2023, тыс.руб.</t>
        </is>
      </c>
    </row>
    <row r="9" ht="15" customHeight="1" s="222">
      <c r="A9" s="343" t="n"/>
      <c r="B9" s="343" t="n"/>
      <c r="C9" s="343" t="n"/>
      <c r="D9" s="343" t="n"/>
    </row>
    <row r="10">
      <c r="A10" s="270" t="n">
        <v>1</v>
      </c>
      <c r="B10" s="270" t="n">
        <v>2</v>
      </c>
      <c r="C10" s="270" t="n">
        <v>3</v>
      </c>
      <c r="D10" s="270" t="n">
        <v>4</v>
      </c>
    </row>
    <row r="11" ht="41.45" customHeight="1" s="222">
      <c r="A11" s="270" t="inlineStr">
        <is>
          <t>О1-06-2</t>
        </is>
      </c>
      <c r="B11" s="270" t="inlineStr">
        <is>
          <t xml:space="preserve">УНЦ ОКГТ </t>
        </is>
      </c>
      <c r="C11" s="228">
        <f>D5</f>
        <v/>
      </c>
      <c r="D11" s="229">
        <f>'Прил.4 РМ'!C41/1000</f>
        <v/>
      </c>
      <c r="E11" s="230" t="n"/>
    </row>
    <row r="12">
      <c r="A12" s="231" t="n"/>
      <c r="B12" s="232" t="n"/>
      <c r="C12" s="231" t="n"/>
      <c r="D12" s="231" t="n"/>
    </row>
    <row r="13">
      <c r="A13" s="223" t="inlineStr">
        <is>
          <t>Составил ______________________      Е. М. Добровольская</t>
        </is>
      </c>
      <c r="B13" s="233" t="n"/>
      <c r="C13" s="233" t="n"/>
      <c r="D13" s="231" t="n"/>
    </row>
    <row r="14">
      <c r="A14" s="234" t="inlineStr">
        <is>
          <t xml:space="preserve">                         (подпись, инициалы, фамилия)</t>
        </is>
      </c>
      <c r="B14" s="233" t="n"/>
      <c r="C14" s="233" t="n"/>
      <c r="D14" s="231" t="n"/>
    </row>
    <row r="15">
      <c r="A15" s="223" t="n"/>
      <c r="B15" s="233" t="n"/>
      <c r="C15" s="233" t="n"/>
      <c r="D15" s="231" t="n"/>
    </row>
    <row r="16">
      <c r="A16" s="223" t="inlineStr">
        <is>
          <t>Проверил ______________________        А.В. Костянецкая</t>
        </is>
      </c>
      <c r="B16" s="233" t="n"/>
      <c r="C16" s="233" t="n"/>
      <c r="D16" s="231" t="n"/>
    </row>
    <row r="17">
      <c r="A17" s="234" t="inlineStr">
        <is>
          <t xml:space="preserve">                        (подпись, инициалы, фамилия)</t>
        </is>
      </c>
      <c r="B17" s="233" t="n"/>
      <c r="C17" s="233" t="n"/>
      <c r="D17" s="2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style="222" min="2" max="2"/>
    <col width="37" customWidth="1" style="222" min="3" max="3"/>
    <col width="32" customWidth="1" style="222" min="4" max="4"/>
  </cols>
  <sheetData>
    <row r="4" ht="15.75" customHeight="1" s="222">
      <c r="B4" s="253" t="inlineStr">
        <is>
          <t>Приложение № 10</t>
        </is>
      </c>
    </row>
    <row r="5" ht="18.75" customHeight="1" s="222">
      <c r="B5" s="133" t="n"/>
    </row>
    <row r="6" ht="15.75" customHeight="1" s="222">
      <c r="B6" s="257" t="inlineStr">
        <is>
          <t>Используемые индексы изменений сметной стоимости и нормы сопутствующих затрат</t>
        </is>
      </c>
    </row>
    <row r="7" ht="18.75" customHeight="1" s="222">
      <c r="B7" s="134" t="n"/>
    </row>
    <row r="8" ht="47.25" customHeight="1" s="222">
      <c r="B8" s="260" t="inlineStr">
        <is>
          <t>Наименование индекса / норм сопутствующих затрат</t>
        </is>
      </c>
      <c r="C8" s="260" t="inlineStr">
        <is>
          <t>Дата применения и обоснование индекса / норм сопутствующих затрат</t>
        </is>
      </c>
      <c r="D8" s="260" t="inlineStr">
        <is>
          <t>Размер индекса / норма сопутствующих затрат</t>
        </is>
      </c>
    </row>
    <row r="9" ht="15.75" customHeight="1" s="222">
      <c r="B9" s="260" t="n">
        <v>1</v>
      </c>
      <c r="C9" s="260" t="n">
        <v>2</v>
      </c>
      <c r="D9" s="260" t="n">
        <v>3</v>
      </c>
    </row>
    <row r="10" ht="45" customHeight="1" s="222">
      <c r="B10" s="260" t="inlineStr">
        <is>
          <t xml:space="preserve">Индекс изменения сметной стоимости на 1 квартал 2023 года. ОЗП </t>
        </is>
      </c>
      <c r="C10" s="260" t="inlineStr">
        <is>
          <t>Письмо Минстроя России от  01.04.2023г. №17772-ИФ/09  прил.9</t>
        </is>
      </c>
      <c r="D10" s="260" t="n">
        <v>46.83</v>
      </c>
    </row>
    <row r="11" ht="29.25" customHeight="1" s="222">
      <c r="B11" s="260" t="inlineStr">
        <is>
          <t>Индекс изменения сметной стоимости на 1 квартал 2023 года. ЭМ</t>
        </is>
      </c>
      <c r="C11" s="260" t="inlineStr">
        <is>
          <t>Письмо Минстроя России от  01.04.2023г. №17772-ИФ/09  прил.9</t>
        </is>
      </c>
      <c r="D11" s="260" t="n">
        <v>11.96</v>
      </c>
    </row>
    <row r="12" ht="29.25" customHeight="1" s="222">
      <c r="B12" s="260" t="inlineStr">
        <is>
          <t>Индекс изменения сметной стоимости на 1 квартал 2023 года. МАТ</t>
        </is>
      </c>
      <c r="C12" s="260" t="inlineStr">
        <is>
          <t>Письмо Минстроя России от  01.04.2023г. №17772-ИФ/09  прил.9</t>
        </is>
      </c>
      <c r="D12" s="260" t="n">
        <v>9.84</v>
      </c>
    </row>
    <row r="13" ht="30.75" customHeight="1" s="222">
      <c r="B13" s="260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60" t="n">
        <v>6.26</v>
      </c>
    </row>
    <row r="14" ht="89.25" customHeight="1" s="222">
      <c r="B14" s="260" t="inlineStr">
        <is>
          <t>Временные здания и сооружения</t>
        </is>
      </c>
      <c r="C14" s="260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 s="222">
      <c r="B15" s="260" t="inlineStr">
        <is>
          <t>Дополнительные затраты при производстве строительно-монтажных работ в зимнее время</t>
        </is>
      </c>
      <c r="C15" s="260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 s="222">
      <c r="B16" s="260" t="n"/>
      <c r="C16" s="260" t="n"/>
      <c r="D16" s="260" t="n"/>
    </row>
    <row r="17" ht="31.5" customHeight="1" s="222">
      <c r="B17" s="260" t="inlineStr">
        <is>
          <t>Строительный контроль</t>
        </is>
      </c>
      <c r="C17" s="260" t="inlineStr">
        <is>
          <t>Постановление Правительства РФ от 21.06.10 г. № 468</t>
        </is>
      </c>
      <c r="D17" s="140" t="n">
        <v>0.0214</v>
      </c>
    </row>
    <row r="18" ht="31.5" customHeight="1" s="222">
      <c r="B18" s="260" t="inlineStr">
        <is>
          <t>Авторский надзор - 0,2%</t>
        </is>
      </c>
      <c r="C18" s="260" t="inlineStr">
        <is>
          <t>Приказ от 4.08.2020 № 421/пр п.173</t>
        </is>
      </c>
      <c r="D18" s="140" t="n">
        <v>0.002</v>
      </c>
    </row>
    <row r="19" ht="24" customHeight="1" s="222">
      <c r="B19" s="260" t="inlineStr">
        <is>
          <t>Непредвиденные расходы</t>
        </is>
      </c>
      <c r="C19" s="260" t="inlineStr">
        <is>
          <t>Приказ от 4.08.2020 № 421/пр п.179</t>
        </is>
      </c>
      <c r="D19" s="140" t="n">
        <v>0.03</v>
      </c>
    </row>
    <row r="20" ht="18.75" customHeight="1" s="222">
      <c r="B20" s="134" t="n"/>
    </row>
    <row r="21" ht="18.75" customHeight="1" s="222">
      <c r="B21" s="134" t="n"/>
    </row>
    <row r="22" ht="18.75" customHeight="1" s="222">
      <c r="B22" s="134" t="n"/>
    </row>
    <row r="23" ht="18.75" customHeight="1" s="222">
      <c r="B23" s="134" t="n"/>
    </row>
    <row r="26">
      <c r="B26" s="223" t="inlineStr">
        <is>
          <t>Составил ______________________    Е. М. Добровольская</t>
        </is>
      </c>
      <c r="C26" s="233" t="n"/>
    </row>
    <row r="27">
      <c r="B27" s="234" t="inlineStr">
        <is>
          <t xml:space="preserve">                         (подпись, инициалы, фамилия)</t>
        </is>
      </c>
      <c r="C27" s="233" t="n"/>
    </row>
    <row r="28">
      <c r="B28" s="223" t="n"/>
      <c r="C28" s="233" t="n"/>
    </row>
    <row r="29">
      <c r="B29" s="223" t="inlineStr">
        <is>
          <t>Проверил ______________________        А.В. Костянецкая</t>
        </is>
      </c>
      <c r="C29" s="233" t="n"/>
    </row>
    <row r="30">
      <c r="B30" s="234" t="inlineStr">
        <is>
          <t xml:space="preserve">                        (подпись, инициалы, фамилия)</t>
        </is>
      </c>
      <c r="C30" s="23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8" workbookViewId="0">
      <selection activeCell="G14" sqref="G14"/>
    </sheetView>
  </sheetViews>
  <sheetFormatPr baseColWidth="8" defaultColWidth="9.140625" defaultRowHeight="15"/>
  <cols>
    <col width="44.85546875" customWidth="1" style="222" min="2" max="2"/>
    <col width="13" customWidth="1" style="222" min="3" max="3"/>
    <col width="22.85546875" customWidth="1" style="222" min="4" max="4"/>
    <col width="21.5703125" customWidth="1" style="222" min="5" max="5"/>
    <col width="43.85546875" customWidth="1" style="222" min="6" max="6"/>
  </cols>
  <sheetData>
    <row r="2" ht="18" customHeight="1" s="222">
      <c r="A2" s="2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22">
      <c r="A4" s="122" t="inlineStr">
        <is>
          <t>Составлен в уровне цен на 01.01.2023 г.</t>
        </is>
      </c>
    </row>
    <row r="5">
      <c r="A5" s="317" t="inlineStr">
        <is>
          <t>№ пп.</t>
        </is>
      </c>
      <c r="B5" s="317" t="inlineStr">
        <is>
          <t>Наименование элемента</t>
        </is>
      </c>
      <c r="C5" s="317" t="inlineStr">
        <is>
          <t>Обозначение</t>
        </is>
      </c>
      <c r="D5" s="317" t="inlineStr">
        <is>
          <t>Формула</t>
        </is>
      </c>
      <c r="E5" s="317" t="inlineStr">
        <is>
          <t>Величина элемента</t>
        </is>
      </c>
      <c r="F5" s="317" t="inlineStr">
        <is>
          <t>Наименования обосновывающих документов</t>
        </is>
      </c>
    </row>
    <row r="6">
      <c r="A6" s="317" t="n">
        <v>1</v>
      </c>
      <c r="B6" s="317" t="n">
        <v>2</v>
      </c>
      <c r="C6" s="317" t="n">
        <v>3</v>
      </c>
      <c r="D6" s="317" t="n">
        <v>4</v>
      </c>
      <c r="E6" s="317" t="n">
        <v>5</v>
      </c>
      <c r="F6" s="317" t="n">
        <v>6</v>
      </c>
    </row>
    <row r="7" ht="105" customHeight="1" s="222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6" t="inlineStr">
        <is>
          <t>С1ср</t>
        </is>
      </c>
      <c r="D7" s="316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222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6" t="inlineStr">
        <is>
          <t>tср</t>
        </is>
      </c>
      <c r="D8" s="316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6" t="inlineStr">
        <is>
          <t>Кув</t>
        </is>
      </c>
      <c r="D9" s="316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6" t="n"/>
      <c r="D10" s="316" t="n"/>
      <c r="E10" s="126" t="n">
        <v>4.1</v>
      </c>
      <c r="F10" s="63" t="inlineStr">
        <is>
          <t>РТМ</t>
        </is>
      </c>
      <c r="G10" s="125" t="n"/>
    </row>
    <row r="11" ht="75" customHeight="1" s="222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6" t="inlineStr">
        <is>
          <t>КТ</t>
        </is>
      </c>
      <c r="D11" s="316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222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6" t="inlineStr">
        <is>
          <t>Кинф</t>
        </is>
      </c>
      <c r="D12" s="316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222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 s="222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 s="222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204" t="n"/>
      <c r="D18" s="204" t="n"/>
      <c r="E18" s="211" t="n">
        <v>1</v>
      </c>
      <c r="F18" s="209" t="inlineStr">
        <is>
          <t>РТМ</t>
        </is>
      </c>
    </row>
    <row r="19" ht="51" customHeight="1" s="222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 s="222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 s="222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2025-01-24T12:12:44Z</dcterms:modified>
  <cp:lastModifiedBy>Danil</cp:lastModifiedBy>
  <cp:lastPrinted>2023-11-29T11:32:36Z</cp:lastPrinted>
</cp:coreProperties>
</file>