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891" firstSheet="0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'Прил.3'!$A$1:$H$105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ОБ'!$A$1:$J$119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xlnm.Print_Area" localSheetId="8">'ФОТр.тек.'!$A$1:$F$29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7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2" fillId="0" borderId="0" pivotButton="0" quotePrefix="0" xfId="0"/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10" fontId="2" fillId="0" borderId="5" applyAlignment="1" pivotButton="0" quotePrefix="0" xfId="0">
      <alignment horizontal="right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4" fontId="2" fillId="0" borderId="3" applyAlignment="1" pivotButton="0" quotePrefix="0" xfId="0">
      <alignment horizontal="right" vertical="center" wrapText="1"/>
    </xf>
    <xf numFmtId="4" fontId="2" fillId="0" borderId="5" applyAlignment="1" pivotButton="0" quotePrefix="0" xfId="0">
      <alignment horizontal="right" vertical="center" wrapText="1"/>
    </xf>
    <xf numFmtId="4" fontId="2" fillId="0" borderId="6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49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7" applyAlignment="1" pivotButton="0" quotePrefix="0" xfId="0">
      <alignment vertical="center" wrapText="1"/>
    </xf>
    <xf numFmtId="0" fontId="6" fillId="0" borderId="8" applyAlignment="1" pivotButton="0" quotePrefix="0" xfId="0">
      <alignment vertical="center" wrapText="1"/>
    </xf>
    <xf numFmtId="167" fontId="6" fillId="0" borderId="3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8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0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8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0" fontId="0" fillId="0" borderId="6" pivotButton="0" quotePrefix="0" xfId="0"/>
    <xf numFmtId="0" fontId="6" fillId="0" borderId="11" applyAlignment="1" pivotButton="0" quotePrefix="0" xfId="0">
      <alignment vertical="center" wrapText="1"/>
    </xf>
    <xf numFmtId="0" fontId="6" fillId="0" borderId="12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/>
    </xf>
    <xf numFmtId="0" fontId="10" fillId="0" borderId="13" applyAlignment="1" pivotButton="0" quotePrefix="0" xfId="0">
      <alignment vertical="center" wrapText="1"/>
    </xf>
    <xf numFmtId="0" fontId="6" fillId="0" borderId="13" applyAlignment="1" pivotButton="0" quotePrefix="0" xfId="0">
      <alignment horizontal="center" vertical="center" wrapText="1"/>
    </xf>
    <xf numFmtId="4" fontId="10" fillId="0" borderId="13" applyAlignment="1" pivotButton="0" quotePrefix="0" xfId="0">
      <alignment horizontal="center" vertical="center"/>
    </xf>
    <xf numFmtId="0" fontId="6" fillId="0" borderId="13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4" pivotButton="0" quotePrefix="0" xfId="0"/>
    <xf numFmtId="0" fontId="0" fillId="0" borderId="15" pivotButton="0" quotePrefix="0" xfId="0"/>
    <xf numFmtId="166" fontId="12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0" fillId="0" borderId="10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  <xf numFmtId="167" fontId="6" fillId="0" borderId="3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I35"/>
  <sheetViews>
    <sheetView view="pageBreakPreview" zoomScale="60" zoomScaleNormal="85" workbookViewId="0">
      <selection activeCell="D31" sqref="D31"/>
    </sheetView>
  </sheetViews>
  <sheetFormatPr baseColWidth="8" defaultRowHeight="15.75"/>
  <cols>
    <col width="9.140625" customWidth="1" style="158" min="1" max="2"/>
    <col width="36.85546875" customWidth="1" style="158" min="3" max="3"/>
    <col width="54.7109375" customWidth="1" style="158" min="4" max="4"/>
    <col width="14.28515625" customWidth="1" style="156" min="5" max="5"/>
    <col width="12.140625" customWidth="1" style="156" min="6" max="6"/>
    <col width="12.28515625" customWidth="1" style="156" min="7" max="7"/>
    <col width="15" customWidth="1" style="156" min="8" max="8"/>
  </cols>
  <sheetData>
    <row r="1">
      <c r="E1" s="158" t="n"/>
      <c r="F1" s="158" t="n"/>
      <c r="G1" s="158" t="n"/>
      <c r="H1" s="158" t="n"/>
      <c r="I1" s="158" t="n"/>
    </row>
    <row r="2">
      <c r="E2" s="158" t="n"/>
      <c r="F2" s="158" t="n"/>
      <c r="G2" s="158" t="n"/>
      <c r="H2" s="158" t="n"/>
      <c r="I2" s="158" t="n"/>
    </row>
    <row r="3">
      <c r="B3" s="185" t="inlineStr">
        <is>
          <t>Приложение № 1</t>
        </is>
      </c>
      <c r="E3" s="158" t="n"/>
      <c r="F3" s="158" t="n"/>
      <c r="G3" s="158" t="n"/>
      <c r="H3" s="158" t="n"/>
      <c r="I3" s="158" t="n"/>
    </row>
    <row r="4">
      <c r="B4" s="186" t="inlineStr">
        <is>
          <t>Сравнительная таблица отбора объекта-представителя</t>
        </is>
      </c>
      <c r="E4" s="158" t="n"/>
      <c r="F4" s="158" t="n"/>
      <c r="G4" s="158" t="n"/>
      <c r="H4" s="158" t="n"/>
      <c r="I4" s="158" t="n"/>
    </row>
    <row r="5">
      <c r="B5" s="92" t="n"/>
      <c r="C5" s="92" t="n"/>
      <c r="D5" s="92" t="n"/>
      <c r="E5" s="158" t="n"/>
      <c r="F5" s="158" t="n"/>
      <c r="G5" s="158" t="n"/>
      <c r="H5" s="158" t="n"/>
      <c r="I5" s="158" t="n"/>
    </row>
    <row r="6">
      <c r="B6" s="92" t="n"/>
      <c r="C6" s="92" t="n"/>
      <c r="D6" s="92" t="n"/>
      <c r="E6" s="158" t="n"/>
      <c r="F6" s="158" t="n"/>
      <c r="G6" s="158" t="n"/>
      <c r="H6" s="158" t="n"/>
      <c r="I6" s="158" t="n"/>
    </row>
    <row r="7" ht="54.75" customHeight="1" s="156">
      <c r="B7" s="184" t="inlineStr">
        <is>
          <t>Наименование разрабатываемого показателя УНЦ - ОКСН количество волокон 8 шт., максимально-допустимая растягивающая нагрузка 20 кН</t>
        </is>
      </c>
      <c r="E7" s="93" t="n"/>
      <c r="F7" s="158" t="n"/>
      <c r="G7" s="158" t="n"/>
      <c r="H7" s="158" t="n"/>
      <c r="I7" s="158" t="n"/>
    </row>
    <row r="8" ht="15.75" customHeight="1" s="156">
      <c r="B8" s="90" t="inlineStr">
        <is>
          <t xml:space="preserve">Сопоставимый уровень цен: </t>
        </is>
      </c>
      <c r="C8" s="90" t="n"/>
      <c r="D8" s="90" t="n"/>
      <c r="E8" s="158" t="n"/>
      <c r="F8" s="158" t="n"/>
      <c r="G8" s="158" t="n"/>
      <c r="H8" s="158" t="n"/>
      <c r="I8" s="158" t="n"/>
    </row>
    <row r="9" ht="15.75" customHeight="1" s="156">
      <c r="B9" s="184" t="inlineStr">
        <is>
          <t>Единица измерения  — 1 км</t>
        </is>
      </c>
      <c r="E9" s="93" t="n"/>
      <c r="F9" s="158" t="n"/>
      <c r="G9" s="158" t="n"/>
      <c r="H9" s="158" t="n"/>
      <c r="I9" s="158" t="n"/>
    </row>
    <row r="10">
      <c r="B10" s="184" t="n"/>
      <c r="E10" s="158" t="n"/>
      <c r="F10" s="158" t="n"/>
      <c r="G10" s="158" t="n"/>
      <c r="H10" s="158" t="n"/>
      <c r="I10" s="158" t="n"/>
    </row>
    <row r="11">
      <c r="B11" s="189" t="inlineStr">
        <is>
          <t>№ п/п</t>
        </is>
      </c>
      <c r="C11" s="189" t="inlineStr">
        <is>
          <t>Параметр</t>
        </is>
      </c>
      <c r="D11" s="189" t="inlineStr">
        <is>
          <t>Объект-представитель 1</t>
        </is>
      </c>
      <c r="E11" s="93" t="n"/>
      <c r="F11" s="158" t="n"/>
      <c r="G11" s="158" t="n"/>
      <c r="H11" s="158" t="n"/>
      <c r="I11" s="158" t="n"/>
    </row>
    <row r="12" ht="31.7" customHeight="1" s="156">
      <c r="B12" s="189" t="n">
        <v>1</v>
      </c>
      <c r="C12" s="170" t="inlineStr">
        <is>
          <t>Наименование объекта-представителя</t>
        </is>
      </c>
      <c r="D12" s="189" t="inlineStr">
        <is>
          <t>ВЛ 220 кВ Уренгойская -Мангазея (МЭС Западной Сибири)</t>
        </is>
      </c>
      <c r="E12" s="158" t="n"/>
      <c r="F12" s="158" t="n"/>
      <c r="G12" s="158" t="n"/>
      <c r="H12" s="158" t="n"/>
      <c r="I12" s="158" t="n"/>
    </row>
    <row r="13" ht="31.7" customHeight="1" s="156">
      <c r="B13" s="189" t="n">
        <v>2</v>
      </c>
      <c r="C13" s="170" t="inlineStr">
        <is>
          <t>Наименование субъекта Российской Федерации</t>
        </is>
      </c>
      <c r="D13" s="189" t="inlineStr">
        <is>
          <t>Тюменская обл</t>
        </is>
      </c>
      <c r="E13" s="158" t="n"/>
      <c r="F13" s="158" t="n"/>
      <c r="G13" s="158" t="n"/>
      <c r="H13" s="158" t="n"/>
      <c r="I13" s="158" t="n"/>
    </row>
    <row r="14">
      <c r="B14" s="189" t="n">
        <v>3</v>
      </c>
      <c r="C14" s="170" t="inlineStr">
        <is>
          <t>Климатический район и подрайон</t>
        </is>
      </c>
      <c r="D14" s="189" t="inlineStr">
        <is>
          <t>IВ</t>
        </is>
      </c>
      <c r="E14" s="158" t="n"/>
      <c r="F14" s="158" t="n"/>
      <c r="G14" s="158" t="n"/>
      <c r="H14" s="158" t="n"/>
      <c r="I14" s="158" t="n"/>
    </row>
    <row r="15">
      <c r="B15" s="189" t="n">
        <v>4</v>
      </c>
      <c r="C15" s="170" t="inlineStr">
        <is>
          <t>Мощность объекта</t>
        </is>
      </c>
      <c r="D15" s="189" t="n">
        <v>147.07</v>
      </c>
      <c r="E15" s="158" t="n"/>
      <c r="F15" s="158" t="n"/>
      <c r="G15" s="158" t="n"/>
      <c r="H15" s="158" t="n"/>
      <c r="I15" s="158" t="n"/>
    </row>
    <row r="16" ht="100.5" customHeight="1" s="156">
      <c r="B16" s="189" t="n">
        <v>5</v>
      </c>
      <c r="C16" s="15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>ОКСН 8 волокон (МДРН 20кН)</t>
        </is>
      </c>
      <c r="E16" s="158" t="n"/>
      <c r="F16" s="158" t="n"/>
      <c r="G16" s="158" t="n"/>
      <c r="H16" s="158" t="n"/>
      <c r="I16" s="158" t="n"/>
    </row>
    <row r="17" ht="82.5" customHeight="1" s="156">
      <c r="B17" s="189" t="n">
        <v>6</v>
      </c>
      <c r="C17" s="15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5">
        <f>D18+D19</f>
        <v/>
      </c>
      <c r="E17" s="96" t="n"/>
      <c r="F17" s="158" t="n"/>
      <c r="G17" s="158" t="n"/>
      <c r="H17" s="158" t="n"/>
      <c r="I17" s="158" t="n"/>
    </row>
    <row r="18">
      <c r="B18" s="97" t="inlineStr">
        <is>
          <t>6.1</t>
        </is>
      </c>
      <c r="C18" s="170" t="inlineStr">
        <is>
          <t>строительно-монтажные работы</t>
        </is>
      </c>
      <c r="D18" s="235">
        <f>'Прил.2 Расч стоим'!F14</f>
        <v/>
      </c>
      <c r="E18" s="158" t="n"/>
      <c r="F18" s="158" t="n"/>
      <c r="G18" s="158" t="n"/>
      <c r="H18" s="158" t="n"/>
      <c r="I18" s="158" t="n"/>
    </row>
    <row r="19">
      <c r="B19" s="97" t="inlineStr">
        <is>
          <t>6.2</t>
        </is>
      </c>
      <c r="C19" s="170" t="inlineStr">
        <is>
          <t>оборудование и инвентарь</t>
        </is>
      </c>
      <c r="D19" s="235">
        <f>'Прил.2 Расч стоим'!H14</f>
        <v/>
      </c>
      <c r="E19" s="158" t="n"/>
      <c r="F19" s="158" t="n"/>
      <c r="G19" s="158" t="n"/>
      <c r="H19" s="158" t="n"/>
      <c r="I19" s="158" t="n"/>
    </row>
    <row r="20">
      <c r="B20" s="97" t="inlineStr">
        <is>
          <t>6.3</t>
        </is>
      </c>
      <c r="C20" s="170" t="inlineStr">
        <is>
          <t>пусконаладочные работы</t>
        </is>
      </c>
      <c r="D20" s="235" t="n"/>
      <c r="E20" s="158" t="n"/>
      <c r="F20" s="158" t="n"/>
      <c r="G20" s="158" t="n"/>
      <c r="H20" s="158" t="n"/>
      <c r="I20" s="158" t="n"/>
    </row>
    <row r="21">
      <c r="B21" s="97" t="inlineStr">
        <is>
          <t>6.4</t>
        </is>
      </c>
      <c r="C21" s="98" t="inlineStr">
        <is>
          <t>прочие и лимитированные затраты</t>
        </is>
      </c>
      <c r="D21" s="235" t="n"/>
      <c r="E21" s="158" t="n"/>
      <c r="F21" s="158" t="n"/>
      <c r="G21" s="158" t="n"/>
      <c r="H21" s="158" t="n"/>
      <c r="I21" s="158" t="n"/>
    </row>
    <row r="22">
      <c r="B22" s="189" t="n">
        <v>7</v>
      </c>
      <c r="C22" s="98" t="inlineStr">
        <is>
          <t>Сопоставимый уровень цен</t>
        </is>
      </c>
      <c r="D22" s="189" t="inlineStr">
        <is>
          <t>3 квартал 2014</t>
        </is>
      </c>
      <c r="E22" s="96" t="n"/>
      <c r="F22" s="158" t="n"/>
      <c r="G22" s="158" t="n"/>
      <c r="H22" s="158" t="n"/>
      <c r="I22" s="158" t="n"/>
    </row>
    <row r="23" ht="119.25" customHeight="1" s="156">
      <c r="B23" s="189" t="n">
        <v>8</v>
      </c>
      <c r="C23" s="9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5">
        <f>D17</f>
        <v/>
      </c>
      <c r="E23" s="158" t="n"/>
      <c r="F23" s="158" t="n"/>
      <c r="G23" s="158" t="n"/>
      <c r="H23" s="158" t="n"/>
      <c r="I23" s="158" t="n"/>
    </row>
    <row r="24" ht="47.25" customHeight="1" s="156">
      <c r="B24" s="189" t="n">
        <v>9</v>
      </c>
      <c r="C24" s="150" t="inlineStr">
        <is>
          <t>Приведенная сметная стоимость на единицу мощности, тыс. руб. (строка 8/строку 4)</t>
        </is>
      </c>
      <c r="D24" s="235">
        <f>D17/D15</f>
        <v/>
      </c>
      <c r="E24" s="96" t="n"/>
      <c r="F24" s="158" t="n"/>
      <c r="G24" s="158" t="n"/>
      <c r="H24" s="158" t="n"/>
      <c r="I24" s="158" t="n"/>
    </row>
    <row r="25">
      <c r="B25" s="189" t="n">
        <v>10</v>
      </c>
      <c r="C25" s="170" t="inlineStr">
        <is>
          <t>Примечание</t>
        </is>
      </c>
      <c r="D25" s="170" t="n"/>
      <c r="E25" s="158" t="n"/>
      <c r="F25" s="158" t="n"/>
      <c r="G25" s="158" t="n"/>
      <c r="H25" s="158" t="n"/>
      <c r="I25" s="158" t="n"/>
    </row>
    <row r="26">
      <c r="B26" s="222" t="n"/>
      <c r="C26" s="101" t="n"/>
      <c r="D26" s="101" t="n"/>
      <c r="E26" s="158" t="n"/>
      <c r="F26" s="158" t="n"/>
      <c r="G26" s="158" t="n"/>
      <c r="H26" s="158" t="n"/>
      <c r="I26" s="158" t="n"/>
    </row>
    <row r="27">
      <c r="B27" s="90" t="n"/>
      <c r="E27" s="158" t="n"/>
      <c r="F27" s="158" t="n"/>
      <c r="G27" s="158" t="n"/>
      <c r="H27" s="158" t="n"/>
      <c r="I27" s="158" t="n"/>
    </row>
    <row r="28">
      <c r="B28" s="158" t="inlineStr">
        <is>
          <t>Составил ______________________        Е.А. Князева</t>
        </is>
      </c>
      <c r="E28" s="158" t="n"/>
      <c r="F28" s="158" t="n"/>
      <c r="G28" s="158" t="n"/>
      <c r="H28" s="158" t="n"/>
      <c r="I28" s="158" t="n"/>
    </row>
    <row r="29" ht="22.7" customHeight="1" s="156">
      <c r="B29" s="111" t="inlineStr">
        <is>
          <t xml:space="preserve">                         (подпись, инициалы, фамилия)</t>
        </is>
      </c>
      <c r="E29" s="158" t="n"/>
      <c r="F29" s="158" t="n"/>
      <c r="G29" s="158" t="n"/>
      <c r="H29" s="158" t="n"/>
      <c r="I29" s="158" t="n"/>
    </row>
    <row r="30">
      <c r="E30" s="158" t="n"/>
      <c r="F30" s="158" t="n"/>
      <c r="G30" s="158" t="n"/>
      <c r="H30" s="158" t="n"/>
      <c r="I30" s="158" t="n"/>
    </row>
    <row r="31">
      <c r="B31" s="158" t="inlineStr">
        <is>
          <t>Проверил ______________________        А.В. Костянецкая</t>
        </is>
      </c>
      <c r="E31" s="158" t="n"/>
      <c r="F31" s="158" t="n"/>
      <c r="G31" s="158" t="n"/>
      <c r="H31" s="158" t="n"/>
      <c r="I31" s="158" t="n"/>
    </row>
    <row r="32" ht="22.7" customHeight="1" s="156">
      <c r="B32" s="111" t="inlineStr">
        <is>
          <t xml:space="preserve">                        (подпись, инициалы, фамилия)</t>
        </is>
      </c>
      <c r="E32" s="158" t="n"/>
      <c r="F32" s="158" t="n"/>
      <c r="G32" s="158" t="n"/>
      <c r="H32" s="158" t="n"/>
      <c r="I32" s="158" t="n"/>
    </row>
    <row r="33">
      <c r="E33" s="158" t="n"/>
      <c r="F33" s="158" t="n"/>
      <c r="G33" s="158" t="n"/>
      <c r="H33" s="158" t="n"/>
      <c r="I33" s="158" t="n"/>
    </row>
    <row r="34">
      <c r="E34" s="158" t="n"/>
      <c r="F34" s="158" t="n"/>
      <c r="G34" s="158" t="n"/>
      <c r="H34" s="158" t="n"/>
      <c r="I34" s="158" t="n"/>
    </row>
    <row r="35">
      <c r="E35" s="158" t="n"/>
      <c r="F35" s="158" t="n"/>
      <c r="G35" s="158" t="n"/>
      <c r="H35" s="158" t="n"/>
      <c r="I35" s="158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J21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style="156" min="1" max="1"/>
    <col width="35.28515625" customWidth="1" style="156" min="3" max="3"/>
    <col width="13.85546875" customWidth="1" style="156" min="4" max="4"/>
    <col width="24.85546875" customWidth="1" style="156" min="5" max="5"/>
    <col width="12.7109375" customWidth="1" style="156" min="6" max="6"/>
    <col width="14.85546875" customWidth="1" style="156" min="7" max="7"/>
    <col width="16.7109375" customWidth="1" style="156" min="8" max="8"/>
    <col width="13" customWidth="1" style="156" min="9" max="10"/>
  </cols>
  <sheetData>
    <row r="1" ht="15.75" customHeight="1" s="156">
      <c r="A1" s="158" t="n"/>
      <c r="B1" s="158" t="n"/>
      <c r="C1" s="158" t="n"/>
      <c r="D1" s="158" t="n"/>
      <c r="E1" s="158" t="n"/>
      <c r="F1" s="158" t="n"/>
      <c r="G1" s="158" t="n"/>
      <c r="H1" s="158" t="n"/>
      <c r="I1" s="158" t="n"/>
      <c r="J1" s="158" t="n"/>
    </row>
    <row r="2" ht="15.75" customHeight="1" s="156">
      <c r="A2" s="158" t="n"/>
      <c r="B2" s="158" t="n"/>
      <c r="C2" s="158" t="n"/>
      <c r="D2" s="158" t="n"/>
      <c r="E2" s="158" t="n"/>
      <c r="F2" s="158" t="n"/>
      <c r="G2" s="158" t="n"/>
      <c r="H2" s="158" t="n"/>
      <c r="I2" s="158" t="n"/>
      <c r="J2" s="158" t="n"/>
    </row>
    <row r="3" ht="15.75" customHeight="1" s="156">
      <c r="A3" s="158" t="n"/>
      <c r="B3" s="185" t="inlineStr">
        <is>
          <t>Приложение № 2</t>
        </is>
      </c>
    </row>
    <row r="4" ht="15.75" customHeight="1" s="156">
      <c r="A4" s="158" t="n"/>
      <c r="B4" s="186" t="inlineStr">
        <is>
          <t>Расчет стоимости основных видов работ для выбора объекта-представителя</t>
        </is>
      </c>
    </row>
    <row r="5" ht="15.75" customHeight="1" s="156">
      <c r="A5" s="158" t="n"/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</row>
    <row r="6" ht="38.25" customHeight="1" s="156">
      <c r="A6" s="158" t="n"/>
      <c r="B6" s="188">
        <f>'Прил.1 Сравнит табл'!B7</f>
        <v/>
      </c>
    </row>
    <row r="7" ht="15.75" customHeight="1" s="156">
      <c r="A7" s="158" t="n"/>
      <c r="B7" s="184">
        <f>'Прил.1 Сравнит табл'!B9</f>
        <v/>
      </c>
    </row>
    <row r="8" ht="15.75" customHeight="1" s="156">
      <c r="A8" s="158" t="n"/>
      <c r="B8" s="184" t="n"/>
      <c r="C8" s="158" t="n"/>
      <c r="D8" s="158" t="n"/>
      <c r="E8" s="158" t="n"/>
      <c r="F8" s="158" t="n"/>
      <c r="G8" s="158" t="n"/>
      <c r="H8" s="158" t="n"/>
      <c r="I8" s="158" t="n"/>
      <c r="J8" s="158" t="n"/>
    </row>
    <row r="9" ht="15.75" customHeight="1" s="156">
      <c r="A9" s="158" t="n"/>
      <c r="B9" s="189" t="inlineStr">
        <is>
          <t>№ п/п</t>
        </is>
      </c>
      <c r="C9" s="18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89" t="inlineStr">
        <is>
          <t>Объект-представитель 1</t>
        </is>
      </c>
      <c r="E9" s="236" t="n"/>
      <c r="F9" s="236" t="n"/>
      <c r="G9" s="236" t="n"/>
      <c r="H9" s="236" t="n"/>
      <c r="I9" s="236" t="n"/>
      <c r="J9" s="237" t="n"/>
    </row>
    <row r="10" ht="15.75" customHeight="1" s="156">
      <c r="A10" s="158" t="n"/>
      <c r="B10" s="238" t="n"/>
      <c r="C10" s="238" t="n"/>
      <c r="D10" s="189" t="inlineStr">
        <is>
          <t>Номер сметы</t>
        </is>
      </c>
      <c r="E10" s="189" t="inlineStr">
        <is>
          <t>Наименование сметы</t>
        </is>
      </c>
      <c r="F10" s="189" t="inlineStr">
        <is>
          <t>Сметная стоимость в уровне цен 3кв. 2014г., тыс. руб.</t>
        </is>
      </c>
      <c r="G10" s="236" t="n"/>
      <c r="H10" s="236" t="n"/>
      <c r="I10" s="236" t="n"/>
      <c r="J10" s="237" t="n"/>
    </row>
    <row r="11" ht="63" customHeight="1" s="156">
      <c r="A11" s="158" t="n"/>
      <c r="B11" s="239" t="n"/>
      <c r="C11" s="239" t="n"/>
      <c r="D11" s="239" t="n"/>
      <c r="E11" s="239" t="n"/>
      <c r="F11" s="189" t="inlineStr">
        <is>
          <t>Строительные работы</t>
        </is>
      </c>
      <c r="G11" s="189" t="inlineStr">
        <is>
          <t>Монтажные работы</t>
        </is>
      </c>
      <c r="H11" s="189" t="inlineStr">
        <is>
          <t>Оборудование</t>
        </is>
      </c>
      <c r="I11" s="189" t="inlineStr">
        <is>
          <t>Прочее</t>
        </is>
      </c>
      <c r="J11" s="189" t="inlineStr">
        <is>
          <t>Всего</t>
        </is>
      </c>
    </row>
    <row r="12" ht="38.25" customHeight="1" s="156">
      <c r="A12" s="158" t="n"/>
      <c r="B12" s="189" t="n"/>
      <c r="C12" s="189">
        <f>'Прил.1 Сравнит табл'!D16</f>
        <v/>
      </c>
      <c r="D12" s="189" t="n"/>
      <c r="E12" s="189" t="n"/>
      <c r="F12" s="189">
        <f>(Прил.3!H12+Прил.3!H19+Прил.3!H21+Прил.3!H32)/1000*6.74</f>
        <v/>
      </c>
      <c r="G12" s="237" t="n"/>
      <c r="H12" s="189" t="n">
        <v>0</v>
      </c>
      <c r="I12" s="189" t="n"/>
      <c r="J12" s="189">
        <f>F12</f>
        <v/>
      </c>
    </row>
    <row r="13" ht="15.75" customHeight="1" s="156">
      <c r="A13" s="158" t="n"/>
      <c r="B13" s="187" t="inlineStr">
        <is>
          <t>Всего по объекту:</t>
        </is>
      </c>
      <c r="C13" s="236" t="n"/>
      <c r="D13" s="236" t="n"/>
      <c r="E13" s="237" t="n"/>
      <c r="F13" s="126" t="n"/>
      <c r="G13" s="126" t="n"/>
      <c r="H13" s="126" t="n"/>
      <c r="I13" s="126" t="n"/>
      <c r="J13" s="126" t="n"/>
    </row>
    <row r="14" ht="15.75" customHeight="1" s="156">
      <c r="A14" s="158" t="n"/>
      <c r="B14" s="187" t="inlineStr">
        <is>
          <t>Всего по объекту в сопоставимом уровне цен 3кв. 2014г:</t>
        </is>
      </c>
      <c r="C14" s="236" t="n"/>
      <c r="D14" s="236" t="n"/>
      <c r="E14" s="237" t="n"/>
      <c r="F14" s="240">
        <f>F12</f>
        <v/>
      </c>
      <c r="G14" s="237" t="n"/>
      <c r="H14" s="126">
        <f>H12</f>
        <v/>
      </c>
      <c r="I14" s="126" t="n"/>
      <c r="J14" s="126">
        <f>J12</f>
        <v/>
      </c>
    </row>
    <row r="15" ht="15.75" customHeight="1" s="156">
      <c r="A15" s="158" t="n"/>
      <c r="B15" s="158" t="n"/>
      <c r="C15" s="158" t="n"/>
      <c r="D15" s="158" t="n"/>
      <c r="E15" s="158" t="n"/>
      <c r="F15" s="158" t="n"/>
      <c r="G15" s="158" t="n"/>
      <c r="H15" s="158" t="n"/>
      <c r="I15" s="158" t="n"/>
      <c r="J15" s="158" t="n"/>
    </row>
    <row r="16" ht="15.75" customHeight="1" s="156">
      <c r="A16" s="158" t="n"/>
      <c r="B16" s="158" t="n"/>
      <c r="C16" s="158" t="n"/>
      <c r="D16" s="158" t="n"/>
      <c r="E16" s="158" t="n"/>
      <c r="F16" s="158" t="n"/>
      <c r="G16" s="158" t="n"/>
      <c r="H16" s="158" t="n"/>
      <c r="I16" s="158" t="n"/>
      <c r="J16" s="158" t="n"/>
    </row>
    <row r="17" ht="15.75" customHeight="1" s="156">
      <c r="A17" s="158" t="n"/>
      <c r="B17" s="158" t="inlineStr">
        <is>
          <t>Составил ______________________        Е.А. Князева</t>
        </is>
      </c>
      <c r="C17" s="158" t="n"/>
      <c r="D17" s="158" t="n"/>
      <c r="E17" s="158" t="n"/>
      <c r="F17" s="158" t="n"/>
      <c r="G17" s="158" t="n"/>
      <c r="H17" s="158" t="n"/>
      <c r="I17" s="158" t="n"/>
      <c r="J17" s="158" t="n"/>
    </row>
    <row r="18" ht="22.7" customHeight="1" s="156">
      <c r="A18" s="158" t="n"/>
      <c r="B18" s="111" t="inlineStr">
        <is>
          <t xml:space="preserve">                         (подпись, инициалы, фамилия)</t>
        </is>
      </c>
      <c r="C18" s="158" t="n"/>
      <c r="D18" s="158" t="n"/>
      <c r="E18" s="158" t="n"/>
      <c r="F18" s="158" t="n"/>
      <c r="G18" s="158" t="n"/>
      <c r="H18" s="158" t="n"/>
      <c r="I18" s="158" t="n"/>
      <c r="J18" s="158" t="n"/>
    </row>
    <row r="19" ht="15.75" customHeight="1" s="156">
      <c r="A19" s="158" t="n"/>
      <c r="B19" s="158" t="n"/>
      <c r="C19" s="158" t="n"/>
      <c r="D19" s="158" t="n"/>
      <c r="E19" s="158" t="n"/>
      <c r="F19" s="158" t="n"/>
      <c r="G19" s="158" t="n"/>
      <c r="H19" s="158" t="n"/>
      <c r="I19" s="158" t="n"/>
      <c r="J19" s="158" t="n"/>
    </row>
    <row r="20" ht="15.75" customHeight="1" s="156">
      <c r="A20" s="158" t="n"/>
      <c r="B20" s="158" t="inlineStr">
        <is>
          <t>Проверил ______________________        А.В. Костянецкая</t>
        </is>
      </c>
      <c r="C20" s="158" t="n"/>
      <c r="D20" s="158" t="n"/>
      <c r="E20" s="158" t="n"/>
      <c r="F20" s="158" t="n"/>
      <c r="G20" s="158" t="n"/>
      <c r="H20" s="158" t="n"/>
      <c r="I20" s="158" t="n"/>
      <c r="J20" s="158" t="n"/>
    </row>
    <row r="21" ht="22.7" customHeight="1" s="156">
      <c r="A21" s="158" t="n"/>
      <c r="B21" s="111" t="inlineStr">
        <is>
          <t xml:space="preserve">                        (подпись, инициалы, фамилия)</t>
        </is>
      </c>
      <c r="C21" s="158" t="n"/>
      <c r="D21" s="158" t="n"/>
      <c r="E21" s="158" t="n"/>
      <c r="F21" s="158" t="n"/>
      <c r="G21" s="158" t="n"/>
      <c r="H21" s="158" t="n"/>
      <c r="I21" s="158" t="n"/>
      <c r="J21" s="158" t="n"/>
    </row>
  </sheetData>
  <mergeCells count="14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92"/>
  <sheetViews>
    <sheetView view="pageBreakPreview" workbookViewId="0">
      <selection activeCell="F92" sqref="F92"/>
    </sheetView>
  </sheetViews>
  <sheetFormatPr baseColWidth="8" defaultRowHeight="15.75"/>
  <cols>
    <col width="9.140625" customWidth="1" style="158" min="1" max="1"/>
    <col width="12.5703125" customWidth="1" style="158" min="2" max="2"/>
    <col width="18.5703125" customWidth="1" style="158" min="3" max="3"/>
    <col width="54.28515625" customWidth="1" style="158" min="4" max="4"/>
    <col width="10.140625" customWidth="1" style="131" min="5" max="5"/>
    <col width="20.7109375" customWidth="1" style="158" min="6" max="6"/>
    <col width="16.140625" customWidth="1" style="158" min="7" max="7"/>
    <col width="16.7109375" customWidth="1" style="158" min="8" max="8"/>
    <col width="9.140625" customWidth="1" style="158" min="9" max="9"/>
    <col width="19.42578125" customWidth="1" style="158" min="10" max="10"/>
    <col width="13" customWidth="1" style="156" min="11" max="11"/>
    <col width="9.140625" customWidth="1" style="156" min="12" max="12"/>
  </cols>
  <sheetData>
    <row r="1">
      <c r="K1" s="158" t="n"/>
    </row>
    <row r="2">
      <c r="A2" s="185" t="inlineStr">
        <is>
          <t xml:space="preserve">Приложение № 3 </t>
        </is>
      </c>
      <c r="K2" s="158" t="n"/>
    </row>
    <row r="3">
      <c r="A3" s="186" t="inlineStr">
        <is>
          <t>Объектная ресурсная ведомость</t>
        </is>
      </c>
      <c r="K3" s="158" t="n"/>
    </row>
    <row r="4" s="156">
      <c r="A4" s="186" t="n"/>
      <c r="B4" s="186" t="n"/>
      <c r="C4" s="186" t="n"/>
      <c r="D4" s="186" t="n"/>
      <c r="E4" s="186" t="n"/>
      <c r="F4" s="186" t="n"/>
      <c r="G4" s="186" t="n"/>
      <c r="H4" s="186" t="n"/>
      <c r="I4" s="158" t="n"/>
      <c r="J4" s="158" t="n"/>
      <c r="K4" s="158" t="n"/>
    </row>
    <row r="5" ht="18.75" customHeight="1" s="156">
      <c r="A5" s="184" t="n"/>
      <c r="K5" s="158" t="n"/>
    </row>
    <row r="6" ht="36.75" customHeight="1" s="156">
      <c r="A6" s="188">
        <f>'Прил.1 Сравнит табл'!B7</f>
        <v/>
      </c>
      <c r="K6" s="158" t="n"/>
    </row>
    <row r="7" ht="36.75" customHeight="1" s="156">
      <c r="A7" s="188" t="n"/>
      <c r="B7" s="188" t="n"/>
      <c r="C7" s="188" t="n"/>
      <c r="D7" s="188" t="n"/>
      <c r="E7" s="188" t="n"/>
      <c r="F7" s="188" t="n"/>
      <c r="G7" s="188" t="n"/>
      <c r="H7" s="188" t="n"/>
      <c r="I7" s="158" t="n"/>
      <c r="J7" s="158" t="n"/>
      <c r="K7" s="158" t="n"/>
    </row>
    <row r="8">
      <c r="A8" s="102" t="n"/>
      <c r="B8" s="102" t="n"/>
      <c r="C8" s="102" t="n"/>
      <c r="D8" s="102" t="n"/>
      <c r="E8" s="92" t="n"/>
      <c r="F8" s="102" t="n"/>
      <c r="G8" s="102" t="n"/>
      <c r="H8" s="102" t="n"/>
      <c r="K8" s="158" t="n"/>
    </row>
    <row r="9" ht="33" customHeight="1" s="156">
      <c r="A9" s="189" t="inlineStr">
        <is>
          <t>п/п</t>
        </is>
      </c>
      <c r="B9" s="189" t="inlineStr">
        <is>
          <t>№ЛСР</t>
        </is>
      </c>
      <c r="C9" s="189" t="inlineStr">
        <is>
          <t>Код ресурса</t>
        </is>
      </c>
      <c r="D9" s="189" t="inlineStr">
        <is>
          <t>Наименование ресурса</t>
        </is>
      </c>
      <c r="E9" s="189" t="inlineStr">
        <is>
          <t>Ед. изм.</t>
        </is>
      </c>
      <c r="F9" s="189" t="inlineStr">
        <is>
          <t>Кол-во единиц по данным объекта-представителя</t>
        </is>
      </c>
      <c r="G9" s="189" t="inlineStr">
        <is>
          <t>Сметная стоимость в ценах на 01.01.2000 (руб.)</t>
        </is>
      </c>
      <c r="H9" s="237" t="n"/>
      <c r="K9" s="158" t="n"/>
    </row>
    <row r="10" ht="33" customHeight="1" s="156">
      <c r="A10" s="239" t="n"/>
      <c r="B10" s="239" t="n"/>
      <c r="C10" s="239" t="n"/>
      <c r="D10" s="239" t="n"/>
      <c r="E10" s="239" t="n"/>
      <c r="F10" s="239" t="n"/>
      <c r="G10" s="189" t="inlineStr">
        <is>
          <t>на ед.изм.</t>
        </is>
      </c>
      <c r="H10" s="189" t="inlineStr">
        <is>
          <t>общая</t>
        </is>
      </c>
      <c r="K10" s="158" t="n"/>
    </row>
    <row r="11">
      <c r="A11" s="174" t="n">
        <v>1</v>
      </c>
      <c r="B11" s="174" t="n"/>
      <c r="C11" s="174" t="n">
        <v>2</v>
      </c>
      <c r="D11" s="174" t="inlineStr">
        <is>
          <t>З</t>
        </is>
      </c>
      <c r="E11" s="174" t="n">
        <v>4</v>
      </c>
      <c r="F11" s="174" t="n">
        <v>5</v>
      </c>
      <c r="G11" s="174" t="n">
        <v>6</v>
      </c>
      <c r="H11" s="174" t="n">
        <v>7</v>
      </c>
      <c r="I11" s="241" t="n"/>
      <c r="K11" s="158" t="n"/>
    </row>
    <row r="12">
      <c r="A12" s="194" t="inlineStr">
        <is>
          <t>Затраты труда рабочих</t>
        </is>
      </c>
      <c r="B12" s="236" t="n"/>
      <c r="C12" s="236" t="n"/>
      <c r="D12" s="236" t="n"/>
      <c r="E12" s="237" t="n"/>
      <c r="F12" s="104" t="n">
        <v>22791.78</v>
      </c>
      <c r="G12" s="104" t="n"/>
      <c r="H12" s="104">
        <f>SUM(H13:H18)</f>
        <v/>
      </c>
      <c r="I12" s="105" t="n"/>
      <c r="J12" s="105" t="n"/>
      <c r="K12" s="105" t="n"/>
    </row>
    <row r="13">
      <c r="A13" s="195" t="n">
        <v>1</v>
      </c>
      <c r="B13" s="121" t="n"/>
      <c r="C13" s="107" t="inlineStr">
        <is>
          <t>1-3-3</t>
        </is>
      </c>
      <c r="D13" s="196" t="inlineStr">
        <is>
          <t>Затраты труда рабочих (средний разряд работы  3,3)</t>
        </is>
      </c>
      <c r="E13" s="123" t="inlineStr">
        <is>
          <t>чел.-ч</t>
        </is>
      </c>
      <c r="F13" s="195" t="n">
        <v>22060.5</v>
      </c>
      <c r="G13" s="109" t="n">
        <v>8.859999999999999</v>
      </c>
      <c r="H13" s="109">
        <f>ROUND(F13*G13,2)</f>
        <v/>
      </c>
      <c r="K13" s="158" t="n"/>
    </row>
    <row r="14">
      <c r="A14" s="195" t="n">
        <v>2</v>
      </c>
      <c r="B14" s="121" t="n"/>
      <c r="C14" s="107" t="inlineStr">
        <is>
          <t>1-4-0</t>
        </is>
      </c>
      <c r="D14" s="196" t="inlineStr">
        <is>
          <t>Затраты труда рабочих (средний разряд работы  4)</t>
        </is>
      </c>
      <c r="E14" s="123" t="inlineStr">
        <is>
          <t>чел.-ч</t>
        </is>
      </c>
      <c r="F14" s="195" t="n">
        <v>336.27</v>
      </c>
      <c r="G14" s="109" t="n">
        <v>9.619999999999999</v>
      </c>
      <c r="H14" s="109">
        <f>ROUND(F14*G14,2)</f>
        <v/>
      </c>
      <c r="K14" s="158" t="n"/>
    </row>
    <row r="15">
      <c r="A15" s="195" t="n">
        <v>3</v>
      </c>
      <c r="B15" s="121" t="n"/>
      <c r="C15" s="107" t="inlineStr">
        <is>
          <t>1-6-0</t>
        </is>
      </c>
      <c r="D15" s="196" t="inlineStr">
        <is>
          <t>Затраты труда рабочих (средний разряд работы  6)</t>
        </is>
      </c>
      <c r="E15" s="123" t="inlineStr">
        <is>
          <t>чел.-ч</t>
        </is>
      </c>
      <c r="F15" s="195" t="n">
        <v>169.29</v>
      </c>
      <c r="G15" s="109" t="n">
        <v>12.92</v>
      </c>
      <c r="H15" s="109">
        <f>ROUND(F15*G15,2)</f>
        <v/>
      </c>
      <c r="K15" s="158" t="n"/>
    </row>
    <row r="16">
      <c r="A16" s="195" t="n">
        <v>4</v>
      </c>
      <c r="B16" s="121" t="n"/>
      <c r="C16" s="107" t="inlineStr">
        <is>
          <t>1-7-3</t>
        </is>
      </c>
      <c r="D16" s="196" t="inlineStr">
        <is>
          <t>Затраты труда рабочих (средний разряд работы  7,3)</t>
        </is>
      </c>
      <c r="E16" s="123" t="inlineStr">
        <is>
          <t>чел.-ч</t>
        </is>
      </c>
      <c r="F16" s="195" t="n">
        <v>92.73</v>
      </c>
      <c r="G16" s="109" t="n">
        <v>14.06</v>
      </c>
      <c r="H16" s="109">
        <f>ROUND(F16*G16,2)</f>
        <v/>
      </c>
      <c r="K16" s="158" t="n"/>
    </row>
    <row r="17">
      <c r="A17" s="195" t="n">
        <v>5</v>
      </c>
      <c r="B17" s="121" t="n"/>
      <c r="C17" s="107" t="inlineStr">
        <is>
          <t>10-3-1</t>
        </is>
      </c>
      <c r="D17" s="196" t="inlineStr">
        <is>
          <t>Инженер I категории</t>
        </is>
      </c>
      <c r="E17" s="123" t="inlineStr">
        <is>
          <t>чел.-ч</t>
        </is>
      </c>
      <c r="F17" s="195" t="n">
        <v>83.81999999999999</v>
      </c>
      <c r="G17" s="109" t="n">
        <v>15.49</v>
      </c>
      <c r="H17" s="109">
        <f>ROUND(F17*G17,2)</f>
        <v/>
      </c>
      <c r="K17" s="158" t="n"/>
    </row>
    <row r="18">
      <c r="A18" s="195" t="n">
        <v>6</v>
      </c>
      <c r="B18" s="121" t="n"/>
      <c r="C18" s="107" t="inlineStr">
        <is>
          <t>10-2-1</t>
        </is>
      </c>
      <c r="D18" s="196" t="inlineStr">
        <is>
          <t>Ведущий инженер</t>
        </is>
      </c>
      <c r="E18" s="123" t="inlineStr">
        <is>
          <t>чел.-ч</t>
        </is>
      </c>
      <c r="F18" s="195" t="n">
        <v>49.17</v>
      </c>
      <c r="G18" s="109" t="n">
        <v>16.93</v>
      </c>
      <c r="H18" s="109">
        <f>ROUND(F18*G18,2)</f>
        <v/>
      </c>
      <c r="K18" s="158" t="n"/>
    </row>
    <row r="19">
      <c r="A19" s="194" t="inlineStr">
        <is>
          <t>Затраты труда машинистов</t>
        </is>
      </c>
      <c r="B19" s="236" t="n"/>
      <c r="C19" s="236" t="n"/>
      <c r="D19" s="236" t="n"/>
      <c r="E19" s="237" t="n"/>
      <c r="F19" s="194" t="n">
        <v>2834.062</v>
      </c>
      <c r="G19" s="104" t="n"/>
      <c r="H19" s="104">
        <f>H20</f>
        <v/>
      </c>
      <c r="K19" s="158" t="n"/>
    </row>
    <row r="20">
      <c r="A20" s="195" t="n">
        <v>7</v>
      </c>
      <c r="B20" s="159" t="n"/>
      <c r="C20" s="115" t="n">
        <v>2</v>
      </c>
      <c r="D20" s="196" t="inlineStr">
        <is>
          <t>Затраты труда машинистов</t>
        </is>
      </c>
      <c r="E20" s="123" t="inlineStr">
        <is>
          <t>чел.-ч</t>
        </is>
      </c>
      <c r="F20" s="195" t="n">
        <v>2834.062</v>
      </c>
      <c r="G20" s="109" t="n"/>
      <c r="H20" s="109" t="n">
        <v>32902.17</v>
      </c>
      <c r="K20" s="158" t="n"/>
    </row>
    <row r="21">
      <c r="A21" s="194" t="inlineStr">
        <is>
          <t>Машины и механизмы</t>
        </is>
      </c>
      <c r="B21" s="236" t="n"/>
      <c r="C21" s="236" t="n"/>
      <c r="D21" s="236" t="n"/>
      <c r="E21" s="237" t="n"/>
      <c r="F21" s="194" t="n"/>
      <c r="G21" s="104" t="n"/>
      <c r="H21" s="104">
        <f>SUM(H22:H30)</f>
        <v/>
      </c>
      <c r="I21" s="105" t="n"/>
      <c r="J21" s="105" t="n"/>
      <c r="K21" s="105" t="n"/>
    </row>
    <row r="22" ht="31.7" customHeight="1" s="156">
      <c r="A22" s="195" t="n">
        <v>8</v>
      </c>
      <c r="B22" s="159" t="n"/>
      <c r="C22" s="196" t="inlineStr">
        <is>
          <t>91.11.01-012</t>
        </is>
      </c>
      <c r="D22" s="196" t="inlineStr">
        <is>
          <t>Машины монтажные для выполнения работ при прокладке и монтаже кабеля на базе автомобиля</t>
        </is>
      </c>
      <c r="E22" s="123" t="inlineStr">
        <is>
          <t>маш.час</t>
        </is>
      </c>
      <c r="F22" s="195" t="n">
        <v>2735.502</v>
      </c>
      <c r="G22" s="109" t="n">
        <v>110.86</v>
      </c>
      <c r="H22" s="109">
        <f>ROUND(F22*G22,2)</f>
        <v/>
      </c>
      <c r="K22" s="158" t="n"/>
    </row>
    <row r="23" ht="31.7" customHeight="1" s="156">
      <c r="A23" s="195" t="n">
        <v>9</v>
      </c>
      <c r="B23" s="159" t="n"/>
      <c r="C23" s="196" t="inlineStr">
        <is>
          <t>91.05.05-015</t>
        </is>
      </c>
      <c r="D23" s="196" t="inlineStr">
        <is>
          <t>Краны на автомобильном ходу, грузоподъемность 16 т</t>
        </is>
      </c>
      <c r="E23" s="123" t="inlineStr">
        <is>
          <t>маш.час</t>
        </is>
      </c>
      <c r="F23" s="195" t="n">
        <v>37.18</v>
      </c>
      <c r="G23" s="109" t="n">
        <v>115.4</v>
      </c>
      <c r="H23" s="109">
        <f>ROUND(F23*G23,2)</f>
        <v/>
      </c>
      <c r="I23" s="105" t="n"/>
      <c r="J23" s="105" t="n"/>
      <c r="K23" s="105" t="n"/>
    </row>
    <row r="24">
      <c r="A24" s="195" t="n">
        <v>10</v>
      </c>
      <c r="B24" s="159" t="n"/>
      <c r="C24" s="196" t="inlineStr">
        <is>
          <t>91.06.06-014</t>
        </is>
      </c>
      <c r="D24" s="196" t="inlineStr">
        <is>
          <t>Автогидроподъемники, высота подъема 28 м</t>
        </is>
      </c>
      <c r="E24" s="123" t="inlineStr">
        <is>
          <t>маш.час</t>
        </is>
      </c>
      <c r="F24" s="195" t="n">
        <v>11.55</v>
      </c>
      <c r="G24" s="109" t="n">
        <v>243.49</v>
      </c>
      <c r="H24" s="109">
        <f>ROUND(F24*G24,2)</f>
        <v/>
      </c>
      <c r="K24" s="158" t="n"/>
    </row>
    <row r="25">
      <c r="A25" s="195" t="n">
        <v>11</v>
      </c>
      <c r="B25" s="159" t="n"/>
      <c r="C25" s="196" t="inlineStr">
        <is>
          <t>91.21.22-341</t>
        </is>
      </c>
      <c r="D25" s="196" t="inlineStr">
        <is>
          <t>Рефлектометры</t>
        </is>
      </c>
      <c r="E25" s="123" t="inlineStr">
        <is>
          <t>маш.час</t>
        </is>
      </c>
      <c r="F25" s="195" t="n">
        <v>151.47</v>
      </c>
      <c r="G25" s="109" t="n">
        <v>10.62</v>
      </c>
      <c r="H25" s="109">
        <f>ROUND(F25*G25,2)</f>
        <v/>
      </c>
      <c r="K25" s="158" t="n"/>
    </row>
    <row r="26">
      <c r="A26" s="195" t="n">
        <v>12</v>
      </c>
      <c r="B26" s="159" t="n"/>
      <c r="C26" s="196" t="inlineStr">
        <is>
          <t>91.06.06-042</t>
        </is>
      </c>
      <c r="D26" s="196" t="inlineStr">
        <is>
          <t>Подъемники гидравлические, высота подъема 10 м</t>
        </is>
      </c>
      <c r="E26" s="123" t="inlineStr">
        <is>
          <t>маш.час</t>
        </is>
      </c>
      <c r="F26" s="195" t="n">
        <v>46.53</v>
      </c>
      <c r="G26" s="109" t="n">
        <v>29.6</v>
      </c>
      <c r="H26" s="109">
        <f>ROUND(F26*G26,2)</f>
        <v/>
      </c>
      <c r="K26" s="158" t="n"/>
    </row>
    <row r="27" ht="31.7" customHeight="1" s="156">
      <c r="A27" s="195" t="n">
        <v>13</v>
      </c>
      <c r="B27" s="159" t="n"/>
      <c r="C27" s="196" t="inlineStr">
        <is>
          <t>91.17.04-194</t>
        </is>
      </c>
      <c r="D27" s="196" t="inlineStr">
        <is>
          <t>Аппараты сварочные для сварки оптических кабелей со скалывателем</t>
        </is>
      </c>
      <c r="E27" s="123" t="inlineStr">
        <is>
          <t>маш.час</t>
        </is>
      </c>
      <c r="F27" s="195" t="n">
        <v>35.97</v>
      </c>
      <c r="G27" s="109" t="n">
        <v>12.14</v>
      </c>
      <c r="H27" s="109">
        <f>ROUND(F27*G27,2)</f>
        <v/>
      </c>
      <c r="K27" s="158" t="n"/>
    </row>
    <row r="28">
      <c r="A28" s="195" t="n">
        <v>14</v>
      </c>
      <c r="B28" s="159" t="n"/>
      <c r="C28" s="196" t="inlineStr">
        <is>
          <t>91.14.02-001</t>
        </is>
      </c>
      <c r="D28" s="196" t="inlineStr">
        <is>
          <t>Автомобили бортовые, грузоподъемность до 5 т</t>
        </is>
      </c>
      <c r="E28" s="123" t="inlineStr">
        <is>
          <t>маш.час</t>
        </is>
      </c>
      <c r="F28" s="195" t="n">
        <v>3.3</v>
      </c>
      <c r="G28" s="109" t="n">
        <v>65.70999999999999</v>
      </c>
      <c r="H28" s="109">
        <f>ROUND(F28*G28,2)</f>
        <v/>
      </c>
      <c r="K28" s="158" t="n"/>
    </row>
    <row r="29" ht="31.7" customHeight="1" s="156">
      <c r="A29" s="195" t="n">
        <v>15</v>
      </c>
      <c r="B29" s="159" t="n"/>
      <c r="C29" s="196" t="inlineStr">
        <is>
          <t>91.17.04-233</t>
        </is>
      </c>
      <c r="D29" s="196" t="inlineStr">
        <is>
          <t>Установки для сварки ручной дуговой (постоянного тока)</t>
        </is>
      </c>
      <c r="E29" s="123" t="inlineStr">
        <is>
          <t>маш.час</t>
        </is>
      </c>
      <c r="F29" s="195" t="n">
        <v>14.52</v>
      </c>
      <c r="G29" s="109" t="n">
        <v>8.1</v>
      </c>
      <c r="H29" s="109">
        <f>ROUND(F29*G29,2)</f>
        <v/>
      </c>
      <c r="K29" s="158" t="n"/>
    </row>
    <row r="30" ht="31.7" customHeight="1" s="156">
      <c r="A30" s="195" t="n">
        <v>16</v>
      </c>
      <c r="B30" s="159" t="n"/>
      <c r="C30" s="196" t="inlineStr">
        <is>
          <t>91.06.01-003</t>
        </is>
      </c>
      <c r="D30" s="196" t="inlineStr">
        <is>
          <t>Домкраты гидравлические, грузоподъемность 63-100 т</t>
        </is>
      </c>
      <c r="E30" s="123" t="inlineStr">
        <is>
          <t>маш.час</t>
        </is>
      </c>
      <c r="F30" s="195" t="n">
        <v>27.72</v>
      </c>
      <c r="G30" s="109" t="n">
        <v>0.9</v>
      </c>
      <c r="H30" s="109">
        <f>ROUND(F30*G30,2)</f>
        <v/>
      </c>
      <c r="K30" s="158" t="n"/>
    </row>
    <row r="31">
      <c r="A31" s="194" t="inlineStr">
        <is>
          <t>Оборудование</t>
        </is>
      </c>
      <c r="B31" s="236" t="n"/>
      <c r="C31" s="236" t="n"/>
      <c r="D31" s="236" t="n"/>
      <c r="E31" s="237" t="n"/>
      <c r="F31" s="194" t="n"/>
      <c r="G31" s="104" t="n"/>
      <c r="H31" s="104" t="n">
        <v>0</v>
      </c>
      <c r="J31" s="117" t="n"/>
    </row>
    <row r="32">
      <c r="A32" s="194" t="inlineStr">
        <is>
          <t>Материалы</t>
        </is>
      </c>
      <c r="B32" s="236" t="n"/>
      <c r="C32" s="236" t="n"/>
      <c r="D32" s="236" t="n"/>
      <c r="E32" s="237" t="n"/>
      <c r="F32" s="194" t="n"/>
      <c r="G32" s="104" t="n"/>
      <c r="H32" s="104">
        <f>SUM(H33:H85)</f>
        <v/>
      </c>
      <c r="J32" s="117" t="n"/>
    </row>
    <row r="33" ht="31.7" customHeight="1" s="156">
      <c r="A33" s="195" t="n">
        <v>17</v>
      </c>
      <c r="B33" s="123" t="n"/>
      <c r="C33" s="196" t="inlineStr">
        <is>
          <t>Прайс из СД ОП</t>
        </is>
      </c>
      <c r="D33" s="196" t="inlineStr">
        <is>
          <t>Кабель оптический ОКСН на 8 волокон МДРН 20 кН</t>
        </is>
      </c>
      <c r="E33" s="123" t="inlineStr">
        <is>
          <t>1000 м</t>
        </is>
      </c>
      <c r="F33" s="195" t="n">
        <v>147.07</v>
      </c>
      <c r="G33" s="109" t="n">
        <v>8792.309999999999</v>
      </c>
      <c r="H33" s="109">
        <f>ROUND(F33*G33,2)</f>
        <v/>
      </c>
    </row>
    <row r="34" ht="63" customHeight="1" s="156">
      <c r="A34" s="195" t="n">
        <v>18</v>
      </c>
      <c r="B34" s="123" t="n"/>
      <c r="C34" s="196" t="inlineStr">
        <is>
          <t>08.2.02.06-0001</t>
        </is>
      </c>
      <c r="D34" s="196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E34" s="123" t="inlineStr">
        <is>
          <t>10 м</t>
        </is>
      </c>
      <c r="F34" s="195" t="n">
        <v>15442.35</v>
      </c>
      <c r="G34" s="109" t="n">
        <v>64.31</v>
      </c>
      <c r="H34" s="109">
        <f>ROUND(F34*G34,2)</f>
        <v/>
      </c>
    </row>
    <row r="35">
      <c r="A35" s="195" t="n">
        <v>19</v>
      </c>
      <c r="B35" s="123" t="n"/>
      <c r="C35" s="196" t="inlineStr">
        <is>
          <t>22.2.02.01-0005</t>
        </is>
      </c>
      <c r="D35" s="196" t="inlineStr">
        <is>
          <t>Гаситель вибрации ГВ-4433-02</t>
        </is>
      </c>
      <c r="E35" s="123" t="inlineStr">
        <is>
          <t>шт</t>
        </is>
      </c>
      <c r="F35" s="195" t="n">
        <v>1070</v>
      </c>
      <c r="G35" s="109" t="n">
        <v>160.79</v>
      </c>
      <c r="H35" s="109">
        <f>ROUND(F35*G35,2)</f>
        <v/>
      </c>
    </row>
    <row r="36">
      <c r="A36" s="195" t="n">
        <v>20</v>
      </c>
      <c r="B36" s="123" t="n"/>
      <c r="C36" s="196" t="inlineStr">
        <is>
          <t>20.1.02.10-0002</t>
        </is>
      </c>
      <c r="D36" s="196" t="inlineStr">
        <is>
          <t>Подвес металлический кабелей связи</t>
        </is>
      </c>
      <c r="E36" s="123" t="inlineStr">
        <is>
          <t>т</t>
        </is>
      </c>
      <c r="F36" s="195" t="n">
        <v>9.706619999999999</v>
      </c>
      <c r="G36" s="109" t="n">
        <v>13900</v>
      </c>
      <c r="H36" s="109">
        <f>ROUND(F36*G36,2)</f>
        <v/>
      </c>
    </row>
    <row r="37" ht="15" customHeight="1" s="156">
      <c r="A37" s="195" t="n">
        <v>21</v>
      </c>
      <c r="B37" s="123" t="n"/>
      <c r="C37" s="196" t="inlineStr">
        <is>
          <t>22.2.01.03-0003</t>
        </is>
      </c>
      <c r="D37" s="196" t="inlineStr">
        <is>
          <t>Изолятор подвесной стеклянный ПСД-70Е // Изоляторы ПС70Е</t>
        </is>
      </c>
      <c r="E37" s="123" t="inlineStr">
        <is>
          <t>шт</t>
        </is>
      </c>
      <c r="F37" s="195" t="n">
        <v>505</v>
      </c>
      <c r="G37" s="109" t="n">
        <v>169.25</v>
      </c>
      <c r="H37" s="109">
        <f>ROUND(F37*G37,2)</f>
        <v/>
      </c>
    </row>
    <row r="38" ht="31.7" customHeight="1" s="156">
      <c r="A38" s="195" t="n">
        <v>22</v>
      </c>
      <c r="B38" s="123" t="n"/>
      <c r="C38" s="196" t="inlineStr">
        <is>
          <t>20.1.01.12-0032</t>
        </is>
      </c>
      <c r="D38" s="196" t="inlineStr">
        <is>
          <t>Зажим поддерживающий марки SO 140 // Зажим поддерживающий ПСО-140,9/11,1П-33</t>
        </is>
      </c>
      <c r="E38" s="123" t="inlineStr">
        <is>
          <t>100 шт</t>
        </is>
      </c>
      <c r="F38" s="195" t="n">
        <v>4.82</v>
      </c>
      <c r="G38" s="109" t="n">
        <v>14164</v>
      </c>
      <c r="H38" s="109">
        <f>ROUND(F38*G38,2)</f>
        <v/>
      </c>
    </row>
    <row r="39" ht="31.7" customHeight="1" s="156">
      <c r="A39" s="195" t="n">
        <v>23</v>
      </c>
      <c r="B39" s="123" t="n"/>
      <c r="C39" s="196" t="inlineStr">
        <is>
          <t>22.2.01.05-0052</t>
        </is>
      </c>
      <c r="D39" s="196" t="inlineStr">
        <is>
          <t>Изолятор опорный ИОС-35-500-03 УХЛ, Т1 // Изоляторы опорные ОСПК-12,5-35-А-2У</t>
        </is>
      </c>
      <c r="E39" s="123" t="inlineStr">
        <is>
          <t>шт</t>
        </is>
      </c>
      <c r="F39" s="195" t="n">
        <v>114</v>
      </c>
      <c r="G39" s="109" t="n">
        <v>555.4400000000001</v>
      </c>
      <c r="H39" s="109">
        <f>ROUND(F39*G39,2)</f>
        <v/>
      </c>
    </row>
    <row r="40" ht="15" customHeight="1" s="156">
      <c r="A40" s="195" t="n">
        <v>24</v>
      </c>
      <c r="B40" s="123" t="n"/>
      <c r="C40" s="196" t="inlineStr">
        <is>
          <t>22.2.02.20-1020</t>
        </is>
      </c>
      <c r="D40" s="196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E40" s="123" t="inlineStr">
        <is>
          <t>компл</t>
        </is>
      </c>
      <c r="F40" s="195" t="n">
        <v>1127</v>
      </c>
      <c r="G40" s="109" t="n">
        <v>54.59</v>
      </c>
      <c r="H40" s="109">
        <f>ROUND(F40*G40,2)</f>
        <v/>
      </c>
    </row>
    <row r="41" ht="31.7" customHeight="1" s="156">
      <c r="A41" s="195" t="n">
        <v>25</v>
      </c>
      <c r="B41" s="123" t="n"/>
      <c r="C41" s="196" t="inlineStr">
        <is>
          <t>20.5.04.04-0050</t>
        </is>
      </c>
      <c r="D41" s="196" t="inlineStr">
        <is>
          <t>Зажим натяжной: спиральный НС-11,4-02 // Зажимы натяжные НСО-10,9/11,1П</t>
        </is>
      </c>
      <c r="E41" s="123" t="inlineStr">
        <is>
          <t>шт</t>
        </is>
      </c>
      <c r="F41" s="195" t="n">
        <v>152</v>
      </c>
      <c r="G41" s="109" t="n">
        <v>303.68</v>
      </c>
      <c r="H41" s="109">
        <f>ROUND(F41*G41,2)</f>
        <v/>
      </c>
    </row>
    <row r="42" ht="31.7" customHeight="1" s="156">
      <c r="A42" s="195" t="n">
        <v>26</v>
      </c>
      <c r="B42" s="123" t="n"/>
      <c r="C42" s="196" t="inlineStr">
        <is>
          <t>22.1.01.01-0032</t>
        </is>
      </c>
      <c r="D42" s="196" t="inlineStr">
        <is>
          <t>Боксы кабельные, тип БМ2-2 // Барабан для шлейфов кабеля БШ</t>
        </is>
      </c>
      <c r="E42" s="123" t="inlineStr">
        <is>
          <t>шт</t>
        </is>
      </c>
      <c r="F42" s="195" t="n">
        <v>33</v>
      </c>
      <c r="G42" s="109" t="n">
        <v>1335</v>
      </c>
      <c r="H42" s="109">
        <f>ROUND(F42*G42,2)</f>
        <v/>
      </c>
    </row>
    <row r="43">
      <c r="A43" s="195" t="n">
        <v>27</v>
      </c>
      <c r="B43" s="123" t="n"/>
      <c r="C43" s="196" t="inlineStr">
        <is>
          <t>27.2.01.03-0011</t>
        </is>
      </c>
      <c r="D43" s="196" t="inlineStr">
        <is>
          <t>Зажим двухболтовой</t>
        </is>
      </c>
      <c r="E43" s="123" t="inlineStr">
        <is>
          <t>кг</t>
        </is>
      </c>
      <c r="F43" s="195" t="n">
        <v>3647.336</v>
      </c>
      <c r="G43" s="109" t="n">
        <v>12</v>
      </c>
      <c r="H43" s="109">
        <f>ROUND(F43*G43,2)</f>
        <v/>
      </c>
    </row>
    <row r="44">
      <c r="A44" s="195" t="n">
        <v>28</v>
      </c>
      <c r="B44" s="123" t="n"/>
      <c r="C44" s="196" t="inlineStr">
        <is>
          <t>22.2.02.04-0026</t>
        </is>
      </c>
      <c r="D44" s="196" t="inlineStr">
        <is>
          <t>Звено промежуточное ПТР-12-1</t>
        </is>
      </c>
      <c r="E44" s="123" t="inlineStr">
        <is>
          <t>шт</t>
        </is>
      </c>
      <c r="F44" s="195" t="n">
        <v>134</v>
      </c>
      <c r="G44" s="109" t="n">
        <v>307.58</v>
      </c>
      <c r="H44" s="109">
        <f>ROUND(F44*G44,2)</f>
        <v/>
      </c>
    </row>
    <row r="45">
      <c r="A45" s="195" t="n">
        <v>29</v>
      </c>
      <c r="B45" s="123" t="n"/>
      <c r="C45" s="196" t="inlineStr">
        <is>
          <t>22.2.02.04-0037</t>
        </is>
      </c>
      <c r="D45" s="196" t="inlineStr">
        <is>
          <t>Звено промежуточное регулируемое ПРР-12-1А</t>
        </is>
      </c>
      <c r="E45" s="123" t="inlineStr">
        <is>
          <t>шт</t>
        </is>
      </c>
      <c r="F45" s="195" t="n">
        <v>150</v>
      </c>
      <c r="G45" s="109" t="n">
        <v>169.51</v>
      </c>
      <c r="H45" s="109">
        <f>ROUND(F45*G45,2)</f>
        <v/>
      </c>
    </row>
    <row r="46" ht="31.7" customHeight="1" s="156">
      <c r="A46" s="195" t="n">
        <v>30</v>
      </c>
      <c r="B46" s="123" t="n"/>
      <c r="C46" s="196" t="inlineStr">
        <is>
          <t>22.2.02.06-0011</t>
        </is>
      </c>
      <c r="D46" s="196" t="inlineStr">
        <is>
          <t>Консоли для крепления и подвески стального каната КСП-2</t>
        </is>
      </c>
      <c r="E46" s="123" t="inlineStr">
        <is>
          <t>100 шт</t>
        </is>
      </c>
      <c r="F46" s="195" t="n">
        <v>26.4726</v>
      </c>
      <c r="G46" s="109" t="n">
        <v>903.4400000000001</v>
      </c>
      <c r="H46" s="109">
        <f>ROUND(F46*G46,2)</f>
        <v/>
      </c>
      <c r="I46" s="105" t="n"/>
      <c r="J46" s="105" t="n"/>
    </row>
    <row r="47">
      <c r="A47" s="195" t="n">
        <v>31</v>
      </c>
      <c r="B47" s="123" t="n"/>
      <c r="C47" s="196" t="inlineStr">
        <is>
          <t>20.1.02.22-0006</t>
        </is>
      </c>
      <c r="D47" s="196" t="inlineStr">
        <is>
          <t>Ушко однолапчатое У1-12-16</t>
        </is>
      </c>
      <c r="E47" s="123" t="inlineStr">
        <is>
          <t>шт</t>
        </is>
      </c>
      <c r="F47" s="195" t="n">
        <v>150</v>
      </c>
      <c r="G47" s="109" t="n">
        <v>137.86</v>
      </c>
      <c r="H47" s="109">
        <f>ROUND(F47*G47,2)</f>
        <v/>
      </c>
      <c r="I47" s="105" t="n"/>
      <c r="J47" s="105" t="n"/>
    </row>
    <row r="48">
      <c r="A48" s="195" t="n">
        <v>32</v>
      </c>
      <c r="B48" s="123" t="n"/>
      <c r="C48" s="196" t="inlineStr">
        <is>
          <t>20.1.02.22-0005</t>
        </is>
      </c>
      <c r="D48" s="196" t="inlineStr">
        <is>
          <t>Ушко: однолапчатое У1-7-16</t>
        </is>
      </c>
      <c r="E48" s="123" t="inlineStr">
        <is>
          <t>шт</t>
        </is>
      </c>
      <c r="F48" s="195" t="n">
        <v>486</v>
      </c>
      <c r="G48" s="109" t="n">
        <v>39.32</v>
      </c>
      <c r="H48" s="109">
        <f>ROUND(F48*G48,2)</f>
        <v/>
      </c>
      <c r="I48" s="105" t="n"/>
      <c r="J48" s="105" t="n"/>
    </row>
    <row r="49">
      <c r="A49" s="195" t="n">
        <v>33</v>
      </c>
      <c r="B49" s="123" t="n"/>
      <c r="C49" s="196" t="inlineStr">
        <is>
          <t>20.1.02.19-0013</t>
        </is>
      </c>
      <c r="D49" s="196" t="inlineStr">
        <is>
          <t>Трос грозозащитный</t>
        </is>
      </c>
      <c r="E49" s="123" t="inlineStr">
        <is>
          <t>т</t>
        </is>
      </c>
      <c r="F49" s="195" t="n">
        <v>1.66</v>
      </c>
      <c r="G49" s="109" t="n">
        <v>10821.28</v>
      </c>
      <c r="H49" s="109">
        <f>ROUND(F49*G49,2)</f>
        <v/>
      </c>
      <c r="I49" s="105" t="n"/>
      <c r="J49" s="105" t="n"/>
    </row>
    <row r="50" ht="31.7" customHeight="1" s="156">
      <c r="A50" s="195" t="n">
        <v>34</v>
      </c>
      <c r="B50" s="123" t="n"/>
      <c r="C50" s="196" t="inlineStr">
        <is>
          <t>25.2.02.06-0001</t>
        </is>
      </c>
      <c r="D50" s="196" t="inlineStr">
        <is>
          <t>Ограничитель грузов, тип 2, окрашенный // Ограничитель ОГК-5,0-13</t>
        </is>
      </c>
      <c r="E50" s="123" t="inlineStr">
        <is>
          <t>шт</t>
        </is>
      </c>
      <c r="F50" s="195" t="n">
        <v>50</v>
      </c>
      <c r="G50" s="109" t="n">
        <v>290.15</v>
      </c>
      <c r="H50" s="109">
        <f>ROUND(F50*G50,2)</f>
        <v/>
      </c>
      <c r="I50" s="105" t="n"/>
      <c r="J50" s="105" t="n"/>
    </row>
    <row r="51">
      <c r="A51" s="195" t="n">
        <v>35</v>
      </c>
      <c r="B51" s="123" t="n"/>
      <c r="C51" s="196" t="inlineStr">
        <is>
          <t>20.1.02.21-0043</t>
        </is>
      </c>
      <c r="D51" s="196" t="inlineStr">
        <is>
          <t>Узел крепления КГП-7-3</t>
        </is>
      </c>
      <c r="E51" s="123" t="inlineStr">
        <is>
          <t>шт</t>
        </is>
      </c>
      <c r="F51" s="195" t="n">
        <v>465</v>
      </c>
      <c r="G51" s="109" t="n">
        <v>25.55</v>
      </c>
      <c r="H51" s="109">
        <f>ROUND(F51*G51,2)</f>
        <v/>
      </c>
      <c r="I51" s="105" t="n"/>
      <c r="J51" s="105" t="n"/>
    </row>
    <row r="52">
      <c r="A52" s="195" t="n">
        <v>36</v>
      </c>
      <c r="B52" s="123" t="n"/>
      <c r="C52" s="196" t="inlineStr">
        <is>
          <t>22.2.02.04-0008</t>
        </is>
      </c>
      <c r="D52" s="196" t="inlineStr">
        <is>
          <t>Звено промежуточное монтажное ПТМ-12-2</t>
        </is>
      </c>
      <c r="E52" s="123" t="inlineStr">
        <is>
          <t>шт</t>
        </is>
      </c>
      <c r="F52" s="195" t="n">
        <v>150</v>
      </c>
      <c r="G52" s="109" t="n">
        <v>57.83</v>
      </c>
      <c r="H52" s="109">
        <f>ROUND(F52*G52,2)</f>
        <v/>
      </c>
      <c r="I52" s="105" t="n"/>
      <c r="J52" s="105" t="n"/>
    </row>
    <row r="53">
      <c r="A53" s="195" t="n">
        <v>37</v>
      </c>
      <c r="B53" s="123" t="n"/>
      <c r="C53" s="196" t="inlineStr">
        <is>
          <t>25.2.01.07-0001</t>
        </is>
      </c>
      <c r="D53" s="196" t="inlineStr">
        <is>
          <t>Изоляторы // Изоляторы  ПС120Б</t>
        </is>
      </c>
      <c r="E53" s="123" t="inlineStr">
        <is>
          <t>шт</t>
        </is>
      </c>
      <c r="F53" s="195" t="n">
        <v>166</v>
      </c>
      <c r="G53" s="109" t="n">
        <v>51.5</v>
      </c>
      <c r="H53" s="109">
        <f>ROUND(F53*G53,2)</f>
        <v/>
      </c>
      <c r="I53" s="105" t="n"/>
      <c r="J53" s="105" t="n"/>
    </row>
    <row r="54">
      <c r="A54" s="195" t="n">
        <v>38</v>
      </c>
      <c r="B54" s="123" t="n"/>
      <c r="C54" s="196" t="inlineStr">
        <is>
          <t>01.7.15.10-0032</t>
        </is>
      </c>
      <c r="D54" s="196" t="inlineStr">
        <is>
          <t>Скобы СК-12-1А</t>
        </is>
      </c>
      <c r="E54" s="123" t="inlineStr">
        <is>
          <t>шт</t>
        </is>
      </c>
      <c r="F54" s="195" t="n">
        <v>150</v>
      </c>
      <c r="G54" s="109" t="n">
        <v>54.7</v>
      </c>
      <c r="H54" s="109">
        <f>ROUND(F54*G54,2)</f>
        <v/>
      </c>
      <c r="I54" s="105" t="n"/>
      <c r="J54" s="105" t="n"/>
    </row>
    <row r="55">
      <c r="A55" s="195" t="n">
        <v>39</v>
      </c>
      <c r="B55" s="123" t="n"/>
      <c r="C55" s="196" t="inlineStr">
        <is>
          <t>20.1.01.05-0004</t>
        </is>
      </c>
      <c r="D55" s="196" t="inlineStr">
        <is>
          <t>Зажим заземляющий прессуемый ЗПС-70-3Г</t>
        </is>
      </c>
      <c r="E55" s="123" t="inlineStr">
        <is>
          <t>шт</t>
        </is>
      </c>
      <c r="F55" s="195" t="n">
        <v>930</v>
      </c>
      <c r="G55" s="109" t="n">
        <v>8.779999999999999</v>
      </c>
      <c r="H55" s="109">
        <f>ROUND(F55*G55,2)</f>
        <v/>
      </c>
      <c r="I55" s="105" t="n"/>
      <c r="J55" s="105" t="n"/>
    </row>
    <row r="56">
      <c r="A56" s="195" t="n">
        <v>40</v>
      </c>
      <c r="B56" s="123" t="n"/>
      <c r="C56" s="196" t="inlineStr">
        <is>
          <t>01.7.15.10-0002</t>
        </is>
      </c>
      <c r="D56" s="196" t="inlineStr">
        <is>
          <t>Скобы длинные СКД-12-1</t>
        </is>
      </c>
      <c r="E56" s="123" t="inlineStr">
        <is>
          <t>шт</t>
        </is>
      </c>
      <c r="F56" s="195" t="n">
        <v>150</v>
      </c>
      <c r="G56" s="109" t="n">
        <v>52.04</v>
      </c>
      <c r="H56" s="109">
        <f>ROUND(F56*G56,2)</f>
        <v/>
      </c>
      <c r="I56" s="105" t="n"/>
      <c r="J56" s="105" t="n"/>
    </row>
    <row r="57" ht="63" customHeight="1" s="156">
      <c r="A57" s="195" t="n">
        <v>41</v>
      </c>
      <c r="B57" s="123" t="n"/>
      <c r="C57" s="196" t="inlineStr">
        <is>
          <t>22.2.02.08-1012</t>
        </is>
      </c>
      <c r="D57" s="196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E57" s="123" t="inlineStr">
        <is>
          <t>компл</t>
        </is>
      </c>
      <c r="F57" s="195" t="n">
        <v>33</v>
      </c>
      <c r="G57" s="109" t="n">
        <v>204.87</v>
      </c>
      <c r="H57" s="109">
        <f>ROUND(F57*G57,2)</f>
        <v/>
      </c>
      <c r="I57" s="105" t="n"/>
      <c r="J57" s="105" t="n"/>
    </row>
    <row r="58">
      <c r="A58" s="195" t="n">
        <v>42</v>
      </c>
      <c r="B58" s="123" t="n"/>
      <c r="C58" s="196" t="inlineStr">
        <is>
          <t>07.2.07.13-0201</t>
        </is>
      </c>
      <c r="D58" s="196" t="inlineStr">
        <is>
          <t>Стяжки винтовые</t>
        </is>
      </c>
      <c r="E58" s="123" t="inlineStr">
        <is>
          <t>шт</t>
        </is>
      </c>
      <c r="F58" s="195" t="n">
        <v>294.14</v>
      </c>
      <c r="G58" s="109" t="n">
        <v>22.8</v>
      </c>
      <c r="H58" s="109">
        <f>ROUND(F58*G58,2)</f>
        <v/>
      </c>
      <c r="I58" s="105" t="n"/>
      <c r="J58" s="105" t="n"/>
    </row>
    <row r="59">
      <c r="A59" s="195" t="n">
        <v>43</v>
      </c>
      <c r="B59" s="123" t="n"/>
      <c r="C59" s="196" t="inlineStr">
        <is>
          <t>22.2.02.23-0011</t>
        </is>
      </c>
      <c r="D59" s="196" t="inlineStr">
        <is>
          <t>Глухари</t>
        </is>
      </c>
      <c r="E59" s="123" t="inlineStr">
        <is>
          <t>100 шт</t>
        </is>
      </c>
      <c r="F59" s="195" t="n">
        <v>37.20871</v>
      </c>
      <c r="G59" s="109" t="n">
        <v>164</v>
      </c>
      <c r="H59" s="109">
        <f>ROUND(F59*G59,2)</f>
        <v/>
      </c>
      <c r="I59" s="105" t="n"/>
      <c r="J59" s="105" t="n"/>
    </row>
    <row r="60">
      <c r="A60" s="195" t="n">
        <v>44</v>
      </c>
      <c r="B60" s="123" t="n"/>
      <c r="C60" s="196" t="inlineStr">
        <is>
          <t>20.1.02.14-1014</t>
        </is>
      </c>
      <c r="D60" s="196" t="inlineStr">
        <is>
          <t>Серьга СР-7-16</t>
        </is>
      </c>
      <c r="E60" s="123" t="inlineStr">
        <is>
          <t>шт</t>
        </is>
      </c>
      <c r="F60" s="195" t="n">
        <v>599</v>
      </c>
      <c r="G60" s="109" t="n">
        <v>9.359999999999999</v>
      </c>
      <c r="H60" s="109">
        <f>ROUND(F60*G60,2)</f>
        <v/>
      </c>
      <c r="I60" s="105" t="n"/>
      <c r="J60" s="105" t="n"/>
    </row>
    <row r="61" ht="31.7" customHeight="1" s="156">
      <c r="A61" s="195" t="n">
        <v>45</v>
      </c>
      <c r="B61" s="123" t="n"/>
      <c r="C61" s="196" t="inlineStr">
        <is>
          <t>21.2.01.02-0086</t>
        </is>
      </c>
      <c r="D61" s="196" t="inlineStr">
        <is>
          <t>Провод неизолированный для воздушных линий электропередачи АС 70/11</t>
        </is>
      </c>
      <c r="E61" s="123" t="inlineStr">
        <is>
          <t>т</t>
        </is>
      </c>
      <c r="F61" s="195" t="n">
        <v>0.1491</v>
      </c>
      <c r="G61" s="109" t="n">
        <v>31957.37</v>
      </c>
      <c r="H61" s="109">
        <f>ROUND(F61*G61,2)</f>
        <v/>
      </c>
      <c r="I61" s="105" t="n"/>
      <c r="J61" s="105" t="n"/>
    </row>
    <row r="62" ht="31.7" customHeight="1" s="156">
      <c r="A62" s="195" t="n">
        <v>46</v>
      </c>
      <c r="B62" s="123" t="n"/>
      <c r="C62" s="196" t="inlineStr">
        <is>
          <t>999-9950</t>
        </is>
      </c>
      <c r="D62" s="196" t="inlineStr">
        <is>
          <t>Вспомогательные ненормируемые ресурсы (2% от Оплаты труда рабочих)</t>
        </is>
      </c>
      <c r="E62" s="123" t="inlineStr">
        <is>
          <t>руб</t>
        </is>
      </c>
      <c r="F62" s="195" t="n">
        <v>4089.162</v>
      </c>
      <c r="G62" s="109" t="n">
        <v>1</v>
      </c>
      <c r="H62" s="109">
        <f>ROUND(F62*G62,2)</f>
        <v/>
      </c>
      <c r="I62" s="105" t="n"/>
      <c r="J62" s="105" t="n"/>
    </row>
    <row r="63">
      <c r="A63" s="195" t="n">
        <v>47</v>
      </c>
      <c r="B63" s="123" t="n"/>
      <c r="C63" s="196" t="inlineStr">
        <is>
          <t>20.1.01.05-0024</t>
        </is>
      </c>
      <c r="D63" s="196" t="inlineStr">
        <is>
          <t>Зажим заземляющий прессуемый ЗПС-70-3</t>
        </is>
      </c>
      <c r="E63" s="123" t="inlineStr">
        <is>
          <t>шт</t>
        </is>
      </c>
      <c r="F63" s="195" t="n">
        <v>138</v>
      </c>
      <c r="G63" s="109" t="n">
        <v>28.43</v>
      </c>
      <c r="H63" s="109">
        <f>ROUND(F63*G63,2)</f>
        <v/>
      </c>
      <c r="I63" s="105" t="n"/>
      <c r="J63" s="105" t="n"/>
    </row>
    <row r="64" ht="94.7" customHeight="1" s="156">
      <c r="A64" s="195" t="n">
        <v>48</v>
      </c>
      <c r="B64" s="123" t="n"/>
      <c r="C64" s="196" t="inlineStr">
        <is>
          <t>22.2.02.20-1020</t>
        </is>
      </c>
      <c r="D64" s="196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E64" s="123" t="inlineStr">
        <is>
          <t>компл</t>
        </is>
      </c>
      <c r="F64" s="195" t="n">
        <v>66</v>
      </c>
      <c r="G64" s="109" t="n">
        <v>54.59</v>
      </c>
      <c r="H64" s="109">
        <f>ROUND(F64*G64,2)</f>
        <v/>
      </c>
      <c r="I64" s="105" t="n"/>
      <c r="J64" s="105" t="n"/>
    </row>
    <row r="65" ht="31.7" customHeight="1" s="156">
      <c r="A65" s="195" t="n">
        <v>49</v>
      </c>
      <c r="B65" s="123" t="n"/>
      <c r="C65" s="196" t="inlineStr">
        <is>
          <t>22.2.01.05-0041</t>
        </is>
      </c>
      <c r="D65" s="196" t="inlineStr">
        <is>
          <t>Изолятор опорный ИОР-35-3,75 УХЛ2 // Изоляторы опорные ОСК-8-35</t>
        </is>
      </c>
      <c r="E65" s="123" t="inlineStr">
        <is>
          <t>100 шт</t>
        </is>
      </c>
      <c r="F65" s="195" t="n">
        <v>0.07000000000000001</v>
      </c>
      <c r="G65" s="109" t="n">
        <v>49852.05</v>
      </c>
      <c r="H65" s="109">
        <f>ROUND(F65*G65,2)</f>
        <v/>
      </c>
      <c r="I65" s="105" t="n"/>
      <c r="J65" s="105" t="n"/>
    </row>
    <row r="66">
      <c r="A66" s="195" t="n">
        <v>50</v>
      </c>
      <c r="B66" s="123" t="n"/>
      <c r="C66" s="196" t="inlineStr">
        <is>
          <t>01.7.15.03-0042</t>
        </is>
      </c>
      <c r="D66" s="196" t="inlineStr">
        <is>
          <t>Болты с гайками и шайбами строительные</t>
        </is>
      </c>
      <c r="E66" s="123" t="inlineStr">
        <is>
          <t>кг</t>
        </is>
      </c>
      <c r="F66" s="195" t="n">
        <v>345.609</v>
      </c>
      <c r="G66" s="109" t="n">
        <v>9.039999999999999</v>
      </c>
      <c r="H66" s="109">
        <f>ROUND(F66*G66,2)</f>
        <v/>
      </c>
      <c r="I66" s="105" t="n"/>
      <c r="J66" s="105" t="n"/>
    </row>
    <row r="67">
      <c r="A67" s="195" t="n">
        <v>51</v>
      </c>
      <c r="B67" s="123" t="n"/>
      <c r="C67" s="196" t="inlineStr">
        <is>
          <t>14.4.02.09-0001</t>
        </is>
      </c>
      <c r="D67" s="196" t="inlineStr">
        <is>
          <t>Краска</t>
        </is>
      </c>
      <c r="E67" s="123" t="inlineStr">
        <is>
          <t>кг</t>
        </is>
      </c>
      <c r="F67" s="195" t="n">
        <v>84.7</v>
      </c>
      <c r="G67" s="109" t="n">
        <v>28.6</v>
      </c>
      <c r="H67" s="109">
        <f>ROUND(F67*G67,2)</f>
        <v/>
      </c>
      <c r="I67" s="105" t="n"/>
      <c r="J67" s="105" t="n"/>
    </row>
    <row r="68" ht="31.7" customHeight="1" s="156">
      <c r="A68" s="195" t="n">
        <v>52</v>
      </c>
      <c r="B68" s="123" t="n"/>
      <c r="C68" s="196" t="inlineStr">
        <is>
          <t>08.3.07.01-0076</t>
        </is>
      </c>
      <c r="D68" s="196" t="inlineStr">
        <is>
          <t>Прокат полосовой, горячекатаный, марка стали Ст3сп, ширина 50-200 мм, толщина 4-5 мм</t>
        </is>
      </c>
      <c r="E68" s="123" t="inlineStr">
        <is>
          <t>т</t>
        </is>
      </c>
      <c r="F68" s="195" t="n">
        <v>0.363</v>
      </c>
      <c r="G68" s="109" t="n">
        <v>5000</v>
      </c>
      <c r="H68" s="109">
        <f>ROUND(F68*G68,2)</f>
        <v/>
      </c>
      <c r="I68" s="105" t="n"/>
      <c r="J68" s="105" t="n"/>
    </row>
    <row r="69">
      <c r="A69" s="195" t="n">
        <v>53</v>
      </c>
      <c r="B69" s="123" t="n"/>
      <c r="C69" s="196" t="inlineStr">
        <is>
          <t>20.1.02.13-0003</t>
        </is>
      </c>
      <c r="D69" s="196" t="inlineStr">
        <is>
          <t>Рог разрядный: верхний РРВ-135</t>
        </is>
      </c>
      <c r="E69" s="123" t="inlineStr">
        <is>
          <t>шт</t>
        </is>
      </c>
      <c r="F69" s="195" t="n">
        <v>33</v>
      </c>
      <c r="G69" s="109" t="n">
        <v>54.24</v>
      </c>
      <c r="H69" s="109">
        <f>ROUND(F69*G69,2)</f>
        <v/>
      </c>
      <c r="I69" s="105" t="n"/>
      <c r="J69" s="105" t="n"/>
    </row>
    <row r="70">
      <c r="A70" s="195" t="n">
        <v>54</v>
      </c>
      <c r="B70" s="123" t="n"/>
      <c r="C70" s="196" t="inlineStr">
        <is>
          <t>20.1.02.13-0015</t>
        </is>
      </c>
      <c r="D70" s="196" t="inlineStr">
        <is>
          <t>Рог разрядный: нижний РРН-88</t>
        </is>
      </c>
      <c r="E70" s="123" t="inlineStr">
        <is>
          <t>шт</t>
        </is>
      </c>
      <c r="F70" s="195" t="n">
        <v>33</v>
      </c>
      <c r="G70" s="109" t="n">
        <v>34.52</v>
      </c>
      <c r="H70" s="109">
        <f>ROUND(F70*G70,2)</f>
        <v/>
      </c>
      <c r="I70" s="105" t="n"/>
      <c r="J70" s="105" t="n"/>
    </row>
    <row r="71">
      <c r="A71" s="195" t="n">
        <v>55</v>
      </c>
      <c r="B71" s="123" t="n"/>
      <c r="C71" s="196" t="inlineStr">
        <is>
          <t>22.2.02.04-0045</t>
        </is>
      </c>
      <c r="D71" s="196" t="inlineStr">
        <is>
          <t>Звено промежуточное трехлапчатое ПРТ-12-1</t>
        </is>
      </c>
      <c r="E71" s="123" t="inlineStr">
        <is>
          <t>шт</t>
        </is>
      </c>
      <c r="F71" s="195" t="n">
        <v>16</v>
      </c>
      <c r="G71" s="109" t="n">
        <v>65.58</v>
      </c>
      <c r="H71" s="109">
        <f>ROUND(F71*G71,2)</f>
        <v/>
      </c>
      <c r="I71" s="105" t="n"/>
      <c r="J71" s="105" t="n"/>
    </row>
    <row r="72">
      <c r="A72" s="195" t="n">
        <v>56</v>
      </c>
      <c r="B72" s="123" t="n"/>
      <c r="C72" s="196" t="inlineStr">
        <is>
          <t>20.1.02.21-0040</t>
        </is>
      </c>
      <c r="D72" s="196" t="inlineStr">
        <is>
          <t>Узел крепления КГП-7-2В</t>
        </is>
      </c>
      <c r="E72" s="123" t="inlineStr">
        <is>
          <t>шт</t>
        </is>
      </c>
      <c r="F72" s="195" t="n">
        <v>19</v>
      </c>
      <c r="G72" s="109" t="n">
        <v>52.21</v>
      </c>
      <c r="H72" s="109">
        <f>ROUND(F72*G72,2)</f>
        <v/>
      </c>
      <c r="I72" s="105" t="n"/>
      <c r="J72" s="105" t="n"/>
    </row>
    <row r="73">
      <c r="A73" s="195" t="n">
        <v>57</v>
      </c>
      <c r="B73" s="123" t="n"/>
      <c r="C73" s="196" t="inlineStr">
        <is>
          <t>20.1.01.11-0004</t>
        </is>
      </c>
      <c r="D73" s="196" t="inlineStr">
        <is>
          <t>Зажим: плашечный соединительный ПА 2-2</t>
        </is>
      </c>
      <c r="E73" s="123" t="inlineStr">
        <is>
          <t>шт</t>
        </is>
      </c>
      <c r="F73" s="195" t="n">
        <v>136</v>
      </c>
      <c r="G73" s="109" t="n">
        <v>6.78</v>
      </c>
      <c r="H73" s="109">
        <f>ROUND(F73*G73,2)</f>
        <v/>
      </c>
      <c r="I73" s="105" t="n"/>
      <c r="J73" s="105" t="n"/>
    </row>
    <row r="74">
      <c r="A74" s="195" t="n">
        <v>58</v>
      </c>
      <c r="B74" s="123" t="n"/>
      <c r="C74" s="196" t="inlineStr">
        <is>
          <t>20.1.02.14-1006</t>
        </is>
      </c>
      <c r="D74" s="196" t="inlineStr">
        <is>
          <t>Серьга СР-12-16</t>
        </is>
      </c>
      <c r="E74" s="123" t="inlineStr">
        <is>
          <t>шт</t>
        </is>
      </c>
      <c r="F74" s="195" t="n">
        <v>18</v>
      </c>
      <c r="G74" s="109" t="n">
        <v>13.29</v>
      </c>
      <c r="H74" s="109">
        <f>ROUND(F74*G74,2)</f>
        <v/>
      </c>
      <c r="I74" s="105" t="n"/>
      <c r="J74" s="105" t="n"/>
    </row>
    <row r="75">
      <c r="A75" s="195" t="n">
        <v>59</v>
      </c>
      <c r="B75" s="123" t="n"/>
      <c r="C75" s="196" t="inlineStr">
        <is>
          <t>01.7.07.29-0241</t>
        </is>
      </c>
      <c r="D75" s="196" t="inlineStr">
        <is>
          <t>Хомутик</t>
        </is>
      </c>
      <c r="E75" s="123" t="inlineStr">
        <is>
          <t>10 шт</t>
        </is>
      </c>
      <c r="F75" s="195" t="n">
        <v>2.9414</v>
      </c>
      <c r="G75" s="109" t="n">
        <v>72</v>
      </c>
      <c r="H75" s="109">
        <f>ROUND(F75*G75,2)</f>
        <v/>
      </c>
      <c r="I75" s="105" t="n"/>
      <c r="J75" s="105" t="n"/>
    </row>
    <row r="76" ht="31.7" customHeight="1" s="156">
      <c r="A76" s="195" t="n">
        <v>60</v>
      </c>
      <c r="B76" s="123" t="n"/>
      <c r="C76" s="196" t="inlineStr">
        <is>
          <t>01.7.06.14-0038</t>
        </is>
      </c>
      <c r="D76" s="196" t="inlineStr">
        <is>
          <t>Лента смоляная на основе хлопкополиэфирной ткани, толщина 0,8 мм</t>
        </is>
      </c>
      <c r="E76" s="123" t="inlineStr">
        <is>
          <t>кг</t>
        </is>
      </c>
      <c r="F76" s="195" t="n">
        <v>2.9414</v>
      </c>
      <c r="G76" s="109" t="n">
        <v>68</v>
      </c>
      <c r="H76" s="109">
        <f>ROUND(F76*G76,2)</f>
        <v/>
      </c>
    </row>
    <row r="77">
      <c r="A77" s="195" t="n">
        <v>61</v>
      </c>
      <c r="B77" s="123" t="n"/>
      <c r="C77" s="196" t="inlineStr">
        <is>
          <t>01.7.15.10-0001</t>
        </is>
      </c>
      <c r="D77" s="196" t="inlineStr">
        <is>
          <t>Скобы длинные СКД-10-1</t>
        </is>
      </c>
      <c r="E77" s="123" t="inlineStr">
        <is>
          <t>шт</t>
        </is>
      </c>
      <c r="F77" s="195" t="n">
        <v>2</v>
      </c>
      <c r="G77" s="109" t="n">
        <v>45.18</v>
      </c>
      <c r="H77" s="109">
        <f>ROUND(F77*G77,2)</f>
        <v/>
      </c>
    </row>
    <row r="78">
      <c r="A78" s="195" t="n">
        <v>62</v>
      </c>
      <c r="B78" s="123" t="n"/>
      <c r="C78" s="196" t="inlineStr">
        <is>
          <t>22.2.02.04-0046</t>
        </is>
      </c>
      <c r="D78" s="196" t="inlineStr">
        <is>
          <t>Звено промежуточное трехлапчатое ПРТ-12/7-2</t>
        </is>
      </c>
      <c r="E78" s="123" t="inlineStr">
        <is>
          <t>шт</t>
        </is>
      </c>
      <c r="F78" s="195" t="n">
        <v>2</v>
      </c>
      <c r="G78" s="109" t="n">
        <v>42.24</v>
      </c>
      <c r="H78" s="109">
        <f>ROUND(F78*G78,2)</f>
        <v/>
      </c>
    </row>
    <row r="79" ht="31.7" customHeight="1" s="156">
      <c r="A79" s="195" t="n">
        <v>63</v>
      </c>
      <c r="B79" s="123" t="n"/>
      <c r="C79" s="196" t="inlineStr">
        <is>
          <t>01.3.01.06-0050</t>
        </is>
      </c>
      <c r="D79" s="196" t="inlineStr">
        <is>
          <t>Смазка универсальная тугоплавкая УТ (консталин жировой)</t>
        </is>
      </c>
      <c r="E79" s="123" t="inlineStr">
        <is>
          <t>т</t>
        </is>
      </c>
      <c r="F79" s="195" t="n">
        <v>0.00418</v>
      </c>
      <c r="G79" s="109" t="n">
        <v>17500</v>
      </c>
      <c r="H79" s="109">
        <f>ROUND(F79*G79,2)</f>
        <v/>
      </c>
    </row>
    <row r="80">
      <c r="A80" s="195" t="n">
        <v>64</v>
      </c>
      <c r="B80" s="123" t="n"/>
      <c r="C80" s="196" t="inlineStr">
        <is>
          <t>01.7.11.07-0034</t>
        </is>
      </c>
      <c r="D80" s="196" t="inlineStr">
        <is>
          <t>Электроды сварочные Э42А, диаметр 4 мм</t>
        </is>
      </c>
      <c r="E80" s="123" t="inlineStr">
        <is>
          <t>кг</t>
        </is>
      </c>
      <c r="F80" s="195" t="n">
        <v>6.05</v>
      </c>
      <c r="G80" s="109" t="n">
        <v>10.57</v>
      </c>
      <c r="H80" s="109">
        <f>ROUND(F80*G80,2)</f>
        <v/>
      </c>
    </row>
    <row r="81">
      <c r="A81" s="195" t="n">
        <v>65</v>
      </c>
      <c r="B81" s="123" t="n"/>
      <c r="C81" s="196" t="inlineStr">
        <is>
          <t>01.7.15.10-0031</t>
        </is>
      </c>
      <c r="D81" s="196" t="inlineStr">
        <is>
          <t>Скобы СК-7-1А</t>
        </is>
      </c>
      <c r="E81" s="123" t="inlineStr">
        <is>
          <t>шт</t>
        </is>
      </c>
      <c r="F81" s="195" t="n">
        <v>2</v>
      </c>
      <c r="G81" s="109" t="n">
        <v>28.07</v>
      </c>
      <c r="H81" s="109">
        <f>ROUND(F81*G81,2)</f>
        <v/>
      </c>
    </row>
    <row r="82">
      <c r="A82" s="195" t="n">
        <v>66</v>
      </c>
      <c r="B82" s="123" t="n"/>
      <c r="C82" s="196" t="inlineStr">
        <is>
          <t>20.1.01.12-0013</t>
        </is>
      </c>
      <c r="D82" s="196" t="inlineStr">
        <is>
          <t>Зажим поддерживающий глухой ПГН-2-6</t>
        </is>
      </c>
      <c r="E82" s="123" t="inlineStr">
        <is>
          <t>шт</t>
        </is>
      </c>
      <c r="F82" s="195" t="n">
        <v>2</v>
      </c>
      <c r="G82" s="109" t="n">
        <v>17.73</v>
      </c>
      <c r="H82" s="109">
        <f>ROUND(F82*G82,2)</f>
        <v/>
      </c>
    </row>
    <row r="83">
      <c r="A83" s="195" t="n">
        <v>67</v>
      </c>
      <c r="B83" s="123" t="n"/>
      <c r="C83" s="196" t="inlineStr">
        <is>
          <t>01.7.20.08-0031</t>
        </is>
      </c>
      <c r="D83" s="196" t="inlineStr">
        <is>
          <t>Бязь суровая</t>
        </is>
      </c>
      <c r="E83" s="123" t="inlineStr">
        <is>
          <t>10 м2</t>
        </is>
      </c>
      <c r="F83" s="195" t="n">
        <v>0.363</v>
      </c>
      <c r="G83" s="109" t="n">
        <v>79.09999999999999</v>
      </c>
      <c r="H83" s="109">
        <f>ROUND(F83*G83,2)</f>
        <v/>
      </c>
    </row>
    <row r="84" ht="31.7" customHeight="1" s="156">
      <c r="A84" s="195" t="n">
        <v>68</v>
      </c>
      <c r="B84" s="123" t="n"/>
      <c r="C84" s="196" t="inlineStr">
        <is>
          <t>01.3.01.07-0009</t>
        </is>
      </c>
      <c r="D84" s="196" t="inlineStr">
        <is>
          <t>Спирт этиловый ректификованный технический, сорт I</t>
        </is>
      </c>
      <c r="E84" s="123" t="inlineStr">
        <is>
          <t>кг</t>
        </is>
      </c>
      <c r="F84" s="195" t="n">
        <v>0.0429</v>
      </c>
      <c r="G84" s="109" t="n">
        <v>38.89</v>
      </c>
      <c r="H84" s="109">
        <f>ROUND(F84*G84,2)</f>
        <v/>
      </c>
    </row>
    <row r="85">
      <c r="A85" s="195" t="n">
        <v>69</v>
      </c>
      <c r="B85" s="123" t="n"/>
      <c r="C85" s="196" t="inlineStr">
        <is>
          <t>01.7.03.04-0001</t>
        </is>
      </c>
      <c r="D85" s="196" t="inlineStr">
        <is>
          <t>Электроэнергия</t>
        </is>
      </c>
      <c r="E85" s="123" t="inlineStr">
        <is>
          <t>кВт-ч</t>
        </is>
      </c>
      <c r="F85" s="195" t="n">
        <v>3.8478</v>
      </c>
      <c r="G85" s="109" t="n">
        <v>0.4</v>
      </c>
      <c r="H85" s="109">
        <f>ROUND(F85*G85,2)</f>
        <v/>
      </c>
    </row>
    <row r="86">
      <c r="J86" s="117" t="n"/>
    </row>
    <row r="88">
      <c r="B88" s="158" t="inlineStr">
        <is>
          <t>Составил ______________________        Е.А. Князева</t>
        </is>
      </c>
    </row>
    <row r="89">
      <c r="B89" s="90" t="inlineStr">
        <is>
          <t xml:space="preserve">                         (подпись, инициалы, фамилия)</t>
        </is>
      </c>
    </row>
    <row r="91">
      <c r="B91" s="158" t="inlineStr">
        <is>
          <t>Проверил ______________________        А.В. Костянецкая</t>
        </is>
      </c>
    </row>
    <row r="92">
      <c r="B92" s="90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A32:E32"/>
    <mergeCell ref="A31:E31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5" workbookViewId="0">
      <selection activeCell="D47" sqref="D47"/>
    </sheetView>
  </sheetViews>
  <sheetFormatPr baseColWidth="8" defaultRowHeight="15"/>
  <cols>
    <col width="4.140625" customWidth="1" style="156" min="1" max="1"/>
    <col width="36.28515625" customWidth="1" style="156" min="2" max="2"/>
    <col width="18.85546875" customWidth="1" style="156" min="3" max="3"/>
    <col width="18.28515625" customWidth="1" style="156" min="4" max="4"/>
    <col width="18.85546875" customWidth="1" style="156" min="5" max="5"/>
    <col width="9.140625" customWidth="1" style="156" min="6" max="6"/>
    <col width="12.85546875" customWidth="1" style="156" min="7" max="7"/>
    <col width="9.140625" customWidth="1" style="156" min="8" max="11"/>
    <col width="13.5703125" customWidth="1" style="156" min="12" max="12"/>
    <col width="9.140625" customWidth="1" style="156" min="13" max="13"/>
  </cols>
  <sheetData>
    <row r="1">
      <c r="B1" s="139" t="n"/>
      <c r="C1" s="139" t="n"/>
      <c r="D1" s="139" t="n"/>
      <c r="E1" s="139" t="n"/>
    </row>
    <row r="2">
      <c r="B2" s="139" t="n"/>
      <c r="C2" s="139" t="n"/>
      <c r="D2" s="139" t="n"/>
      <c r="E2" s="220" t="inlineStr">
        <is>
          <t>Приложение № 4</t>
        </is>
      </c>
    </row>
    <row r="3">
      <c r="B3" s="139" t="n"/>
      <c r="C3" s="139" t="n"/>
      <c r="D3" s="139" t="n"/>
      <c r="E3" s="139" t="n"/>
    </row>
    <row r="4">
      <c r="B4" s="139" t="n"/>
      <c r="C4" s="139" t="n"/>
      <c r="D4" s="139" t="n"/>
      <c r="E4" s="139" t="n"/>
    </row>
    <row r="5">
      <c r="B5" s="197" t="inlineStr">
        <is>
          <t>Ресурсная модель</t>
        </is>
      </c>
    </row>
    <row r="6">
      <c r="B6" s="18" t="n"/>
      <c r="C6" s="139" t="n"/>
      <c r="D6" s="139" t="n"/>
      <c r="E6" s="139" t="n"/>
    </row>
    <row r="7" ht="45.75" customHeight="1" s="156">
      <c r="B7" s="198">
        <f>'Прил.1 Сравнит табл'!B7</f>
        <v/>
      </c>
    </row>
    <row r="8">
      <c r="B8" s="199">
        <f>'Прил.1 Сравнит табл'!B9</f>
        <v/>
      </c>
    </row>
    <row r="9">
      <c r="B9" s="18" t="n"/>
      <c r="C9" s="139" t="n"/>
      <c r="D9" s="139" t="n"/>
      <c r="E9" s="139" t="n"/>
    </row>
    <row r="10" ht="51" customHeight="1" s="156">
      <c r="B10" s="201" t="inlineStr">
        <is>
          <t>Наименование</t>
        </is>
      </c>
      <c r="C10" s="201" t="inlineStr">
        <is>
          <t>Сметная стоимость в ценах на 01.01.2023
 (руб.)</t>
        </is>
      </c>
      <c r="D10" s="201" t="inlineStr">
        <is>
          <t>Удельный вес, 
(в СМР)</t>
        </is>
      </c>
      <c r="E10" s="201" t="inlineStr">
        <is>
          <t>Удельный вес, % 
(от всего по РМ)</t>
        </is>
      </c>
    </row>
    <row r="11">
      <c r="B11" s="28" t="inlineStr">
        <is>
          <t>Оплата труда рабочих</t>
        </is>
      </c>
      <c r="C11" s="141">
        <f>'Прил.5 Расчет СМР и ОБ'!J16</f>
        <v/>
      </c>
      <c r="D11" s="30">
        <f>C11/$C$24</f>
        <v/>
      </c>
      <c r="E11" s="30">
        <f>C11/$C$40</f>
        <v/>
      </c>
    </row>
    <row r="12">
      <c r="B12" s="28" t="inlineStr">
        <is>
          <t>Эксплуатация машин основных</t>
        </is>
      </c>
      <c r="C12" s="141">
        <f>'Прил.5 Расчет СМР и ОБ'!J22</f>
        <v/>
      </c>
      <c r="D12" s="30">
        <f>C12/$C$24</f>
        <v/>
      </c>
      <c r="E12" s="30">
        <f>C12/$C$40</f>
        <v/>
      </c>
    </row>
    <row r="13">
      <c r="B13" s="28" t="inlineStr">
        <is>
          <t>Эксплуатация машин прочих</t>
        </is>
      </c>
      <c r="C13" s="141">
        <f>'Прил.5 Расчет СМР и ОБ'!J31</f>
        <v/>
      </c>
      <c r="D13" s="30">
        <f>C13/$C$24</f>
        <v/>
      </c>
      <c r="E13" s="30">
        <f>C13/$C$40</f>
        <v/>
      </c>
    </row>
    <row r="14">
      <c r="B14" s="28" t="inlineStr">
        <is>
          <t>ЭКСПЛУАТАЦИЯ МАШИН, ВСЕГО:</t>
        </is>
      </c>
      <c r="C14" s="141">
        <f>C13+C12</f>
        <v/>
      </c>
      <c r="D14" s="30">
        <f>C14/$C$24</f>
        <v/>
      </c>
      <c r="E14" s="30">
        <f>C14/$C$40</f>
        <v/>
      </c>
    </row>
    <row r="15">
      <c r="B15" s="28" t="inlineStr">
        <is>
          <t>в том числе зарплата машинистов</t>
        </is>
      </c>
      <c r="C15" s="141">
        <f>'Прил.5 Расчет СМР и ОБ'!J18</f>
        <v/>
      </c>
      <c r="D15" s="30">
        <f>C15/$C$24</f>
        <v/>
      </c>
      <c r="E15" s="30">
        <f>C15/$C$40</f>
        <v/>
      </c>
    </row>
    <row r="16">
      <c r="B16" s="28" t="inlineStr">
        <is>
          <t>Материалы основные</t>
        </is>
      </c>
      <c r="C16" s="141">
        <f>'Прил.5 Расчет СМР и ОБ'!J48</f>
        <v/>
      </c>
      <c r="D16" s="30">
        <f>C16/$C$24</f>
        <v/>
      </c>
      <c r="E16" s="30">
        <f>C16/$C$40</f>
        <v/>
      </c>
    </row>
    <row r="17">
      <c r="B17" s="28" t="inlineStr">
        <is>
          <t>Материалы прочие</t>
        </is>
      </c>
      <c r="C17" s="141">
        <f>'Прил.5 Расчет СМР и ОБ'!J95</f>
        <v/>
      </c>
      <c r="D17" s="30">
        <f>C17/$C$24</f>
        <v/>
      </c>
      <c r="E17" s="30">
        <f>C17/$C$40</f>
        <v/>
      </c>
      <c r="G17" s="242" t="n"/>
    </row>
    <row r="18">
      <c r="B18" s="28" t="inlineStr">
        <is>
          <t>МАТЕРИАЛЫ, ВСЕГО:</t>
        </is>
      </c>
      <c r="C18" s="141">
        <f>C17+C16</f>
        <v/>
      </c>
      <c r="D18" s="30">
        <f>C18/$C$24</f>
        <v/>
      </c>
      <c r="E18" s="30">
        <f>C18/$C$40</f>
        <v/>
      </c>
    </row>
    <row r="19">
      <c r="B19" s="28" t="inlineStr">
        <is>
          <t>ИТОГО</t>
        </is>
      </c>
      <c r="C19" s="141">
        <f>C18+C14+C11</f>
        <v/>
      </c>
      <c r="D19" s="30" t="n"/>
      <c r="E19" s="28" t="n"/>
    </row>
    <row r="20">
      <c r="B20" s="28" t="inlineStr">
        <is>
          <t>Сметная прибыль, руб.</t>
        </is>
      </c>
      <c r="C20" s="141">
        <f>ROUND(C21*(C11+C15),2)</f>
        <v/>
      </c>
      <c r="D20" s="30">
        <f>C20/$C$24</f>
        <v/>
      </c>
      <c r="E20" s="30">
        <f>C20/$C$40</f>
        <v/>
      </c>
    </row>
    <row r="21">
      <c r="B21" s="28" t="inlineStr">
        <is>
          <t>Сметная прибыль, %</t>
        </is>
      </c>
      <c r="C21" s="33">
        <f>'Прил.5 Расчет СМР и ОБ'!E99</f>
        <v/>
      </c>
      <c r="D21" s="30" t="n"/>
      <c r="E21" s="28" t="n"/>
    </row>
    <row r="22">
      <c r="B22" s="28" t="inlineStr">
        <is>
          <t>Накладные расходы, руб.</t>
        </is>
      </c>
      <c r="C22" s="141">
        <f>ROUND(C23*(C11+C15),2)</f>
        <v/>
      </c>
      <c r="D22" s="30">
        <f>C22/$C$24</f>
        <v/>
      </c>
      <c r="E22" s="30">
        <f>C22/$C$40</f>
        <v/>
      </c>
    </row>
    <row r="23">
      <c r="B23" s="28" t="inlineStr">
        <is>
          <t>Накладные расходы, %</t>
        </is>
      </c>
      <c r="C23" s="33">
        <f>'Прил.5 Расчет СМР и ОБ'!E98</f>
        <v/>
      </c>
      <c r="D23" s="30" t="n"/>
      <c r="E23" s="28" t="n"/>
    </row>
    <row r="24">
      <c r="B24" s="28" t="inlineStr">
        <is>
          <t>ВСЕГО СМР с НР и СП</t>
        </is>
      </c>
      <c r="C24" s="141">
        <f>C19+C20+C22</f>
        <v/>
      </c>
      <c r="D24" s="30">
        <f>C24/$C$24</f>
        <v/>
      </c>
      <c r="E24" s="30">
        <f>C24/$C$40</f>
        <v/>
      </c>
    </row>
    <row r="25" ht="25.5" customHeight="1" s="156">
      <c r="B25" s="28" t="inlineStr">
        <is>
          <t>ВСЕГО стоимость оборудования, в том числе</t>
        </is>
      </c>
      <c r="C25" s="141">
        <f>'Прил.5 Расчет СМР и ОБ'!J37</f>
        <v/>
      </c>
      <c r="D25" s="30" t="n"/>
      <c r="E25" s="30">
        <f>C25/$C$40</f>
        <v/>
      </c>
    </row>
    <row r="26" ht="25.5" customHeight="1" s="156">
      <c r="B26" s="28" t="inlineStr">
        <is>
          <t>стоимость оборудования технологического</t>
        </is>
      </c>
      <c r="C26" s="141">
        <f>'Прил.5 Расчет СМР и ОБ'!J38</f>
        <v/>
      </c>
      <c r="D26" s="30" t="n"/>
      <c r="E26" s="30">
        <f>C26/$C$40</f>
        <v/>
      </c>
    </row>
    <row r="27">
      <c r="B27" s="28" t="inlineStr">
        <is>
          <t>ИТОГО (СМР + ОБОРУДОВАНИЕ)</t>
        </is>
      </c>
      <c r="C27" s="29">
        <f>C24+C25</f>
        <v/>
      </c>
      <c r="D27" s="30" t="n"/>
      <c r="E27" s="30">
        <f>C27/$C$40</f>
        <v/>
      </c>
    </row>
    <row r="28" ht="33" customHeight="1" s="156">
      <c r="B28" s="28" t="inlineStr">
        <is>
          <t>ПРОЧ. ЗАТР., УЧТЕННЫЕ ПОКАЗАТЕЛЕМ,  в том числе</t>
        </is>
      </c>
      <c r="C28" s="28" t="n"/>
      <c r="D28" s="28" t="n"/>
      <c r="E28" s="28" t="n"/>
    </row>
    <row r="29" ht="25.5" customHeight="1" s="156">
      <c r="B29" s="28" t="inlineStr">
        <is>
          <t>Временные здания и сооружения - 2,5%</t>
        </is>
      </c>
      <c r="C29" s="29">
        <f>ROUND(C24*2.5%,2)</f>
        <v/>
      </c>
      <c r="D29" s="28" t="n"/>
      <c r="E29" s="30">
        <f>C29/$C$40</f>
        <v/>
      </c>
    </row>
    <row r="30" ht="38.25" customHeight="1" s="156">
      <c r="B30" s="28" t="inlineStr">
        <is>
          <t>Дополнительные затраты при производстве строительно-монтажных работ в зимнее время - 1,9%</t>
        </is>
      </c>
      <c r="C30" s="29">
        <f>ROUND((C24+C29)*1.9%,2)</f>
        <v/>
      </c>
      <c r="D30" s="28" t="n"/>
      <c r="E30" s="30">
        <f>C30/$C$40</f>
        <v/>
      </c>
    </row>
    <row r="31">
      <c r="B31" s="28" t="inlineStr">
        <is>
          <t xml:space="preserve">Пусконаладочные работы </t>
        </is>
      </c>
      <c r="C31" s="29" t="n">
        <v>0</v>
      </c>
      <c r="D31" s="28" t="n"/>
      <c r="E31" s="30">
        <f>C31/$C$40</f>
        <v/>
      </c>
    </row>
    <row r="32" ht="25.5" customHeight="1" s="156">
      <c r="B32" s="28" t="inlineStr">
        <is>
          <t xml:space="preserve">Затраты по перевозке работников к месту работы и обратно </t>
        </is>
      </c>
      <c r="C32" s="29" t="n">
        <v>0</v>
      </c>
      <c r="D32" s="28" t="n"/>
      <c r="E32" s="30">
        <f>C32/$C$40</f>
        <v/>
      </c>
      <c r="G32" s="120" t="n"/>
    </row>
    <row r="33" ht="25.5" customHeight="1" s="156">
      <c r="B33" s="28" t="inlineStr">
        <is>
          <t>Затраты, связанные с осуществлением работ вахтовым методом</t>
        </is>
      </c>
      <c r="C33" s="29" t="n">
        <v>0</v>
      </c>
      <c r="D33" s="28" t="n"/>
      <c r="E33" s="30">
        <f>C33/$C$40</f>
        <v/>
      </c>
      <c r="G33" s="120" t="n"/>
    </row>
    <row r="34" ht="51" customHeight="1" s="156">
      <c r="B34" s="2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" t="n">
        <v>0</v>
      </c>
      <c r="D34" s="28" t="n"/>
      <c r="E34" s="30">
        <f>C34/$C$40</f>
        <v/>
      </c>
      <c r="G34" s="120" t="n"/>
    </row>
    <row r="35" ht="76.7" customHeight="1" s="156">
      <c r="B35" s="2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" t="n">
        <v>0</v>
      </c>
      <c r="D35" s="28" t="n"/>
      <c r="E35" s="30">
        <f>C35/$C$40</f>
        <v/>
      </c>
      <c r="G35" s="120" t="n"/>
    </row>
    <row r="36" ht="25.5" customHeight="1" s="156">
      <c r="B36" s="28" t="inlineStr">
        <is>
          <t>Строительный контроль и содержание службы заказчика - 2,14%</t>
        </is>
      </c>
      <c r="C36" s="29">
        <f>ROUND(SUM(C27:C35)*2.14%,2)</f>
        <v/>
      </c>
      <c r="D36" s="28" t="n"/>
      <c r="E36" s="30">
        <f>C36/$C$40</f>
        <v/>
      </c>
      <c r="G36" s="69" t="n"/>
      <c r="L36" s="20" t="n"/>
    </row>
    <row r="37">
      <c r="B37" s="28" t="inlineStr">
        <is>
          <t>Авторский надзор - 0,2%</t>
        </is>
      </c>
      <c r="C37" s="29">
        <f>ROUND(SUM(C27:C35)*0.2%,2)</f>
        <v/>
      </c>
      <c r="D37" s="28" t="n"/>
      <c r="E37" s="30">
        <f>C37/$C$40</f>
        <v/>
      </c>
      <c r="G37" s="69" t="n"/>
      <c r="L37" s="20" t="n"/>
    </row>
    <row r="38" ht="38.25" customHeight="1" s="156">
      <c r="B38" s="28" t="inlineStr">
        <is>
          <t>ИТОГО (СМР+ОБОРУДОВАНИЕ+ПРОЧ. ЗАТР., УЧТЕННЫЕ ПОКАЗАТЕЛЕМ)</t>
        </is>
      </c>
      <c r="C38" s="141">
        <f>SUM(C27:C37)</f>
        <v/>
      </c>
      <c r="D38" s="28" t="n"/>
      <c r="E38" s="30">
        <f>C38/$C$40</f>
        <v/>
      </c>
    </row>
    <row r="39" ht="13.7" customHeight="1" s="156">
      <c r="B39" s="28" t="inlineStr">
        <is>
          <t>Непредвиденные расходы - 3%</t>
        </is>
      </c>
      <c r="C39" s="141">
        <f>ROUND(C38*3%,2)</f>
        <v/>
      </c>
      <c r="D39" s="28" t="n"/>
      <c r="E39" s="30">
        <f>C39/$C$40</f>
        <v/>
      </c>
    </row>
    <row r="40">
      <c r="B40" s="28" t="inlineStr">
        <is>
          <t>ВСЕГО:</t>
        </is>
      </c>
      <c r="C40" s="141">
        <f>C39+C38</f>
        <v/>
      </c>
      <c r="D40" s="28" t="n"/>
      <c r="E40" s="30">
        <f>C40/$C$40</f>
        <v/>
      </c>
    </row>
    <row r="41">
      <c r="B41" s="28" t="inlineStr">
        <is>
          <t>ИТОГО ПОКАЗАТЕЛЬ НА ЕД. ИЗМ.</t>
        </is>
      </c>
      <c r="C41" s="141">
        <f>C40/'Прил.5 Расчет СМР и ОБ'!E102</f>
        <v/>
      </c>
      <c r="D41" s="28" t="n"/>
      <c r="E41" s="28" t="n"/>
    </row>
    <row r="42">
      <c r="B42" s="143" t="n"/>
      <c r="C42" s="139" t="n"/>
      <c r="D42" s="139" t="n"/>
      <c r="E42" s="139" t="n"/>
    </row>
    <row r="43">
      <c r="B43" s="139" t="inlineStr">
        <is>
          <t>Составил ______________________        Е.А. Князева</t>
        </is>
      </c>
      <c r="C43" s="146" t="n"/>
      <c r="D43" s="139" t="n"/>
      <c r="E43" s="139" t="n"/>
    </row>
    <row r="44">
      <c r="B44" s="147" t="inlineStr">
        <is>
          <t xml:space="preserve">                         (подпись, инициалы, фамилия)</t>
        </is>
      </c>
      <c r="C44" s="146" t="n"/>
      <c r="D44" s="139" t="n"/>
      <c r="E44" s="139" t="n"/>
    </row>
    <row r="45">
      <c r="B45" s="139" t="n"/>
      <c r="C45" s="146" t="n"/>
      <c r="D45" s="139" t="n"/>
      <c r="E45" s="139" t="n"/>
    </row>
    <row r="46">
      <c r="B46" s="139" t="inlineStr">
        <is>
          <t>Проверил ______________________        А.В. Костянецкая</t>
        </is>
      </c>
      <c r="C46" s="146" t="n"/>
      <c r="D46" s="139" t="n"/>
      <c r="E46" s="139" t="n"/>
    </row>
    <row r="47">
      <c r="B47" s="147" t="inlineStr">
        <is>
          <t xml:space="preserve">                        (подпись, инициалы, фамилия)</t>
        </is>
      </c>
      <c r="C47" s="146" t="n"/>
      <c r="D47" s="139" t="n"/>
      <c r="E47" s="139" t="n"/>
    </row>
    <row r="49">
      <c r="B49" s="139" t="n"/>
      <c r="C49" s="139" t="n"/>
      <c r="D49" s="139" t="n"/>
      <c r="E49" s="139" t="n"/>
    </row>
    <row r="50">
      <c r="B50" s="139" t="n"/>
      <c r="C50" s="139" t="n"/>
      <c r="D50" s="139" t="n"/>
      <c r="E50" s="139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N109"/>
  <sheetViews>
    <sheetView view="pageBreakPreview" topLeftCell="A107" workbookViewId="0">
      <selection activeCell="E109" sqref="E109"/>
    </sheetView>
  </sheetViews>
  <sheetFormatPr baseColWidth="8" defaultColWidth="9.140625" defaultRowHeight="15" outlineLevelRow="1"/>
  <cols>
    <col width="5.7109375" customWidth="1" style="146" min="1" max="1"/>
    <col width="22.5703125" customWidth="1" style="146" min="2" max="2"/>
    <col width="39.140625" customWidth="1" style="146" min="3" max="3"/>
    <col width="10.7109375" customWidth="1" style="146" min="4" max="4"/>
    <col width="12.7109375" customWidth="1" style="146" min="5" max="5"/>
    <col width="14.5703125" customWidth="1" style="146" min="6" max="6"/>
    <col width="13.42578125" customWidth="1" style="146" min="7" max="7"/>
    <col width="12.7109375" customWidth="1" style="146" min="8" max="8"/>
    <col width="14.5703125" customWidth="1" style="146" min="9" max="9"/>
    <col width="15.140625" customWidth="1" style="146" min="10" max="10"/>
    <col width="2.85546875" customWidth="1" style="146" min="11" max="11"/>
    <col width="10.7109375" customWidth="1" style="146" min="12" max="12"/>
    <col width="10.85546875" customWidth="1" style="146" min="13" max="13"/>
    <col width="9.140625" customWidth="1" style="146" min="14" max="14"/>
    <col width="9.140625" customWidth="1" style="156" min="15" max="15"/>
  </cols>
  <sheetData>
    <row r="2" ht="15.75" customHeight="1" s="156">
      <c r="I2" s="158" t="n"/>
      <c r="J2" s="70" t="inlineStr">
        <is>
          <t>Приложение №5</t>
        </is>
      </c>
    </row>
    <row r="4" ht="12.75" customFormat="1" customHeight="1" s="139">
      <c r="A4" s="197" t="inlineStr">
        <is>
          <t>Расчет стоимости СМР и оборудования</t>
        </is>
      </c>
      <c r="I4" s="197" t="n"/>
      <c r="J4" s="197" t="n"/>
    </row>
    <row r="5" ht="12.75" customFormat="1" customHeight="1" s="139">
      <c r="A5" s="197" t="n"/>
      <c r="B5" s="197" t="n"/>
      <c r="C5" s="197" t="n"/>
      <c r="D5" s="197" t="n"/>
      <c r="E5" s="197" t="n"/>
      <c r="F5" s="197" t="n"/>
      <c r="G5" s="197" t="n"/>
      <c r="H5" s="197" t="n"/>
      <c r="I5" s="197" t="n"/>
      <c r="J5" s="197" t="n"/>
    </row>
    <row r="6" ht="41.25" customFormat="1" customHeight="1" s="139">
      <c r="A6" s="112" t="inlineStr">
        <is>
          <t>Наименование разрабатываемого показателя УНЦ</t>
        </is>
      </c>
      <c r="B6" s="113" t="n"/>
      <c r="C6" s="113" t="n"/>
      <c r="D6" s="211" t="inlineStr">
        <is>
          <t>ОКСН количество волокон 8 шт., максимально-допустимая растягивающая нагрузка 20 кН</t>
        </is>
      </c>
    </row>
    <row r="7" ht="12.75" customFormat="1" customHeight="1" s="139">
      <c r="A7" s="211">
        <f>'Прил.1 Сравнит табл'!B9</f>
        <v/>
      </c>
      <c r="I7" s="198" t="n"/>
      <c r="J7" s="198" t="n"/>
    </row>
    <row r="8" ht="12.75" customFormat="1" customHeight="1" s="139"/>
    <row r="9" ht="27" customHeight="1" s="156">
      <c r="A9" s="201" t="inlineStr">
        <is>
          <t>№ пп.</t>
        </is>
      </c>
      <c r="B9" s="201" t="inlineStr">
        <is>
          <t>Код ресурса</t>
        </is>
      </c>
      <c r="C9" s="201" t="inlineStr">
        <is>
          <t>Наименование</t>
        </is>
      </c>
      <c r="D9" s="201" t="inlineStr">
        <is>
          <t>Ед. изм.</t>
        </is>
      </c>
      <c r="E9" s="201" t="inlineStr">
        <is>
          <t>Кол-во единиц по проектным данным</t>
        </is>
      </c>
      <c r="F9" s="201" t="inlineStr">
        <is>
          <t>Сметная стоимость в ценах на 01.01.2000 (руб.)</t>
        </is>
      </c>
      <c r="G9" s="237" t="n"/>
      <c r="H9" s="201" t="inlineStr">
        <is>
          <t>Удельный вес, %</t>
        </is>
      </c>
      <c r="I9" s="201" t="inlineStr">
        <is>
          <t>Сметная стоимость в ценах на 01.01.2023 (руб.)</t>
        </is>
      </c>
      <c r="J9" s="237" t="n"/>
    </row>
    <row r="10" ht="28.5" customHeight="1" s="156">
      <c r="A10" s="239" t="n"/>
      <c r="B10" s="239" t="n"/>
      <c r="C10" s="239" t="n"/>
      <c r="D10" s="239" t="n"/>
      <c r="E10" s="239" t="n"/>
      <c r="F10" s="201" t="inlineStr">
        <is>
          <t>на ед. изм.</t>
        </is>
      </c>
      <c r="G10" s="201" t="inlineStr">
        <is>
          <t>общая</t>
        </is>
      </c>
      <c r="H10" s="239" t="n"/>
      <c r="I10" s="201" t="inlineStr">
        <is>
          <t>на ед. изм.</t>
        </is>
      </c>
      <c r="J10" s="201" t="inlineStr">
        <is>
          <t>общая</t>
        </is>
      </c>
    </row>
    <row r="11">
      <c r="A11" s="201" t="n">
        <v>1</v>
      </c>
      <c r="B11" s="201" t="n">
        <v>2</v>
      </c>
      <c r="C11" s="201" t="n">
        <v>3</v>
      </c>
      <c r="D11" s="201" t="n">
        <v>4</v>
      </c>
      <c r="E11" s="201" t="n">
        <v>5</v>
      </c>
      <c r="F11" s="201" t="n">
        <v>6</v>
      </c>
      <c r="G11" s="201" t="n">
        <v>7</v>
      </c>
      <c r="H11" s="201" t="n">
        <v>8</v>
      </c>
      <c r="I11" s="201" t="n">
        <v>9</v>
      </c>
      <c r="J11" s="201" t="n">
        <v>10</v>
      </c>
    </row>
    <row r="12">
      <c r="A12" s="201" t="n"/>
      <c r="B12" s="212" t="inlineStr">
        <is>
          <t>Затраты труда рабочих-строителей</t>
        </is>
      </c>
      <c r="C12" s="236" t="n"/>
      <c r="D12" s="236" t="n"/>
      <c r="E12" s="236" t="n"/>
      <c r="F12" s="236" t="n"/>
      <c r="G12" s="236" t="n"/>
      <c r="H12" s="237" t="n"/>
      <c r="I12" s="39" t="n"/>
      <c r="J12" s="39" t="n"/>
      <c r="L12" s="243" t="n"/>
    </row>
    <row r="13" ht="25.5" customHeight="1" s="156">
      <c r="A13" s="201" t="n">
        <v>1</v>
      </c>
      <c r="B13" s="132" t="inlineStr">
        <is>
          <t>1-3-3</t>
        </is>
      </c>
      <c r="C13" s="200" t="inlineStr">
        <is>
          <t>Затраты труда рабочих (средний разряд работы 3,3)</t>
        </is>
      </c>
      <c r="D13" s="201" t="inlineStr">
        <is>
          <t>чел.-ч.</t>
        </is>
      </c>
      <c r="E13" s="244">
        <f>G13/F13</f>
        <v/>
      </c>
      <c r="F13" s="85" t="n">
        <v>8.859999999999999</v>
      </c>
      <c r="G13" s="85">
        <f>SUM(Прил.3!H13:H16)</f>
        <v/>
      </c>
      <c r="H13" s="213">
        <f>G13/G16</f>
        <v/>
      </c>
      <c r="I13" s="128">
        <f>ФОТр.тек.!E13</f>
        <v/>
      </c>
      <c r="J13" s="128">
        <f>ROUND(I13*E13,2)</f>
        <v/>
      </c>
    </row>
    <row r="14">
      <c r="A14" s="201" t="n">
        <v>2</v>
      </c>
      <c r="B14" s="132" t="inlineStr">
        <is>
          <t>10-3-1</t>
        </is>
      </c>
      <c r="C14" s="200" t="inlineStr">
        <is>
          <t>Инженер I категории</t>
        </is>
      </c>
      <c r="D14" s="201" t="inlineStr">
        <is>
          <t>чел.-ч</t>
        </is>
      </c>
      <c r="E14" s="244" t="n">
        <v>83.81999999999999</v>
      </c>
      <c r="F14" s="85" t="n">
        <v>15.49</v>
      </c>
      <c r="G14" s="85">
        <f>ROUND(E14*F14,2)</f>
        <v/>
      </c>
      <c r="H14" s="204">
        <f>G14/G16</f>
        <v/>
      </c>
      <c r="I14" s="85">
        <f>ФОТр.тек.!E21</f>
        <v/>
      </c>
      <c r="J14" s="128">
        <f>ROUND(I14*E14,2)</f>
        <v/>
      </c>
    </row>
    <row r="15">
      <c r="A15" s="201" t="n">
        <v>3</v>
      </c>
      <c r="B15" s="132" t="inlineStr">
        <is>
          <t>10-2-1</t>
        </is>
      </c>
      <c r="C15" s="200" t="inlineStr">
        <is>
          <t>Ведущий инженер</t>
        </is>
      </c>
      <c r="D15" s="201" t="inlineStr">
        <is>
          <t>чел.-ч</t>
        </is>
      </c>
      <c r="E15" s="244" t="n">
        <v>49.17</v>
      </c>
      <c r="F15" s="85" t="n">
        <v>16.93</v>
      </c>
      <c r="G15" s="85">
        <f>ROUND(E15*F15,2)</f>
        <v/>
      </c>
      <c r="H15" s="204">
        <f>G15/G16</f>
        <v/>
      </c>
      <c r="I15" s="129">
        <f>ФОТр.тек.!E29</f>
        <v/>
      </c>
      <c r="J15" s="85">
        <f>ROUND(I15*E15,2)</f>
        <v/>
      </c>
    </row>
    <row r="16" ht="25.5" customFormat="1" customHeight="1" s="146">
      <c r="A16" s="201" t="n"/>
      <c r="B16" s="201" t="n"/>
      <c r="C16" s="212" t="inlineStr">
        <is>
          <t>Итого по разделу "Затраты труда рабочих-строителей"</t>
        </is>
      </c>
      <c r="D16" s="201" t="inlineStr">
        <is>
          <t>чел.-ч.</t>
        </is>
      </c>
      <c r="E16" s="244">
        <f>SUM(E13:E15)</f>
        <v/>
      </c>
      <c r="F16" s="85" t="n"/>
      <c r="G16" s="85">
        <f>SUM(G13:G15)</f>
        <v/>
      </c>
      <c r="H16" s="213" t="n">
        <v>1</v>
      </c>
      <c r="I16" s="130" t="n"/>
      <c r="J16" s="85">
        <f>SUM(J13:J15)</f>
        <v/>
      </c>
      <c r="L16" s="78" t="n"/>
    </row>
    <row r="17" ht="14.25" customFormat="1" customHeight="1" s="146">
      <c r="A17" s="201" t="n"/>
      <c r="B17" s="200" t="inlineStr">
        <is>
          <t>Затраты труда машинистов</t>
        </is>
      </c>
      <c r="C17" s="236" t="n"/>
      <c r="D17" s="236" t="n"/>
      <c r="E17" s="236" t="n"/>
      <c r="F17" s="236" t="n"/>
      <c r="G17" s="236" t="n"/>
      <c r="H17" s="237" t="n"/>
      <c r="I17" s="39" t="n"/>
      <c r="J17" s="39" t="n"/>
      <c r="L17" s="243" t="n"/>
    </row>
    <row r="18" ht="14.25" customFormat="1" customHeight="1" s="146">
      <c r="A18" s="201" t="n">
        <v>4</v>
      </c>
      <c r="B18" s="201" t="n">
        <v>2</v>
      </c>
      <c r="C18" s="200" t="inlineStr">
        <is>
          <t>Затраты труда машинистов</t>
        </is>
      </c>
      <c r="D18" s="201" t="inlineStr">
        <is>
          <t>чел.-ч.</t>
        </is>
      </c>
      <c r="E18" s="244">
        <f>Прил.3!F20</f>
        <v/>
      </c>
      <c r="F18" s="85">
        <f>G18/E18</f>
        <v/>
      </c>
      <c r="G18" s="85">
        <f>Прил.3!H20</f>
        <v/>
      </c>
      <c r="H18" s="213" t="n">
        <v>1</v>
      </c>
      <c r="I18" s="85">
        <f>ROUND(F18*Прил.10!D10,2)</f>
        <v/>
      </c>
      <c r="J18" s="85">
        <f>ROUND(I18*E18,2)</f>
        <v/>
      </c>
      <c r="L18" s="66" t="n"/>
    </row>
    <row r="19" ht="14.25" customFormat="1" customHeight="1" s="146">
      <c r="A19" s="201" t="n"/>
      <c r="B19" s="212" t="inlineStr">
        <is>
          <t>Машины и механизмы</t>
        </is>
      </c>
      <c r="C19" s="236" t="n"/>
      <c r="D19" s="236" t="n"/>
      <c r="E19" s="236" t="n"/>
      <c r="F19" s="236" t="n"/>
      <c r="G19" s="236" t="n"/>
      <c r="H19" s="237" t="n"/>
      <c r="I19" s="213" t="n"/>
      <c r="J19" s="213" t="n"/>
    </row>
    <row r="20" ht="14.25" customFormat="1" customHeight="1" s="146">
      <c r="A20" s="201" t="n"/>
      <c r="B20" s="200" t="inlineStr">
        <is>
          <t>Основные машины и механизмы</t>
        </is>
      </c>
      <c r="C20" s="236" t="n"/>
      <c r="D20" s="236" t="n"/>
      <c r="E20" s="236" t="n"/>
      <c r="F20" s="236" t="n"/>
      <c r="G20" s="236" t="n"/>
      <c r="H20" s="237" t="n"/>
      <c r="I20" s="39" t="n"/>
      <c r="J20" s="39" t="n"/>
    </row>
    <row r="21" ht="38.25" customFormat="1" customHeight="1" s="146">
      <c r="A21" s="201" t="n">
        <v>5</v>
      </c>
      <c r="B21" s="132" t="inlineStr">
        <is>
          <t>91.11.01-012</t>
        </is>
      </c>
      <c r="C21" s="200" t="inlineStr">
        <is>
          <t>Машины монтажные для выполнения работ при прокладке и монтаже кабеля на базе автомобиля</t>
        </is>
      </c>
      <c r="D21" s="201" t="inlineStr">
        <is>
          <t>маш.час</t>
        </is>
      </c>
      <c r="E21" s="244" t="n">
        <v>2735.502</v>
      </c>
      <c r="F21" s="219" t="n">
        <v>110.86</v>
      </c>
      <c r="G21" s="85">
        <f>ROUND(E21*F21,2)</f>
        <v/>
      </c>
      <c r="H21" s="213">
        <f>G21/$G$32</f>
        <v/>
      </c>
      <c r="I21" s="85">
        <f>ROUND(F21*Прил.10!$D$11,2)</f>
        <v/>
      </c>
      <c r="J21" s="85">
        <f>ROUND(I21*E21,2)</f>
        <v/>
      </c>
    </row>
    <row r="22" ht="14.25" customFormat="1" customHeight="1" s="146">
      <c r="B22" s="201" t="n"/>
      <c r="C22" s="200" t="inlineStr">
        <is>
          <t>Итого основные машины и механизмы</t>
        </is>
      </c>
      <c r="D22" s="201" t="n"/>
      <c r="E22" s="245" t="n"/>
      <c r="F22" s="85" t="n"/>
      <c r="G22" s="85">
        <f>SUM(G21:G21)</f>
        <v/>
      </c>
      <c r="H22" s="213">
        <f>G22/G32</f>
        <v/>
      </c>
      <c r="I22" s="85" t="n"/>
      <c r="J22" s="85">
        <f>SUM(J21:J21)</f>
        <v/>
      </c>
      <c r="L22" s="243" t="n"/>
    </row>
    <row r="23" hidden="1" outlineLevel="1" ht="25.5" customFormat="1" customHeight="1" s="146">
      <c r="A23" s="201" t="n">
        <v>6</v>
      </c>
      <c r="B23" s="132" t="inlineStr">
        <is>
          <t>91.05.05-015</t>
        </is>
      </c>
      <c r="C23" s="200" t="inlineStr">
        <is>
          <t>Краны на автомобильном ходу, грузоподъемность 16 т</t>
        </is>
      </c>
      <c r="D23" s="201" t="inlineStr">
        <is>
          <t>маш.час</t>
        </is>
      </c>
      <c r="E23" s="244" t="n">
        <v>37.18</v>
      </c>
      <c r="F23" s="219" t="n">
        <v>115.4</v>
      </c>
      <c r="G23" s="85">
        <f>ROUND(E23*F23,2)</f>
        <v/>
      </c>
      <c r="H23" s="213">
        <f>G23/$G$32</f>
        <v/>
      </c>
      <c r="I23" s="85">
        <f>ROUND(F23*Прил.10!$D$11,2)</f>
        <v/>
      </c>
      <c r="J23" s="85">
        <f>ROUND(I23*E23,2)</f>
        <v/>
      </c>
      <c r="L23" s="243" t="n"/>
    </row>
    <row r="24" hidden="1" outlineLevel="1" ht="25.5" customFormat="1" customHeight="1" s="146">
      <c r="A24" s="201" t="n">
        <v>7</v>
      </c>
      <c r="B24" s="132" t="inlineStr">
        <is>
          <t>91.06.06-014</t>
        </is>
      </c>
      <c r="C24" s="200" t="inlineStr">
        <is>
          <t>Автогидроподъемники, высота подъема 28 м</t>
        </is>
      </c>
      <c r="D24" s="201" t="inlineStr">
        <is>
          <t>маш.час</t>
        </is>
      </c>
      <c r="E24" s="244" t="n">
        <v>11.55</v>
      </c>
      <c r="F24" s="219" t="n">
        <v>243.49</v>
      </c>
      <c r="G24" s="85">
        <f>ROUND(E24*F24,2)</f>
        <v/>
      </c>
      <c r="H24" s="213">
        <f>G24/$G$32</f>
        <v/>
      </c>
      <c r="I24" s="85">
        <f>ROUND(F24*Прил.10!$D$11,2)</f>
        <v/>
      </c>
      <c r="J24" s="85">
        <f>ROUND(I24*E24,2)</f>
        <v/>
      </c>
      <c r="L24" s="243" t="n"/>
    </row>
    <row r="25" hidden="1" outlineLevel="1" ht="14.25" customFormat="1" customHeight="1" s="146">
      <c r="A25" s="201" t="n">
        <v>8</v>
      </c>
      <c r="B25" s="132" t="inlineStr">
        <is>
          <t>91.21.22-341</t>
        </is>
      </c>
      <c r="C25" s="200" t="inlineStr">
        <is>
          <t>Рефлектометры</t>
        </is>
      </c>
      <c r="D25" s="201" t="inlineStr">
        <is>
          <t>маш.час</t>
        </is>
      </c>
      <c r="E25" s="244" t="n">
        <v>151.47</v>
      </c>
      <c r="F25" s="219" t="n">
        <v>10.62</v>
      </c>
      <c r="G25" s="85">
        <f>ROUND(E25*F25,2)</f>
        <v/>
      </c>
      <c r="H25" s="213">
        <f>G25/$G$32</f>
        <v/>
      </c>
      <c r="I25" s="85">
        <f>ROUND(F25*Прил.10!$D$11,2)</f>
        <v/>
      </c>
      <c r="J25" s="85">
        <f>ROUND(I25*E25,2)</f>
        <v/>
      </c>
      <c r="L25" s="243" t="n"/>
    </row>
    <row r="26" hidden="1" outlineLevel="1" ht="25.5" customFormat="1" customHeight="1" s="146">
      <c r="A26" s="201" t="n">
        <v>9</v>
      </c>
      <c r="B26" s="132" t="inlineStr">
        <is>
          <t>91.06.06-042</t>
        </is>
      </c>
      <c r="C26" s="200" t="inlineStr">
        <is>
          <t>Подъемники гидравлические, высота подъема 10 м</t>
        </is>
      </c>
      <c r="D26" s="201" t="inlineStr">
        <is>
          <t>маш.час</t>
        </is>
      </c>
      <c r="E26" s="244" t="n">
        <v>46.53</v>
      </c>
      <c r="F26" s="219" t="n">
        <v>29.6</v>
      </c>
      <c r="G26" s="85">
        <f>ROUND(E26*F26,2)</f>
        <v/>
      </c>
      <c r="H26" s="213">
        <f>G26/$G$32</f>
        <v/>
      </c>
      <c r="I26" s="85">
        <f>ROUND(F26*Прил.10!$D$11,2)</f>
        <v/>
      </c>
      <c r="J26" s="85">
        <f>ROUND(I26*E26,2)</f>
        <v/>
      </c>
      <c r="L26" s="243" t="n"/>
    </row>
    <row r="27" hidden="1" outlineLevel="1" ht="25.5" customFormat="1" customHeight="1" s="146">
      <c r="A27" s="201" t="n">
        <v>10</v>
      </c>
      <c r="B27" s="132" t="inlineStr">
        <is>
          <t>91.17.04-194</t>
        </is>
      </c>
      <c r="C27" s="200" t="inlineStr">
        <is>
          <t>Аппараты сварочные для сварки оптических кабелей со скалывателем</t>
        </is>
      </c>
      <c r="D27" s="201" t="inlineStr">
        <is>
          <t>маш.час</t>
        </is>
      </c>
      <c r="E27" s="244" t="n">
        <v>35.97</v>
      </c>
      <c r="F27" s="219" t="n">
        <v>12.14</v>
      </c>
      <c r="G27" s="85">
        <f>ROUND(E27*F27,2)</f>
        <v/>
      </c>
      <c r="H27" s="213">
        <f>G27/$G$32</f>
        <v/>
      </c>
      <c r="I27" s="85">
        <f>ROUND(F27*Прил.10!$D$11,2)</f>
        <v/>
      </c>
      <c r="J27" s="85">
        <f>ROUND(I27*E27,2)</f>
        <v/>
      </c>
      <c r="L27" s="243" t="n"/>
    </row>
    <row r="28" hidden="1" outlineLevel="1" ht="25.5" customFormat="1" customHeight="1" s="146">
      <c r="A28" s="201" t="n">
        <v>11</v>
      </c>
      <c r="B28" s="132" t="inlineStr">
        <is>
          <t>91.14.02-001</t>
        </is>
      </c>
      <c r="C28" s="200" t="inlineStr">
        <is>
          <t>Автомобили бортовые, грузоподъемность до 5 т</t>
        </is>
      </c>
      <c r="D28" s="201" t="inlineStr">
        <is>
          <t>маш.час</t>
        </is>
      </c>
      <c r="E28" s="244" t="n">
        <v>3.3</v>
      </c>
      <c r="F28" s="219" t="n">
        <v>65.70999999999999</v>
      </c>
      <c r="G28" s="85">
        <f>ROUND(E28*F28,2)</f>
        <v/>
      </c>
      <c r="H28" s="213">
        <f>G28/$G$32</f>
        <v/>
      </c>
      <c r="I28" s="85">
        <f>ROUND(F28*Прил.10!$D$11,2)</f>
        <v/>
      </c>
      <c r="J28" s="85">
        <f>ROUND(I28*E28,2)</f>
        <v/>
      </c>
      <c r="L28" s="243" t="n"/>
    </row>
    <row r="29" hidden="1" outlineLevel="1" ht="25.5" customFormat="1" customHeight="1" s="146">
      <c r="A29" s="201" t="n">
        <v>12</v>
      </c>
      <c r="B29" s="132" t="inlineStr">
        <is>
          <t>91.17.04-233</t>
        </is>
      </c>
      <c r="C29" s="200" t="inlineStr">
        <is>
          <t>Установки для сварки ручной дуговой (постоянного тока)</t>
        </is>
      </c>
      <c r="D29" s="201" t="inlineStr">
        <is>
          <t>маш.час</t>
        </is>
      </c>
      <c r="E29" s="244" t="n">
        <v>14.52</v>
      </c>
      <c r="F29" s="219" t="n">
        <v>8.1</v>
      </c>
      <c r="G29" s="85">
        <f>ROUND(E29*F29,2)</f>
        <v/>
      </c>
      <c r="H29" s="213">
        <f>G29/$G$32</f>
        <v/>
      </c>
      <c r="I29" s="85">
        <f>ROUND(F29*Прил.10!$D$11,2)</f>
        <v/>
      </c>
      <c r="J29" s="85">
        <f>ROUND(I29*E29,2)</f>
        <v/>
      </c>
      <c r="L29" s="243" t="n"/>
    </row>
    <row r="30" hidden="1" outlineLevel="1" ht="25.5" customFormat="1" customHeight="1" s="146">
      <c r="A30" s="201" t="n">
        <v>13</v>
      </c>
      <c r="B30" s="132" t="inlineStr">
        <is>
          <t>91.06.01-003</t>
        </is>
      </c>
      <c r="C30" s="200" t="inlineStr">
        <is>
          <t>Домкраты гидравлические, грузоподъемность 63-100 т</t>
        </is>
      </c>
      <c r="D30" s="201" t="inlineStr">
        <is>
          <t>маш.час</t>
        </is>
      </c>
      <c r="E30" s="244" t="n">
        <v>27.72</v>
      </c>
      <c r="F30" s="219" t="n">
        <v>0.9</v>
      </c>
      <c r="G30" s="85">
        <f>ROUND(E30*F30,2)</f>
        <v/>
      </c>
      <c r="H30" s="213">
        <f>G30/$G$32</f>
        <v/>
      </c>
      <c r="I30" s="85">
        <f>ROUND(F30*Прил.10!$D$11,2)</f>
        <v/>
      </c>
      <c r="J30" s="85">
        <f>ROUND(I30*E30,2)</f>
        <v/>
      </c>
      <c r="L30" s="243" t="n"/>
    </row>
    <row r="31" collapsed="1" ht="14.25" customFormat="1" customHeight="1" s="146">
      <c r="A31" s="201" t="n"/>
      <c r="B31" s="201" t="n"/>
      <c r="C31" s="200" t="inlineStr">
        <is>
          <t>Итого прочие машины и механизмы</t>
        </is>
      </c>
      <c r="D31" s="201" t="n"/>
      <c r="E31" s="202" t="n"/>
      <c r="F31" s="85" t="n"/>
      <c r="G31" s="85">
        <f>SUM(G23:G30)</f>
        <v/>
      </c>
      <c r="H31" s="213">
        <f>G31/G32</f>
        <v/>
      </c>
      <c r="I31" s="85" t="n"/>
      <c r="J31" s="85">
        <f>SUM(J23:J30)</f>
        <v/>
      </c>
      <c r="K31" s="246" t="n"/>
      <c r="L31" s="243" t="n"/>
    </row>
    <row r="32" ht="25.5" customFormat="1" customHeight="1" s="146">
      <c r="A32" s="201" t="n"/>
      <c r="B32" s="214" t="n"/>
      <c r="C32" s="205" t="inlineStr">
        <is>
          <t>Итого по разделу «Машины и механизмы»</t>
        </is>
      </c>
      <c r="D32" s="214" t="n"/>
      <c r="E32" s="56" t="n"/>
      <c r="F32" s="128" t="n"/>
      <c r="G32" s="128">
        <f>G22+G31</f>
        <v/>
      </c>
      <c r="H32" s="58" t="n">
        <v>1</v>
      </c>
      <c r="I32" s="128" t="n"/>
      <c r="J32" s="128">
        <f>J22+J31</f>
        <v/>
      </c>
    </row>
    <row r="33" s="156">
      <c r="A33" s="82" t="n"/>
      <c r="B33" s="205" t="inlineStr">
        <is>
          <t xml:space="preserve">Оборудование </t>
        </is>
      </c>
      <c r="C33" s="247" t="n"/>
      <c r="D33" s="247" t="n"/>
      <c r="E33" s="247" t="n"/>
      <c r="F33" s="247" t="n"/>
      <c r="G33" s="247" t="n"/>
      <c r="H33" s="247" t="n"/>
      <c r="I33" s="247" t="n"/>
      <c r="J33" s="248" t="n"/>
      <c r="K33" s="146" t="n"/>
      <c r="L33" s="146" t="n"/>
      <c r="M33" s="146" t="n"/>
      <c r="N33" s="146" t="n"/>
    </row>
    <row r="34" ht="15" customHeight="1" s="156">
      <c r="A34" s="201" t="n"/>
      <c r="B34" s="200" t="inlineStr">
        <is>
          <t>Основное оборудование</t>
        </is>
      </c>
      <c r="C34" s="236" t="n"/>
      <c r="D34" s="236" t="n"/>
      <c r="E34" s="236" t="n"/>
      <c r="F34" s="236" t="n"/>
      <c r="G34" s="236" t="n"/>
      <c r="H34" s="236" t="n"/>
      <c r="I34" s="236" t="n"/>
      <c r="J34" s="237" t="n"/>
      <c r="K34" s="146" t="n"/>
      <c r="L34" s="146" t="n"/>
      <c r="M34" s="146" t="n"/>
      <c r="N34" s="146" t="n"/>
    </row>
    <row r="35" s="156">
      <c r="A35" s="86" t="n"/>
      <c r="B35" s="201" t="n"/>
      <c r="C35" s="200" t="inlineStr">
        <is>
          <t>Итого основное оборудование</t>
        </is>
      </c>
      <c r="D35" s="201" t="n"/>
      <c r="E35" s="244" t="n"/>
      <c r="F35" s="203" t="n"/>
      <c r="G35" s="85" t="n">
        <v>0</v>
      </c>
      <c r="H35" s="213" t="n"/>
      <c r="I35" s="85" t="n"/>
      <c r="J35" s="85" t="n">
        <v>0</v>
      </c>
      <c r="K35" s="246" t="n"/>
      <c r="L35" s="146" t="n"/>
      <c r="M35" s="146" t="n"/>
      <c r="N35" s="146" t="n"/>
    </row>
    <row r="36" s="156">
      <c r="A36" s="86" t="n"/>
      <c r="B36" s="201" t="n"/>
      <c r="C36" s="200" t="inlineStr">
        <is>
          <t>Итого прочее оборудование</t>
        </is>
      </c>
      <c r="D36" s="201" t="n"/>
      <c r="E36" s="202" t="n"/>
      <c r="F36" s="203" t="n"/>
      <c r="G36" s="85" t="n">
        <v>0</v>
      </c>
      <c r="H36" s="213" t="n"/>
      <c r="I36" s="85" t="n"/>
      <c r="J36" s="85" t="n">
        <v>0</v>
      </c>
      <c r="K36" s="246" t="n"/>
      <c r="L36" s="249" t="n"/>
      <c r="M36" s="146" t="n"/>
      <c r="N36" s="146" t="n"/>
    </row>
    <row r="37" s="156">
      <c r="A37" s="201" t="n"/>
      <c r="B37" s="201" t="n"/>
      <c r="C37" s="212" t="inlineStr">
        <is>
          <t>Итого по разделу «Оборудование»</t>
        </is>
      </c>
      <c r="D37" s="201" t="n"/>
      <c r="E37" s="202" t="n"/>
      <c r="F37" s="203" t="n"/>
      <c r="G37" s="85">
        <f>G35+G36</f>
        <v/>
      </c>
      <c r="H37" s="213" t="n"/>
      <c r="I37" s="85" t="n"/>
      <c r="J37" s="85">
        <f>J36+J35</f>
        <v/>
      </c>
      <c r="K37" s="246" t="n"/>
      <c r="L37" s="146" t="n"/>
      <c r="M37" s="146" t="n"/>
      <c r="N37" s="146" t="n"/>
    </row>
    <row r="38" ht="25.5" customHeight="1" s="156">
      <c r="A38" s="201" t="n"/>
      <c r="B38" s="201" t="n"/>
      <c r="C38" s="200" t="inlineStr">
        <is>
          <t>в том числе технологическое оборудование</t>
        </is>
      </c>
      <c r="D38" s="201" t="n"/>
      <c r="E38" s="202" t="n"/>
      <c r="F38" s="203" t="n"/>
      <c r="G38" s="85">
        <f>'Прил.6 Расчет ОБ'!G16</f>
        <v/>
      </c>
      <c r="H38" s="213" t="n"/>
      <c r="I38" s="85" t="n"/>
      <c r="J38" s="85">
        <f>ROUND(G38*Прил.10!$D$13,2)</f>
        <v/>
      </c>
      <c r="K38" s="246" t="n"/>
      <c r="L38" s="146" t="n"/>
      <c r="M38" s="146" t="n"/>
      <c r="N38" s="146" t="n"/>
    </row>
    <row r="39" ht="14.25" customFormat="1" customHeight="1" s="146">
      <c r="A39" s="215" t="n"/>
      <c r="B39" s="250" t="inlineStr">
        <is>
          <t>Материалы</t>
        </is>
      </c>
      <c r="J39" s="251" t="n"/>
      <c r="K39" s="246" t="n"/>
    </row>
    <row r="40" ht="14.25" customFormat="1" customHeight="1" s="146">
      <c r="A40" s="201" t="n"/>
      <c r="B40" s="200" t="inlineStr">
        <is>
          <t>Основные материалы</t>
        </is>
      </c>
      <c r="C40" s="236" t="n"/>
      <c r="D40" s="236" t="n"/>
      <c r="E40" s="236" t="n"/>
      <c r="F40" s="236" t="n"/>
      <c r="G40" s="236" t="n"/>
      <c r="H40" s="237" t="n"/>
      <c r="I40" s="213" t="n"/>
      <c r="J40" s="213" t="n"/>
    </row>
    <row r="41" ht="25.5" customFormat="1" customHeight="1" s="146">
      <c r="A41" s="201" t="n">
        <v>14</v>
      </c>
      <c r="B41" s="132" t="inlineStr">
        <is>
          <t>БЦ.95.11</t>
        </is>
      </c>
      <c r="C41" s="200" t="inlineStr">
        <is>
          <t>Кабель оптический ОКСН на 8 волокон МДРН 20 кН</t>
        </is>
      </c>
      <c r="D41" s="201" t="inlineStr">
        <is>
          <t>1000 м</t>
        </is>
      </c>
      <c r="E41" s="244" t="n">
        <v>147.07</v>
      </c>
      <c r="F41" s="219">
        <f>ROUND(I41/Прил.10!D12,2)</f>
        <v/>
      </c>
      <c r="G41" s="85">
        <f>ROUND(E41*F41,2)</f>
        <v/>
      </c>
      <c r="H41" s="213">
        <f>G41/$G$96</f>
        <v/>
      </c>
      <c r="I41" s="85" t="n">
        <v>59804.52</v>
      </c>
      <c r="J41" s="85">
        <f>ROUND(I41*E41,2)</f>
        <v/>
      </c>
    </row>
    <row r="42" ht="63.75" customFormat="1" customHeight="1" s="146">
      <c r="A42" s="201" t="n">
        <v>15</v>
      </c>
      <c r="B42" s="132" t="inlineStr">
        <is>
          <t>08.2.02.06-0001</t>
        </is>
      </c>
      <c r="C42" s="200" t="inlineStr">
        <is>
          <t>Канат стальной двойной свивки ЛК-Р конструкции 6х19 (1+6+6/6)+1 о.с., оцинкованный, из проволоки марки В, маркировочная группа 1570 н/мм2 и менее, диаметр каната 6,9 мм</t>
        </is>
      </c>
      <c r="D42" s="201" t="inlineStr">
        <is>
          <t>10 м</t>
        </is>
      </c>
      <c r="E42" s="244" t="n">
        <v>15442.35</v>
      </c>
      <c r="F42" s="219" t="n">
        <v>64.31</v>
      </c>
      <c r="G42" s="85">
        <f>ROUND(E42*F42,2)</f>
        <v/>
      </c>
      <c r="H42" s="213">
        <f>G42/$G$96</f>
        <v/>
      </c>
      <c r="I42" s="85">
        <f>ROUND(F42*Прил.10!$D$12,2)</f>
        <v/>
      </c>
      <c r="J42" s="85">
        <f>ROUND(I42*E42,2)</f>
        <v/>
      </c>
    </row>
    <row r="43" ht="14.25" customFormat="1" customHeight="1" s="146">
      <c r="A43" s="201" t="n">
        <v>16</v>
      </c>
      <c r="B43" s="132" t="inlineStr">
        <is>
          <t>22.2.02.01-0005</t>
        </is>
      </c>
      <c r="C43" s="200" t="inlineStr">
        <is>
          <t>Гаситель вибрации ГВ-4433-02</t>
        </is>
      </c>
      <c r="D43" s="201" t="inlineStr">
        <is>
          <t>шт</t>
        </is>
      </c>
      <c r="E43" s="244" t="n">
        <v>1070</v>
      </c>
      <c r="F43" s="219" t="n">
        <v>160.79</v>
      </c>
      <c r="G43" s="85">
        <f>ROUND(E43*F43,2)</f>
        <v/>
      </c>
      <c r="H43" s="213">
        <f>G43/$G$96</f>
        <v/>
      </c>
      <c r="I43" s="85">
        <f>ROUND(F43*Прил.10!$D$12,2)</f>
        <v/>
      </c>
      <c r="J43" s="85">
        <f>ROUND(I43*E43,2)</f>
        <v/>
      </c>
    </row>
    <row r="44" ht="14.25" customFormat="1" customHeight="1" s="146">
      <c r="A44" s="201" t="n">
        <v>17</v>
      </c>
      <c r="B44" s="132" t="inlineStr">
        <is>
          <t>20.1.02.10-0002</t>
        </is>
      </c>
      <c r="C44" s="200" t="inlineStr">
        <is>
          <t>Подвес металлический кабелей связи</t>
        </is>
      </c>
      <c r="D44" s="201" t="inlineStr">
        <is>
          <t>т</t>
        </is>
      </c>
      <c r="E44" s="244" t="n">
        <v>9.706619999999999</v>
      </c>
      <c r="F44" s="219" t="n">
        <v>13900</v>
      </c>
      <c r="G44" s="85">
        <f>ROUND(E44*F44,2)</f>
        <v/>
      </c>
      <c r="H44" s="213">
        <f>G44/$G$96</f>
        <v/>
      </c>
      <c r="I44" s="85">
        <f>ROUND(F44*Прил.10!$D$12,2)</f>
        <v/>
      </c>
      <c r="J44" s="85">
        <f>ROUND(I44*E44,2)</f>
        <v/>
      </c>
    </row>
    <row r="45" ht="25.5" customFormat="1" customHeight="1" s="146">
      <c r="A45" s="201" t="n">
        <v>18</v>
      </c>
      <c r="B45" s="132" t="inlineStr">
        <is>
          <t>22.2.01.03-0003</t>
        </is>
      </c>
      <c r="C45" s="200" t="inlineStr">
        <is>
          <t>Изолятор подвесной стеклянный ПСД-70Е // Изоляторы ПС70Е</t>
        </is>
      </c>
      <c r="D45" s="201" t="inlineStr">
        <is>
          <t>шт</t>
        </is>
      </c>
      <c r="E45" s="244" t="n">
        <v>505</v>
      </c>
      <c r="F45" s="219" t="n">
        <v>169.25</v>
      </c>
      <c r="G45" s="85">
        <f>ROUND(E45*F45,2)</f>
        <v/>
      </c>
      <c r="H45" s="213">
        <f>G45/$G$96</f>
        <v/>
      </c>
      <c r="I45" s="85">
        <f>ROUND(F45*Прил.10!$D$12,2)</f>
        <v/>
      </c>
      <c r="J45" s="85">
        <f>ROUND(I45*E45,2)</f>
        <v/>
      </c>
    </row>
    <row r="46" ht="38.25" customFormat="1" customHeight="1" s="146">
      <c r="A46" s="201" t="n">
        <v>19</v>
      </c>
      <c r="B46" s="132" t="inlineStr">
        <is>
          <t>20.1.01.12-0032</t>
        </is>
      </c>
      <c r="C46" s="200" t="inlineStr">
        <is>
          <t>Зажим поддерживающий марки SO 140 // Зажим поддерживающий ПСО-140,9/11,1П-33</t>
        </is>
      </c>
      <c r="D46" s="201" t="inlineStr">
        <is>
          <t>100 шт</t>
        </is>
      </c>
      <c r="E46" s="244" t="n">
        <v>4.82</v>
      </c>
      <c r="F46" s="219" t="n">
        <v>14164</v>
      </c>
      <c r="G46" s="85">
        <f>ROUND(E46*F46,2)</f>
        <v/>
      </c>
      <c r="H46" s="213">
        <f>G46/$G$96</f>
        <v/>
      </c>
      <c r="I46" s="85">
        <f>ROUND(F46*Прил.10!$D$12,2)</f>
        <v/>
      </c>
      <c r="J46" s="85">
        <f>ROUND(I46*E46,2)</f>
        <v/>
      </c>
    </row>
    <row r="47" ht="25.5" customFormat="1" customHeight="1" s="146">
      <c r="A47" s="201" t="n">
        <v>20</v>
      </c>
      <c r="B47" s="132" t="inlineStr">
        <is>
          <t>22.2.01.05-0052</t>
        </is>
      </c>
      <c r="C47" s="200" t="inlineStr">
        <is>
          <t>Изолятор опорный ИОС-35-500-03 УХЛ, Т1 // Изоляторы опорные ОСПК-12,5-35-А-2У</t>
        </is>
      </c>
      <c r="D47" s="201" t="inlineStr">
        <is>
          <t>шт</t>
        </is>
      </c>
      <c r="E47" s="244" t="n">
        <v>114</v>
      </c>
      <c r="F47" s="219" t="n">
        <v>555.4400000000001</v>
      </c>
      <c r="G47" s="85">
        <f>ROUND(E47*F47,2)</f>
        <v/>
      </c>
      <c r="H47" s="213">
        <f>G47/$G$96</f>
        <v/>
      </c>
      <c r="I47" s="85">
        <f>ROUND(F47*Прил.10!$D$12,2)</f>
        <v/>
      </c>
      <c r="J47" s="85">
        <f>ROUND(I47*E47,2)</f>
        <v/>
      </c>
    </row>
    <row r="48" ht="14.25" customFormat="1" customHeight="1" s="146">
      <c r="B48" s="201" t="n"/>
      <c r="C48" s="200" t="inlineStr">
        <is>
          <t>Итого основные материалы</t>
        </is>
      </c>
      <c r="D48" s="201" t="n"/>
      <c r="E48" s="244" t="n"/>
      <c r="F48" s="203" t="n"/>
      <c r="G48" s="85">
        <f>SUM(G41:G47)</f>
        <v/>
      </c>
      <c r="H48" s="213">
        <f>G48/$G$96</f>
        <v/>
      </c>
      <c r="I48" s="85" t="n"/>
      <c r="J48" s="85">
        <f>SUM(J41:J47)</f>
        <v/>
      </c>
      <c r="K48" s="246" t="n"/>
    </row>
    <row r="49" hidden="1" outlineLevel="1" ht="89.45" customFormat="1" customHeight="1" s="146">
      <c r="A49" s="201" t="n">
        <v>21</v>
      </c>
      <c r="B49" s="76" t="inlineStr">
        <is>
          <t>22.2.02.20-1020</t>
        </is>
      </c>
      <c r="C49" s="20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 // 3КШ2</t>
        </is>
      </c>
      <c r="D49" s="201" t="inlineStr">
        <is>
          <t>компл</t>
        </is>
      </c>
      <c r="E49" s="244" t="n">
        <v>1127</v>
      </c>
      <c r="F49" s="219" t="n">
        <v>54.59</v>
      </c>
      <c r="G49" s="85">
        <f>ROUND(F49*E49,2)</f>
        <v/>
      </c>
      <c r="H49" s="213">
        <f>G49/$G$96</f>
        <v/>
      </c>
      <c r="I49" s="85">
        <f>ROUND(F49*Прил.10!$D$12,2)</f>
        <v/>
      </c>
      <c r="J49" s="85">
        <f>ROUND(I49*E49,2)</f>
        <v/>
      </c>
    </row>
    <row r="50" hidden="1" outlineLevel="1" ht="25.5" customFormat="1" customHeight="1" s="146">
      <c r="A50" s="201" t="n">
        <v>22</v>
      </c>
      <c r="B50" s="132" t="inlineStr">
        <is>
          <t>20.5.04.04-0050</t>
        </is>
      </c>
      <c r="C50" s="200" t="inlineStr">
        <is>
          <t>Зажим натяжной: спиральный НС-11,4-02 // Зажимы натяжные НСО-10,9/11,1П</t>
        </is>
      </c>
      <c r="D50" s="201" t="inlineStr">
        <is>
          <t>шт</t>
        </is>
      </c>
      <c r="E50" s="244" t="n">
        <v>152</v>
      </c>
      <c r="F50" s="219" t="n">
        <v>303.68</v>
      </c>
      <c r="G50" s="85">
        <f>ROUND(F50*E50,2)</f>
        <v/>
      </c>
      <c r="H50" s="213">
        <f>G50/$G$96</f>
        <v/>
      </c>
      <c r="I50" s="85">
        <f>ROUND(F50*Прил.10!$D$12,2)</f>
        <v/>
      </c>
      <c r="J50" s="85">
        <f>ROUND(I50*E50,2)</f>
        <v/>
      </c>
    </row>
    <row r="51" hidden="1" outlineLevel="1" ht="25.5" customFormat="1" customHeight="1" s="146">
      <c r="A51" s="201" t="n">
        <v>23</v>
      </c>
      <c r="B51" s="132" t="inlineStr">
        <is>
          <t>22.1.01.01-0032</t>
        </is>
      </c>
      <c r="C51" s="200" t="inlineStr">
        <is>
          <t>Боксы кабельные, тип БМ2-2 // Барабан для шлейфов кабеля БШ</t>
        </is>
      </c>
      <c r="D51" s="201" t="inlineStr">
        <is>
          <t>шт</t>
        </is>
      </c>
      <c r="E51" s="244" t="n">
        <v>33</v>
      </c>
      <c r="F51" s="219" t="n">
        <v>1335</v>
      </c>
      <c r="G51" s="85">
        <f>ROUND(F51*E51,2)</f>
        <v/>
      </c>
      <c r="H51" s="213">
        <f>G51/$G$96</f>
        <v/>
      </c>
      <c r="I51" s="85">
        <f>ROUND(F51*Прил.10!$D$12,2)</f>
        <v/>
      </c>
      <c r="J51" s="85">
        <f>ROUND(I51*E51,2)</f>
        <v/>
      </c>
    </row>
    <row r="52" hidden="1" outlineLevel="1" ht="14.25" customFormat="1" customHeight="1" s="146">
      <c r="A52" s="201" t="n">
        <v>24</v>
      </c>
      <c r="B52" s="132" t="inlineStr">
        <is>
          <t>27.2.01.03-0011</t>
        </is>
      </c>
      <c r="C52" s="200" t="inlineStr">
        <is>
          <t>Зажим двухболтовой</t>
        </is>
      </c>
      <c r="D52" s="201" t="inlineStr">
        <is>
          <t>кг</t>
        </is>
      </c>
      <c r="E52" s="244" t="n">
        <v>3647.336</v>
      </c>
      <c r="F52" s="219" t="n">
        <v>12</v>
      </c>
      <c r="G52" s="85">
        <f>ROUND(F52*E52,2)</f>
        <v/>
      </c>
      <c r="H52" s="213">
        <f>G52/$G$96</f>
        <v/>
      </c>
      <c r="I52" s="85">
        <f>ROUND(F52*Прил.10!$D$12,2)</f>
        <v/>
      </c>
      <c r="J52" s="85">
        <f>ROUND(I52*E52,2)</f>
        <v/>
      </c>
    </row>
    <row r="53" hidden="1" outlineLevel="1" ht="14.25" customFormat="1" customHeight="1" s="146">
      <c r="A53" s="201" t="n">
        <v>25</v>
      </c>
      <c r="B53" s="132" t="inlineStr">
        <is>
          <t>22.2.02.04-0026</t>
        </is>
      </c>
      <c r="C53" s="200" t="inlineStr">
        <is>
          <t>Звено промежуточное ПТР-12-1</t>
        </is>
      </c>
      <c r="D53" s="201" t="inlineStr">
        <is>
          <t>шт</t>
        </is>
      </c>
      <c r="E53" s="244" t="n">
        <v>134</v>
      </c>
      <c r="F53" s="219" t="n">
        <v>307.58</v>
      </c>
      <c r="G53" s="85">
        <f>ROUND(F53*E53,2)</f>
        <v/>
      </c>
      <c r="H53" s="213">
        <f>G53/$G$96</f>
        <v/>
      </c>
      <c r="I53" s="85">
        <f>ROUND(F53*Прил.10!$D$12,2)</f>
        <v/>
      </c>
      <c r="J53" s="85">
        <f>ROUND(I53*E53,2)</f>
        <v/>
      </c>
    </row>
    <row r="54" hidden="1" outlineLevel="1" ht="25.5" customFormat="1" customHeight="1" s="146">
      <c r="A54" s="201" t="n">
        <v>26</v>
      </c>
      <c r="B54" s="132" t="inlineStr">
        <is>
          <t>22.2.02.04-0037</t>
        </is>
      </c>
      <c r="C54" s="200" t="inlineStr">
        <is>
          <t>Звено промежуточное регулируемое ПРР-12-1А</t>
        </is>
      </c>
      <c r="D54" s="201" t="inlineStr">
        <is>
          <t>шт</t>
        </is>
      </c>
      <c r="E54" s="244" t="n">
        <v>150</v>
      </c>
      <c r="F54" s="219" t="n">
        <v>169.51</v>
      </c>
      <c r="G54" s="85">
        <f>ROUND(F54*E54,2)</f>
        <v/>
      </c>
      <c r="H54" s="213">
        <f>G54/$G$96</f>
        <v/>
      </c>
      <c r="I54" s="85">
        <f>ROUND(F54*Прил.10!$D$12,2)</f>
        <v/>
      </c>
      <c r="J54" s="85">
        <f>ROUND(I54*E54,2)</f>
        <v/>
      </c>
    </row>
    <row r="55" hidden="1" outlineLevel="1" ht="25.5" customFormat="1" customHeight="1" s="146">
      <c r="A55" s="201" t="n">
        <v>27</v>
      </c>
      <c r="B55" s="132" t="inlineStr">
        <is>
          <t>22.2.02.06-0011</t>
        </is>
      </c>
      <c r="C55" s="200" t="inlineStr">
        <is>
          <t>Консоли для крепления и подвески стального каната КСП-2</t>
        </is>
      </c>
      <c r="D55" s="201" t="inlineStr">
        <is>
          <t>100 шт</t>
        </is>
      </c>
      <c r="E55" s="244" t="n">
        <v>26.4726</v>
      </c>
      <c r="F55" s="219" t="n">
        <v>903.4400000000001</v>
      </c>
      <c r="G55" s="85">
        <f>ROUND(F55*E55,2)</f>
        <v/>
      </c>
      <c r="H55" s="213">
        <f>G55/$G$96</f>
        <v/>
      </c>
      <c r="I55" s="85">
        <f>ROUND(F55*Прил.10!$D$12,2)</f>
        <v/>
      </c>
      <c r="J55" s="85">
        <f>ROUND(I55*E55,2)</f>
        <v/>
      </c>
    </row>
    <row r="56" hidden="1" outlineLevel="1" ht="14.25" customFormat="1" customHeight="1" s="146">
      <c r="A56" s="201" t="n">
        <v>28</v>
      </c>
      <c r="B56" s="132" t="inlineStr">
        <is>
          <t>20.1.02.22-0006</t>
        </is>
      </c>
      <c r="C56" s="200" t="inlineStr">
        <is>
          <t>Ушко однолапчатое У1-12-16</t>
        </is>
      </c>
      <c r="D56" s="201" t="inlineStr">
        <is>
          <t>шт</t>
        </is>
      </c>
      <c r="E56" s="244" t="n">
        <v>150</v>
      </c>
      <c r="F56" s="219" t="n">
        <v>137.86</v>
      </c>
      <c r="G56" s="85">
        <f>ROUND(F56*E56,2)</f>
        <v/>
      </c>
      <c r="H56" s="213">
        <f>G56/$G$96</f>
        <v/>
      </c>
      <c r="I56" s="85">
        <f>ROUND(F56*Прил.10!$D$12,2)</f>
        <v/>
      </c>
      <c r="J56" s="85">
        <f>ROUND(I56*E56,2)</f>
        <v/>
      </c>
    </row>
    <row r="57" hidden="1" outlineLevel="1" ht="14.25" customFormat="1" customHeight="1" s="146">
      <c r="A57" s="201" t="n">
        <v>29</v>
      </c>
      <c r="B57" s="132" t="inlineStr">
        <is>
          <t>20.1.02.22-0005</t>
        </is>
      </c>
      <c r="C57" s="200" t="inlineStr">
        <is>
          <t>Ушко: однолапчатое У1-7-16</t>
        </is>
      </c>
      <c r="D57" s="201" t="inlineStr">
        <is>
          <t>шт</t>
        </is>
      </c>
      <c r="E57" s="244" t="n">
        <v>486</v>
      </c>
      <c r="F57" s="219" t="n">
        <v>39.32</v>
      </c>
      <c r="G57" s="85">
        <f>ROUND(F57*E57,2)</f>
        <v/>
      </c>
      <c r="H57" s="213">
        <f>G57/$G$96</f>
        <v/>
      </c>
      <c r="I57" s="85">
        <f>ROUND(F57*Прил.10!$D$12,2)</f>
        <v/>
      </c>
      <c r="J57" s="85">
        <f>ROUND(I57*E57,2)</f>
        <v/>
      </c>
    </row>
    <row r="58" hidden="1" outlineLevel="1" ht="14.25" customFormat="1" customHeight="1" s="146">
      <c r="A58" s="201" t="n">
        <v>30</v>
      </c>
      <c r="B58" s="132" t="inlineStr">
        <is>
          <t>20.1.02.19-0013</t>
        </is>
      </c>
      <c r="C58" s="200" t="inlineStr">
        <is>
          <t>Трос грозозащитный</t>
        </is>
      </c>
      <c r="D58" s="201" t="inlineStr">
        <is>
          <t>т</t>
        </is>
      </c>
      <c r="E58" s="244" t="n">
        <v>1.66</v>
      </c>
      <c r="F58" s="219" t="n">
        <v>10821.28</v>
      </c>
      <c r="G58" s="85">
        <f>ROUND(F58*E58,2)</f>
        <v/>
      </c>
      <c r="H58" s="213">
        <f>G58/$G$96</f>
        <v/>
      </c>
      <c r="I58" s="85">
        <f>ROUND(F58*Прил.10!$D$12,2)</f>
        <v/>
      </c>
      <c r="J58" s="85">
        <f>ROUND(I58*E58,2)</f>
        <v/>
      </c>
    </row>
    <row r="59" hidden="1" outlineLevel="1" ht="25.5" customFormat="1" customHeight="1" s="146">
      <c r="A59" s="201" t="n">
        <v>31</v>
      </c>
      <c r="B59" s="132" t="inlineStr">
        <is>
          <t>25.2.02.06-0001</t>
        </is>
      </c>
      <c r="C59" s="200" t="inlineStr">
        <is>
          <t>Ограничитель грузов, тип 2, окрашенный // Ограничитель ОГК-5,0-13</t>
        </is>
      </c>
      <c r="D59" s="201" t="inlineStr">
        <is>
          <t>шт</t>
        </is>
      </c>
      <c r="E59" s="244" t="n">
        <v>50</v>
      </c>
      <c r="F59" s="219" t="n">
        <v>290.15</v>
      </c>
      <c r="G59" s="85">
        <f>ROUND(F59*E59,2)</f>
        <v/>
      </c>
      <c r="H59" s="213">
        <f>G59/$G$96</f>
        <v/>
      </c>
      <c r="I59" s="85">
        <f>ROUND(F59*Прил.10!$D$12,2)</f>
        <v/>
      </c>
      <c r="J59" s="85">
        <f>ROUND(I59*E59,2)</f>
        <v/>
      </c>
    </row>
    <row r="60" hidden="1" outlineLevel="1" ht="14.25" customFormat="1" customHeight="1" s="146">
      <c r="A60" s="201" t="n">
        <v>32</v>
      </c>
      <c r="B60" s="132" t="inlineStr">
        <is>
          <t>20.1.02.21-0043</t>
        </is>
      </c>
      <c r="C60" s="200" t="inlineStr">
        <is>
          <t>Узел крепления КГП-7-3</t>
        </is>
      </c>
      <c r="D60" s="201" t="inlineStr">
        <is>
          <t>шт</t>
        </is>
      </c>
      <c r="E60" s="244" t="n">
        <v>465</v>
      </c>
      <c r="F60" s="219" t="n">
        <v>25.55</v>
      </c>
      <c r="G60" s="85">
        <f>ROUND(F60*E60,2)</f>
        <v/>
      </c>
      <c r="H60" s="213">
        <f>G60/$G$96</f>
        <v/>
      </c>
      <c r="I60" s="85">
        <f>ROUND(F60*Прил.10!$D$12,2)</f>
        <v/>
      </c>
      <c r="J60" s="85">
        <f>ROUND(I60*E60,2)</f>
        <v/>
      </c>
    </row>
    <row r="61" hidden="1" outlineLevel="1" ht="25.5" customFormat="1" customHeight="1" s="146">
      <c r="A61" s="201" t="n">
        <v>33</v>
      </c>
      <c r="B61" s="132" t="inlineStr">
        <is>
          <t>22.2.02.04-0008</t>
        </is>
      </c>
      <c r="C61" s="200" t="inlineStr">
        <is>
          <t>Звено промежуточное монтажное ПТМ-12-2</t>
        </is>
      </c>
      <c r="D61" s="201" t="inlineStr">
        <is>
          <t>шт</t>
        </is>
      </c>
      <c r="E61" s="244" t="n">
        <v>150</v>
      </c>
      <c r="F61" s="219" t="n">
        <v>57.83</v>
      </c>
      <c r="G61" s="85">
        <f>ROUND(F61*E61,2)</f>
        <v/>
      </c>
      <c r="H61" s="213">
        <f>G61/$G$96</f>
        <v/>
      </c>
      <c r="I61" s="85">
        <f>ROUND(F61*Прил.10!$D$12,2)</f>
        <v/>
      </c>
      <c r="J61" s="85">
        <f>ROUND(I61*E61,2)</f>
        <v/>
      </c>
    </row>
    <row r="62" hidden="1" outlineLevel="1" ht="14.25" customFormat="1" customHeight="1" s="146">
      <c r="A62" s="201" t="n">
        <v>34</v>
      </c>
      <c r="B62" s="132" t="inlineStr">
        <is>
          <t>25.2.01.07-0001</t>
        </is>
      </c>
      <c r="C62" s="200" t="inlineStr">
        <is>
          <t>Изоляторы // Изоляторы  ПС120Б</t>
        </is>
      </c>
      <c r="D62" s="201" t="inlineStr">
        <is>
          <t>шт</t>
        </is>
      </c>
      <c r="E62" s="244" t="n">
        <v>166</v>
      </c>
      <c r="F62" s="219" t="n">
        <v>51.5</v>
      </c>
      <c r="G62" s="85">
        <f>ROUND(F62*E62,2)</f>
        <v/>
      </c>
      <c r="H62" s="213">
        <f>G62/$G$96</f>
        <v/>
      </c>
      <c r="I62" s="85">
        <f>ROUND(F62*Прил.10!$D$12,2)</f>
        <v/>
      </c>
      <c r="J62" s="85">
        <f>ROUND(I62*E62,2)</f>
        <v/>
      </c>
    </row>
    <row r="63" hidden="1" outlineLevel="1" ht="14.25" customFormat="1" customHeight="1" s="146">
      <c r="A63" s="201" t="n">
        <v>35</v>
      </c>
      <c r="B63" s="132" t="inlineStr">
        <is>
          <t>01.7.15.10-0032</t>
        </is>
      </c>
      <c r="C63" s="200" t="inlineStr">
        <is>
          <t>Скобы СК-12-1А</t>
        </is>
      </c>
      <c r="D63" s="201" t="inlineStr">
        <is>
          <t>шт</t>
        </is>
      </c>
      <c r="E63" s="244" t="n">
        <v>150</v>
      </c>
      <c r="F63" s="219" t="n">
        <v>54.7</v>
      </c>
      <c r="G63" s="85">
        <f>ROUND(F63*E63,2)</f>
        <v/>
      </c>
      <c r="H63" s="213">
        <f>G63/$G$96</f>
        <v/>
      </c>
      <c r="I63" s="85">
        <f>ROUND(F63*Прил.10!$D$12,2)</f>
        <v/>
      </c>
      <c r="J63" s="85">
        <f>ROUND(I63*E63,2)</f>
        <v/>
      </c>
    </row>
    <row r="64" hidden="1" outlineLevel="1" ht="25.5" customFormat="1" customHeight="1" s="146">
      <c r="A64" s="201" t="n">
        <v>36</v>
      </c>
      <c r="B64" s="132" t="inlineStr">
        <is>
          <t>20.1.01.05-0004</t>
        </is>
      </c>
      <c r="C64" s="200" t="inlineStr">
        <is>
          <t>Зажим заземляющий прессуемый ЗПС-70-3Г</t>
        </is>
      </c>
      <c r="D64" s="201" t="inlineStr">
        <is>
          <t>шт</t>
        </is>
      </c>
      <c r="E64" s="244" t="n">
        <v>930</v>
      </c>
      <c r="F64" s="219" t="n">
        <v>8.779999999999999</v>
      </c>
      <c r="G64" s="85">
        <f>ROUND(F64*E64,2)</f>
        <v/>
      </c>
      <c r="H64" s="213">
        <f>G64/$G$96</f>
        <v/>
      </c>
      <c r="I64" s="85">
        <f>ROUND(F64*Прил.10!$D$12,2)</f>
        <v/>
      </c>
      <c r="J64" s="85">
        <f>ROUND(I64*E64,2)</f>
        <v/>
      </c>
    </row>
    <row r="65" hidden="1" outlineLevel="1" ht="14.25" customFormat="1" customHeight="1" s="146">
      <c r="A65" s="201" t="n">
        <v>37</v>
      </c>
      <c r="B65" s="132" t="inlineStr">
        <is>
          <t>01.7.15.10-0002</t>
        </is>
      </c>
      <c r="C65" s="200" t="inlineStr">
        <is>
          <t>Скобы длинные СКД-12-1</t>
        </is>
      </c>
      <c r="D65" s="201" t="inlineStr">
        <is>
          <t>шт</t>
        </is>
      </c>
      <c r="E65" s="244" t="n">
        <v>150</v>
      </c>
      <c r="F65" s="219" t="n">
        <v>52.04</v>
      </c>
      <c r="G65" s="85">
        <f>ROUND(F65*E65,2)</f>
        <v/>
      </c>
      <c r="H65" s="213">
        <f>G65/$G$96</f>
        <v/>
      </c>
      <c r="I65" s="85">
        <f>ROUND(F65*Прил.10!$D$12,2)</f>
        <v/>
      </c>
      <c r="J65" s="85">
        <f>ROUND(I65*E65,2)</f>
        <v/>
      </c>
    </row>
    <row r="66" hidden="1" outlineLevel="1" ht="63.75" customFormat="1" customHeight="1" s="146">
      <c r="A66" s="201" t="n">
        <v>38</v>
      </c>
      <c r="B66" s="132" t="inlineStr">
        <is>
          <t>22.2.02.08-1012</t>
        </is>
      </c>
      <c r="C66" s="200" t="inlineStr">
        <is>
          <t>Устройство стальное для установки оптических муфт и размещения технологических запасов оптических кабелей на опорах, с прогонами, размеры 900х800х130 мм</t>
        </is>
      </c>
      <c r="D66" s="201" t="inlineStr">
        <is>
          <t>компл</t>
        </is>
      </c>
      <c r="E66" s="244" t="n">
        <v>33</v>
      </c>
      <c r="F66" s="219" t="n">
        <v>204.87</v>
      </c>
      <c r="G66" s="85">
        <f>ROUND(F66*E66,2)</f>
        <v/>
      </c>
      <c r="H66" s="213">
        <f>G66/$G$96</f>
        <v/>
      </c>
      <c r="I66" s="85">
        <f>ROUND(F66*Прил.10!$D$12,2)</f>
        <v/>
      </c>
      <c r="J66" s="85">
        <f>ROUND(I66*E66,2)</f>
        <v/>
      </c>
    </row>
    <row r="67" hidden="1" outlineLevel="1" ht="14.25" customFormat="1" customHeight="1" s="146">
      <c r="A67" s="201" t="n">
        <v>39</v>
      </c>
      <c r="B67" s="132" t="inlineStr">
        <is>
          <t>07.2.07.13-0201</t>
        </is>
      </c>
      <c r="C67" s="200" t="inlineStr">
        <is>
          <t>Стяжки винтовые</t>
        </is>
      </c>
      <c r="D67" s="201" t="inlineStr">
        <is>
          <t>шт</t>
        </is>
      </c>
      <c r="E67" s="244" t="n">
        <v>294.14</v>
      </c>
      <c r="F67" s="219" t="n">
        <v>22.8</v>
      </c>
      <c r="G67" s="85">
        <f>ROUND(F67*E67,2)</f>
        <v/>
      </c>
      <c r="H67" s="213">
        <f>G67/$G$96</f>
        <v/>
      </c>
      <c r="I67" s="85">
        <f>ROUND(F67*Прил.10!$D$12,2)</f>
        <v/>
      </c>
      <c r="J67" s="85">
        <f>ROUND(I67*E67,2)</f>
        <v/>
      </c>
    </row>
    <row r="68" hidden="1" outlineLevel="1" ht="14.25" customFormat="1" customHeight="1" s="146">
      <c r="A68" s="201" t="n">
        <v>40</v>
      </c>
      <c r="B68" s="132" t="inlineStr">
        <is>
          <t>22.2.02.23-0011</t>
        </is>
      </c>
      <c r="C68" s="200" t="inlineStr">
        <is>
          <t>Глухари</t>
        </is>
      </c>
      <c r="D68" s="201" t="inlineStr">
        <is>
          <t>100 шт</t>
        </is>
      </c>
      <c r="E68" s="244" t="n">
        <v>37.20871</v>
      </c>
      <c r="F68" s="219" t="n">
        <v>164</v>
      </c>
      <c r="G68" s="85">
        <f>ROUND(F68*E68,2)</f>
        <v/>
      </c>
      <c r="H68" s="213">
        <f>G68/$G$96</f>
        <v/>
      </c>
      <c r="I68" s="85">
        <f>ROUND(F68*Прил.10!$D$12,2)</f>
        <v/>
      </c>
      <c r="J68" s="85">
        <f>ROUND(I68*E68,2)</f>
        <v/>
      </c>
    </row>
    <row r="69" hidden="1" outlineLevel="1" ht="14.25" customFormat="1" customHeight="1" s="146">
      <c r="A69" s="201" t="n">
        <v>41</v>
      </c>
      <c r="B69" s="132" t="inlineStr">
        <is>
          <t>20.1.02.14-1014</t>
        </is>
      </c>
      <c r="C69" s="200" t="inlineStr">
        <is>
          <t>Серьга СР-7-16</t>
        </is>
      </c>
      <c r="D69" s="201" t="inlineStr">
        <is>
          <t>шт</t>
        </is>
      </c>
      <c r="E69" s="244" t="n">
        <v>599</v>
      </c>
      <c r="F69" s="219" t="n">
        <v>9.359999999999999</v>
      </c>
      <c r="G69" s="85">
        <f>ROUND(F69*E69,2)</f>
        <v/>
      </c>
      <c r="H69" s="213">
        <f>G69/$G$96</f>
        <v/>
      </c>
      <c r="I69" s="85">
        <f>ROUND(F69*Прил.10!$D$12,2)</f>
        <v/>
      </c>
      <c r="J69" s="85">
        <f>ROUND(I69*E69,2)</f>
        <v/>
      </c>
    </row>
    <row r="70" hidden="1" outlineLevel="1" ht="25.5" customFormat="1" customHeight="1" s="146">
      <c r="A70" s="201" t="n">
        <v>42</v>
      </c>
      <c r="B70" s="132" t="inlineStr">
        <is>
          <t>21.2.01.02-0086</t>
        </is>
      </c>
      <c r="C70" s="200" t="inlineStr">
        <is>
          <t>Провод неизолированный для воздушных линий электропередачи АС 70/11</t>
        </is>
      </c>
      <c r="D70" s="201" t="inlineStr">
        <is>
          <t>т</t>
        </is>
      </c>
      <c r="E70" s="244" t="n">
        <v>0.1491</v>
      </c>
      <c r="F70" s="219" t="n">
        <v>31957.37</v>
      </c>
      <c r="G70" s="85">
        <f>ROUND(F70*E70,2)</f>
        <v/>
      </c>
      <c r="H70" s="213">
        <f>G70/$G$96</f>
        <v/>
      </c>
      <c r="I70" s="85">
        <f>ROUND(F70*Прил.10!$D$12,2)</f>
        <v/>
      </c>
      <c r="J70" s="85">
        <f>ROUND(I70*E70,2)</f>
        <v/>
      </c>
    </row>
    <row r="71" hidden="1" outlineLevel="1" ht="25.5" customFormat="1" customHeight="1" s="146">
      <c r="A71" s="201" t="n">
        <v>43</v>
      </c>
      <c r="B71" s="132" t="inlineStr">
        <is>
          <t>999-9950</t>
        </is>
      </c>
      <c r="C71" s="200" t="inlineStr">
        <is>
          <t>Вспомогательные ненормируемые ресурсы (2% от Оплаты труда рабочих)</t>
        </is>
      </c>
      <c r="D71" s="201" t="inlineStr">
        <is>
          <t>руб</t>
        </is>
      </c>
      <c r="E71" s="244" t="n">
        <v>4089.162</v>
      </c>
      <c r="F71" s="219" t="n">
        <v>1</v>
      </c>
      <c r="G71" s="85">
        <f>ROUND(F71*E71,2)</f>
        <v/>
      </c>
      <c r="H71" s="213">
        <f>G71/$G$96</f>
        <v/>
      </c>
      <c r="I71" s="85">
        <f>ROUND(F71*Прил.10!$D$12,2)</f>
        <v/>
      </c>
      <c r="J71" s="85">
        <f>ROUND(I71*E71,2)</f>
        <v/>
      </c>
    </row>
    <row r="72" hidden="1" outlineLevel="1" ht="25.5" customFormat="1" customHeight="1" s="146">
      <c r="A72" s="201" t="n">
        <v>44</v>
      </c>
      <c r="B72" s="132" t="inlineStr">
        <is>
          <t>20.1.01.05-0024</t>
        </is>
      </c>
      <c r="C72" s="200" t="inlineStr">
        <is>
          <t>Зажим заземляющий прессуемый ЗПС-70-3</t>
        </is>
      </c>
      <c r="D72" s="201" t="inlineStr">
        <is>
          <t>шт</t>
        </is>
      </c>
      <c r="E72" s="244" t="n">
        <v>138</v>
      </c>
      <c r="F72" s="219" t="n">
        <v>28.43</v>
      </c>
      <c r="G72" s="85">
        <f>ROUND(F72*E72,2)</f>
        <v/>
      </c>
      <c r="H72" s="213">
        <f>G72/$G$96</f>
        <v/>
      </c>
      <c r="I72" s="85">
        <f>ROUND(F72*Прил.10!$D$12,2)</f>
        <v/>
      </c>
      <c r="J72" s="85">
        <f>ROUND(I72*E72,2)</f>
        <v/>
      </c>
    </row>
    <row r="73" hidden="1" outlineLevel="1" ht="89.45" customFormat="1" customHeight="1" s="146">
      <c r="A73" s="201" t="n">
        <v>45</v>
      </c>
      <c r="B73" s="132" t="inlineStr">
        <is>
          <t>22.2.02.20-1020</t>
        </is>
      </c>
      <c r="C73" s="200" t="inlineStr">
        <is>
          <t>Хомут стальной для крепления защитного кожуха оптических муфт, устройств подвески муфт, кронштейнов для установки муфт, каркасов для намотки запасов подвесных оптических кабелей к опоре диаметром от 150 до 400 мм, длина до 1004 мм</t>
        </is>
      </c>
      <c r="D73" s="201" t="inlineStr">
        <is>
          <t>компл</t>
        </is>
      </c>
      <c r="E73" s="244" t="n">
        <v>66</v>
      </c>
      <c r="F73" s="219" t="n">
        <v>54.59</v>
      </c>
      <c r="G73" s="85">
        <f>ROUND(F73*E73,2)</f>
        <v/>
      </c>
      <c r="H73" s="213">
        <f>G73/$G$96</f>
        <v/>
      </c>
      <c r="I73" s="85">
        <f>ROUND(F73*Прил.10!$D$12,2)</f>
        <v/>
      </c>
      <c r="J73" s="85">
        <f>ROUND(I73*E73,2)</f>
        <v/>
      </c>
    </row>
    <row r="74" hidden="1" outlineLevel="1" ht="25.5" customFormat="1" customHeight="1" s="146">
      <c r="A74" s="201" t="n">
        <v>46</v>
      </c>
      <c r="B74" s="132" t="inlineStr">
        <is>
          <t>22.2.01.05-0041</t>
        </is>
      </c>
      <c r="C74" s="200" t="inlineStr">
        <is>
          <t>Изолятор опорный ИОР-35-3,75 УХЛ2 // Изоляторы опорные ОСК-8-35</t>
        </is>
      </c>
      <c r="D74" s="201" t="inlineStr">
        <is>
          <t>100 шт</t>
        </is>
      </c>
      <c r="E74" s="244" t="n">
        <v>0.07000000000000001</v>
      </c>
      <c r="F74" s="219" t="n">
        <v>49852.05</v>
      </c>
      <c r="G74" s="85">
        <f>ROUND(F74*E74,2)</f>
        <v/>
      </c>
      <c r="H74" s="213">
        <f>G74/$G$96</f>
        <v/>
      </c>
      <c r="I74" s="85">
        <f>ROUND(F74*Прил.10!$D$12,2)</f>
        <v/>
      </c>
      <c r="J74" s="85">
        <f>ROUND(I74*E74,2)</f>
        <v/>
      </c>
    </row>
    <row r="75" hidden="1" outlineLevel="1" ht="14.25" customFormat="1" customHeight="1" s="146">
      <c r="A75" s="201" t="n">
        <v>47</v>
      </c>
      <c r="B75" s="132" t="inlineStr">
        <is>
          <t>01.7.15.03-0042</t>
        </is>
      </c>
      <c r="C75" s="200" t="inlineStr">
        <is>
          <t>Болты с гайками и шайбами строительные</t>
        </is>
      </c>
      <c r="D75" s="201" t="inlineStr">
        <is>
          <t>кг</t>
        </is>
      </c>
      <c r="E75" s="244" t="n">
        <v>345.609</v>
      </c>
      <c r="F75" s="219" t="n">
        <v>9.039999999999999</v>
      </c>
      <c r="G75" s="85">
        <f>ROUND(F75*E75,2)</f>
        <v/>
      </c>
      <c r="H75" s="213">
        <f>G75/$G$96</f>
        <v/>
      </c>
      <c r="I75" s="85">
        <f>ROUND(F75*Прил.10!$D$12,2)</f>
        <v/>
      </c>
      <c r="J75" s="85">
        <f>ROUND(I75*E75,2)</f>
        <v/>
      </c>
    </row>
    <row r="76" hidden="1" outlineLevel="1" ht="14.25" customFormat="1" customHeight="1" s="146">
      <c r="A76" s="201" t="n">
        <v>48</v>
      </c>
      <c r="B76" s="132" t="inlineStr">
        <is>
          <t>14.4.02.09-0001</t>
        </is>
      </c>
      <c r="C76" s="200" t="inlineStr">
        <is>
          <t>Краска</t>
        </is>
      </c>
      <c r="D76" s="201" t="inlineStr">
        <is>
          <t>кг</t>
        </is>
      </c>
      <c r="E76" s="244" t="n">
        <v>84.7</v>
      </c>
      <c r="F76" s="219" t="n">
        <v>28.6</v>
      </c>
      <c r="G76" s="85">
        <f>ROUND(F76*E76,2)</f>
        <v/>
      </c>
      <c r="H76" s="213">
        <f>G76/$G$96</f>
        <v/>
      </c>
      <c r="I76" s="85">
        <f>ROUND(F76*Прил.10!$D$12,2)</f>
        <v/>
      </c>
      <c r="J76" s="85">
        <f>ROUND(I76*E76,2)</f>
        <v/>
      </c>
    </row>
    <row r="77" hidden="1" outlineLevel="1" ht="38.25" customFormat="1" customHeight="1" s="146">
      <c r="A77" s="201" t="n">
        <v>49</v>
      </c>
      <c r="B77" s="132" t="inlineStr">
        <is>
          <t>08.3.07.01-0076</t>
        </is>
      </c>
      <c r="C77" s="200" t="inlineStr">
        <is>
          <t>Прокат полосовой, горячекатаный, марка стали Ст3сп, ширина 50-200 мм, толщина 4-5 мм</t>
        </is>
      </c>
      <c r="D77" s="201" t="inlineStr">
        <is>
          <t>т</t>
        </is>
      </c>
      <c r="E77" s="244" t="n">
        <v>0.363</v>
      </c>
      <c r="F77" s="219" t="n">
        <v>5000</v>
      </c>
      <c r="G77" s="85">
        <f>ROUND(F77*E77,2)</f>
        <v/>
      </c>
      <c r="H77" s="213">
        <f>G77/$G$96</f>
        <v/>
      </c>
      <c r="I77" s="85">
        <f>ROUND(F77*Прил.10!$D$12,2)</f>
        <v/>
      </c>
      <c r="J77" s="85">
        <f>ROUND(I77*E77,2)</f>
        <v/>
      </c>
    </row>
    <row r="78" hidden="1" outlineLevel="1" ht="14.25" customFormat="1" customHeight="1" s="146">
      <c r="A78" s="201" t="n">
        <v>50</v>
      </c>
      <c r="B78" s="132" t="inlineStr">
        <is>
          <t>20.1.02.13-0003</t>
        </is>
      </c>
      <c r="C78" s="200" t="inlineStr">
        <is>
          <t>Рог разрядный: верхний РРВ-135</t>
        </is>
      </c>
      <c r="D78" s="201" t="inlineStr">
        <is>
          <t>шт</t>
        </is>
      </c>
      <c r="E78" s="244" t="n">
        <v>33</v>
      </c>
      <c r="F78" s="219" t="n">
        <v>54.24</v>
      </c>
      <c r="G78" s="85">
        <f>ROUND(F78*E78,2)</f>
        <v/>
      </c>
      <c r="H78" s="213">
        <f>G78/$G$96</f>
        <v/>
      </c>
      <c r="I78" s="85">
        <f>ROUND(F78*Прил.10!$D$12,2)</f>
        <v/>
      </c>
      <c r="J78" s="85">
        <f>ROUND(I78*E78,2)</f>
        <v/>
      </c>
    </row>
    <row r="79" hidden="1" outlineLevel="1" ht="14.25" customFormat="1" customHeight="1" s="146">
      <c r="A79" s="201" t="n">
        <v>51</v>
      </c>
      <c r="B79" s="132" t="inlineStr">
        <is>
          <t>20.1.02.13-0015</t>
        </is>
      </c>
      <c r="C79" s="200" t="inlineStr">
        <is>
          <t>Рог разрядный: нижний РРН-88</t>
        </is>
      </c>
      <c r="D79" s="201" t="inlineStr">
        <is>
          <t>шт</t>
        </is>
      </c>
      <c r="E79" s="244" t="n">
        <v>33</v>
      </c>
      <c r="F79" s="219" t="n">
        <v>34.52</v>
      </c>
      <c r="G79" s="85">
        <f>ROUND(F79*E79,2)</f>
        <v/>
      </c>
      <c r="H79" s="213">
        <f>G79/$G$96</f>
        <v/>
      </c>
      <c r="I79" s="85">
        <f>ROUND(F79*Прил.10!$D$12,2)</f>
        <v/>
      </c>
      <c r="J79" s="85">
        <f>ROUND(I79*E79,2)</f>
        <v/>
      </c>
    </row>
    <row r="80" hidden="1" outlineLevel="1" ht="25.5" customFormat="1" customHeight="1" s="146">
      <c r="A80" s="201" t="n">
        <v>52</v>
      </c>
      <c r="B80" s="132" t="inlineStr">
        <is>
          <t>22.2.02.04-0045</t>
        </is>
      </c>
      <c r="C80" s="200" t="inlineStr">
        <is>
          <t>Звено промежуточное трехлапчатое ПРТ-12-1</t>
        </is>
      </c>
      <c r="D80" s="201" t="inlineStr">
        <is>
          <t>шт</t>
        </is>
      </c>
      <c r="E80" s="244" t="n">
        <v>16</v>
      </c>
      <c r="F80" s="219" t="n">
        <v>65.58</v>
      </c>
      <c r="G80" s="85">
        <f>ROUND(F80*E80,2)</f>
        <v/>
      </c>
      <c r="H80" s="213">
        <f>G80/$G$96</f>
        <v/>
      </c>
      <c r="I80" s="85">
        <f>ROUND(F80*Прил.10!$D$12,2)</f>
        <v/>
      </c>
      <c r="J80" s="85">
        <f>ROUND(I80*E80,2)</f>
        <v/>
      </c>
    </row>
    <row r="81" hidden="1" outlineLevel="1" ht="14.25" customFormat="1" customHeight="1" s="146">
      <c r="A81" s="201" t="n">
        <v>53</v>
      </c>
      <c r="B81" s="132" t="inlineStr">
        <is>
          <t>20.1.02.21-0040</t>
        </is>
      </c>
      <c r="C81" s="200" t="inlineStr">
        <is>
          <t>Узел крепления КГП-7-2В</t>
        </is>
      </c>
      <c r="D81" s="201" t="inlineStr">
        <is>
          <t>шт</t>
        </is>
      </c>
      <c r="E81" s="244" t="n">
        <v>19</v>
      </c>
      <c r="F81" s="219" t="n">
        <v>52.21</v>
      </c>
      <c r="G81" s="85">
        <f>ROUND(F81*E81,2)</f>
        <v/>
      </c>
      <c r="H81" s="213">
        <f>G81/$G$96</f>
        <v/>
      </c>
      <c r="I81" s="85">
        <f>ROUND(F81*Прил.10!$D$12,2)</f>
        <v/>
      </c>
      <c r="J81" s="85">
        <f>ROUND(I81*E81,2)</f>
        <v/>
      </c>
    </row>
    <row r="82" hidden="1" outlineLevel="1" ht="25.5" customFormat="1" customHeight="1" s="146">
      <c r="A82" s="201" t="n">
        <v>54</v>
      </c>
      <c r="B82" s="132" t="inlineStr">
        <is>
          <t>20.1.01.11-0004</t>
        </is>
      </c>
      <c r="C82" s="200" t="inlineStr">
        <is>
          <t>Зажим: плашечный соединительный ПА 2-2</t>
        </is>
      </c>
      <c r="D82" s="201" t="inlineStr">
        <is>
          <t>шт</t>
        </is>
      </c>
      <c r="E82" s="244" t="n">
        <v>136</v>
      </c>
      <c r="F82" s="219" t="n">
        <v>6.78</v>
      </c>
      <c r="G82" s="85">
        <f>ROUND(F82*E82,2)</f>
        <v/>
      </c>
      <c r="H82" s="213">
        <f>G82/$G$96</f>
        <v/>
      </c>
      <c r="I82" s="85">
        <f>ROUND(F82*Прил.10!$D$12,2)</f>
        <v/>
      </c>
      <c r="J82" s="85">
        <f>ROUND(I82*E82,2)</f>
        <v/>
      </c>
    </row>
    <row r="83" hidden="1" outlineLevel="1" ht="14.25" customFormat="1" customHeight="1" s="146">
      <c r="A83" s="201" t="n">
        <v>55</v>
      </c>
      <c r="B83" s="132" t="inlineStr">
        <is>
          <t>20.1.02.14-1006</t>
        </is>
      </c>
      <c r="C83" s="200" t="inlineStr">
        <is>
          <t>Серьга СР-12-16</t>
        </is>
      </c>
      <c r="D83" s="201" t="inlineStr">
        <is>
          <t>шт</t>
        </is>
      </c>
      <c r="E83" s="244" t="n">
        <v>18</v>
      </c>
      <c r="F83" s="219" t="n">
        <v>13.29</v>
      </c>
      <c r="G83" s="85">
        <f>ROUND(F83*E83,2)</f>
        <v/>
      </c>
      <c r="H83" s="213">
        <f>G83/$G$96</f>
        <v/>
      </c>
      <c r="I83" s="85">
        <f>ROUND(F83*Прил.10!$D$12,2)</f>
        <v/>
      </c>
      <c r="J83" s="85">
        <f>ROUND(I83*E83,2)</f>
        <v/>
      </c>
    </row>
    <row r="84" hidden="1" outlineLevel="1" ht="14.25" customFormat="1" customHeight="1" s="146">
      <c r="A84" s="201" t="n">
        <v>56</v>
      </c>
      <c r="B84" s="132" t="inlineStr">
        <is>
          <t>01.7.07.29-0241</t>
        </is>
      </c>
      <c r="C84" s="200" t="inlineStr">
        <is>
          <t>Хомутик</t>
        </is>
      </c>
      <c r="D84" s="201" t="inlineStr">
        <is>
          <t>10 шт</t>
        </is>
      </c>
      <c r="E84" s="244" t="n">
        <v>2.9414</v>
      </c>
      <c r="F84" s="219" t="n">
        <v>72</v>
      </c>
      <c r="G84" s="85">
        <f>ROUND(F84*E84,2)</f>
        <v/>
      </c>
      <c r="H84" s="213">
        <f>G84/$G$96</f>
        <v/>
      </c>
      <c r="I84" s="85">
        <f>ROUND(F84*Прил.10!$D$12,2)</f>
        <v/>
      </c>
      <c r="J84" s="85">
        <f>ROUND(I84*E84,2)</f>
        <v/>
      </c>
    </row>
    <row r="85" hidden="1" outlineLevel="1" ht="25.5" customFormat="1" customHeight="1" s="146">
      <c r="A85" s="201" t="n">
        <v>57</v>
      </c>
      <c r="B85" s="132" t="inlineStr">
        <is>
          <t>01.7.06.14-0038</t>
        </is>
      </c>
      <c r="C85" s="200" t="inlineStr">
        <is>
          <t>Лента смоляная на основе хлопкополиэфирной ткани, толщина 0,8 мм</t>
        </is>
      </c>
      <c r="D85" s="201" t="inlineStr">
        <is>
          <t>кг</t>
        </is>
      </c>
      <c r="E85" s="244" t="n">
        <v>2.9414</v>
      </c>
      <c r="F85" s="219" t="n">
        <v>68</v>
      </c>
      <c r="G85" s="85">
        <f>ROUND(F85*E85,2)</f>
        <v/>
      </c>
      <c r="H85" s="213">
        <f>G85/$G$96</f>
        <v/>
      </c>
      <c r="I85" s="85">
        <f>ROUND(F85*Прил.10!$D$12,2)</f>
        <v/>
      </c>
      <c r="J85" s="85">
        <f>ROUND(I85*E85,2)</f>
        <v/>
      </c>
    </row>
    <row r="86" hidden="1" outlineLevel="1" ht="14.25" customFormat="1" customHeight="1" s="146">
      <c r="A86" s="201" t="n">
        <v>58</v>
      </c>
      <c r="B86" s="132" t="inlineStr">
        <is>
          <t>01.7.15.10-0001</t>
        </is>
      </c>
      <c r="C86" s="200" t="inlineStr">
        <is>
          <t>Скобы длинные СКД-10-1</t>
        </is>
      </c>
      <c r="D86" s="201" t="inlineStr">
        <is>
          <t>шт</t>
        </is>
      </c>
      <c r="E86" s="244" t="n">
        <v>2</v>
      </c>
      <c r="F86" s="219" t="n">
        <v>45.18</v>
      </c>
      <c r="G86" s="85">
        <f>ROUND(F86*E86,2)</f>
        <v/>
      </c>
      <c r="H86" s="213">
        <f>G86/$G$96</f>
        <v/>
      </c>
      <c r="I86" s="85">
        <f>ROUND(F86*Прил.10!$D$12,2)</f>
        <v/>
      </c>
      <c r="J86" s="85">
        <f>ROUND(I86*E86,2)</f>
        <v/>
      </c>
    </row>
    <row r="87" hidden="1" outlineLevel="1" ht="25.5" customFormat="1" customHeight="1" s="146">
      <c r="A87" s="201" t="n">
        <v>59</v>
      </c>
      <c r="B87" s="132" t="inlineStr">
        <is>
          <t>22.2.02.04-0046</t>
        </is>
      </c>
      <c r="C87" s="200" t="inlineStr">
        <is>
          <t>Звено промежуточное трехлапчатое ПРТ-12/7-2</t>
        </is>
      </c>
      <c r="D87" s="201" t="inlineStr">
        <is>
          <t>шт</t>
        </is>
      </c>
      <c r="E87" s="244" t="n">
        <v>2</v>
      </c>
      <c r="F87" s="219" t="n">
        <v>42.24</v>
      </c>
      <c r="G87" s="85">
        <f>ROUND(F87*E87,2)</f>
        <v/>
      </c>
      <c r="H87" s="213">
        <f>G87/$G$96</f>
        <v/>
      </c>
      <c r="I87" s="85">
        <f>ROUND(F87*Прил.10!$D$12,2)</f>
        <v/>
      </c>
      <c r="J87" s="85">
        <f>ROUND(I87*E87,2)</f>
        <v/>
      </c>
    </row>
    <row r="88" hidden="1" outlineLevel="1" ht="25.5" customFormat="1" customHeight="1" s="146">
      <c r="A88" s="201" t="n">
        <v>60</v>
      </c>
      <c r="B88" s="132" t="inlineStr">
        <is>
          <t>01.3.01.06-0050</t>
        </is>
      </c>
      <c r="C88" s="200" t="inlineStr">
        <is>
          <t>Смазка универсальная тугоплавкая УТ (консталин жировой)</t>
        </is>
      </c>
      <c r="D88" s="201" t="inlineStr">
        <is>
          <t>т</t>
        </is>
      </c>
      <c r="E88" s="244" t="n">
        <v>0.00418</v>
      </c>
      <c r="F88" s="219" t="n">
        <v>17500</v>
      </c>
      <c r="G88" s="85">
        <f>ROUND(F88*E88,2)</f>
        <v/>
      </c>
      <c r="H88" s="213">
        <f>G88/$G$96</f>
        <v/>
      </c>
      <c r="I88" s="85">
        <f>ROUND(F88*Прил.10!$D$12,2)</f>
        <v/>
      </c>
      <c r="J88" s="85">
        <f>ROUND(I88*E88,2)</f>
        <v/>
      </c>
    </row>
    <row r="89" hidden="1" outlineLevel="1" ht="25.5" customFormat="1" customHeight="1" s="146">
      <c r="A89" s="201" t="n">
        <v>61</v>
      </c>
      <c r="B89" s="132" t="inlineStr">
        <is>
          <t>01.7.11.07-0034</t>
        </is>
      </c>
      <c r="C89" s="200" t="inlineStr">
        <is>
          <t>Электроды сварочные Э42А, диаметр 4 мм</t>
        </is>
      </c>
      <c r="D89" s="201" t="inlineStr">
        <is>
          <t>кг</t>
        </is>
      </c>
      <c r="E89" s="244" t="n">
        <v>6.05</v>
      </c>
      <c r="F89" s="219" t="n">
        <v>10.57</v>
      </c>
      <c r="G89" s="85">
        <f>ROUND(F89*E89,2)</f>
        <v/>
      </c>
      <c r="H89" s="213">
        <f>G89/$G$96</f>
        <v/>
      </c>
      <c r="I89" s="85">
        <f>ROUND(F89*Прил.10!$D$12,2)</f>
        <v/>
      </c>
      <c r="J89" s="85">
        <f>ROUND(I89*E89,2)</f>
        <v/>
      </c>
    </row>
    <row r="90" hidden="1" outlineLevel="1" ht="14.25" customFormat="1" customHeight="1" s="146">
      <c r="A90" s="201" t="n">
        <v>62</v>
      </c>
      <c r="B90" s="132" t="inlineStr">
        <is>
          <t>01.7.15.10-0031</t>
        </is>
      </c>
      <c r="C90" s="200" t="inlineStr">
        <is>
          <t>Скобы СК-7-1А</t>
        </is>
      </c>
      <c r="D90" s="201" t="inlineStr">
        <is>
          <t>шт</t>
        </is>
      </c>
      <c r="E90" s="244" t="n">
        <v>2</v>
      </c>
      <c r="F90" s="219" t="n">
        <v>28.07</v>
      </c>
      <c r="G90" s="85">
        <f>ROUND(F90*E90,2)</f>
        <v/>
      </c>
      <c r="H90" s="213">
        <f>G90/$G$96</f>
        <v/>
      </c>
      <c r="I90" s="85">
        <f>ROUND(F90*Прил.10!$D$12,2)</f>
        <v/>
      </c>
      <c r="J90" s="85">
        <f>ROUND(I90*E90,2)</f>
        <v/>
      </c>
    </row>
    <row r="91" hidden="1" outlineLevel="1" ht="14.25" customFormat="1" customHeight="1" s="146">
      <c r="A91" s="201" t="n">
        <v>63</v>
      </c>
      <c r="B91" s="132" t="inlineStr">
        <is>
          <t>20.1.01.12-0013</t>
        </is>
      </c>
      <c r="C91" s="200" t="inlineStr">
        <is>
          <t>Зажим поддерживающий глухой ПГН-2-6</t>
        </is>
      </c>
      <c r="D91" s="201" t="inlineStr">
        <is>
          <t>шт</t>
        </is>
      </c>
      <c r="E91" s="244" t="n">
        <v>2</v>
      </c>
      <c r="F91" s="219" t="n">
        <v>17.73</v>
      </c>
      <c r="G91" s="85">
        <f>ROUND(F91*E91,2)</f>
        <v/>
      </c>
      <c r="H91" s="213">
        <f>G91/$G$96</f>
        <v/>
      </c>
      <c r="I91" s="85">
        <f>ROUND(F91*Прил.10!$D$12,2)</f>
        <v/>
      </c>
      <c r="J91" s="85">
        <f>ROUND(I91*E91,2)</f>
        <v/>
      </c>
    </row>
    <row r="92" hidden="1" outlineLevel="1" ht="14.25" customFormat="1" customHeight="1" s="146">
      <c r="A92" s="201" t="n">
        <v>64</v>
      </c>
      <c r="B92" s="132" t="inlineStr">
        <is>
          <t>01.7.20.08-0031</t>
        </is>
      </c>
      <c r="C92" s="200" t="inlineStr">
        <is>
          <t>Бязь суровая</t>
        </is>
      </c>
      <c r="D92" s="201" t="inlineStr">
        <is>
          <t>10 м2</t>
        </is>
      </c>
      <c r="E92" s="244" t="n">
        <v>0.363</v>
      </c>
      <c r="F92" s="219" t="n">
        <v>79.09999999999999</v>
      </c>
      <c r="G92" s="85">
        <f>ROUND(F92*E92,2)</f>
        <v/>
      </c>
      <c r="H92" s="213">
        <f>G92/$G$96</f>
        <v/>
      </c>
      <c r="I92" s="85">
        <f>ROUND(F92*Прил.10!$D$12,2)</f>
        <v/>
      </c>
      <c r="J92" s="85">
        <f>ROUND(I92*E92,2)</f>
        <v/>
      </c>
    </row>
    <row r="93" hidden="1" outlineLevel="1" ht="25.5" customFormat="1" customHeight="1" s="146">
      <c r="A93" s="201" t="n">
        <v>65</v>
      </c>
      <c r="B93" s="132" t="inlineStr">
        <is>
          <t>01.3.01.07-0009</t>
        </is>
      </c>
      <c r="C93" s="200" t="inlineStr">
        <is>
          <t>Спирт этиловый ректификованный технический, сорт I</t>
        </is>
      </c>
      <c r="D93" s="201" t="inlineStr">
        <is>
          <t>кг</t>
        </is>
      </c>
      <c r="E93" s="244" t="n">
        <v>0.0429</v>
      </c>
      <c r="F93" s="219" t="n">
        <v>38.89</v>
      </c>
      <c r="G93" s="85">
        <f>ROUND(F93*E93,2)</f>
        <v/>
      </c>
      <c r="H93" s="213">
        <f>G93/$G$96</f>
        <v/>
      </c>
      <c r="I93" s="85">
        <f>ROUND(F93*Прил.10!$D$12,2)</f>
        <v/>
      </c>
      <c r="J93" s="85">
        <f>ROUND(I93*E93,2)</f>
        <v/>
      </c>
    </row>
    <row r="94" hidden="1" outlineLevel="1" ht="14.25" customFormat="1" customHeight="1" s="146">
      <c r="A94" s="201" t="n">
        <v>66</v>
      </c>
      <c r="B94" s="132" t="inlineStr">
        <is>
          <t>01.7.03.04-0001</t>
        </is>
      </c>
      <c r="C94" s="200" t="inlineStr">
        <is>
          <t>Электроэнергия</t>
        </is>
      </c>
      <c r="D94" s="201" t="inlineStr">
        <is>
          <t>кВт-ч</t>
        </is>
      </c>
      <c r="E94" s="244" t="n">
        <v>3.8478</v>
      </c>
      <c r="F94" s="219" t="n">
        <v>0.4</v>
      </c>
      <c r="G94" s="85">
        <f>ROUND(F94*E94,2)</f>
        <v/>
      </c>
      <c r="H94" s="213">
        <f>G94/$G$96</f>
        <v/>
      </c>
      <c r="I94" s="85">
        <f>ROUND(F94*Прил.10!$D$12,2)</f>
        <v/>
      </c>
      <c r="J94" s="85">
        <f>ROUND(I94*E94,2)</f>
        <v/>
      </c>
    </row>
    <row r="95" collapsed="1" customFormat="1" s="146">
      <c r="A95" s="201" t="n"/>
      <c r="B95" s="201" t="n"/>
      <c r="C95" s="200" t="inlineStr">
        <is>
          <t>Итого прочие материалы</t>
        </is>
      </c>
      <c r="D95" s="201" t="n"/>
      <c r="E95" s="202" t="n"/>
      <c r="F95" s="203" t="n"/>
      <c r="G95" s="85">
        <f>SUM(G49:G94)</f>
        <v/>
      </c>
      <c r="H95" s="213">
        <f>G95/G96</f>
        <v/>
      </c>
      <c r="I95" s="85" t="n"/>
      <c r="J95" s="85">
        <f>SUM(J49:J94)</f>
        <v/>
      </c>
      <c r="L95" s="249" t="n"/>
    </row>
    <row r="96" ht="14.25" customFormat="1" customHeight="1" s="146">
      <c r="A96" s="201" t="n"/>
      <c r="B96" s="201" t="n"/>
      <c r="C96" s="212" t="inlineStr">
        <is>
          <t>Итого по разделу «Материалы»</t>
        </is>
      </c>
      <c r="D96" s="201" t="n"/>
      <c r="E96" s="202" t="n"/>
      <c r="F96" s="203" t="n"/>
      <c r="G96" s="85">
        <f>G48+G95</f>
        <v/>
      </c>
      <c r="H96" s="213" t="n">
        <v>1</v>
      </c>
      <c r="I96" s="203" t="n"/>
      <c r="J96" s="85">
        <f>J48+J95</f>
        <v/>
      </c>
      <c r="K96" s="246" t="n"/>
    </row>
    <row r="97" ht="14.25" customFormat="1" customHeight="1" s="146">
      <c r="A97" s="201" t="n"/>
      <c r="B97" s="201" t="n"/>
      <c r="C97" s="200" t="inlineStr">
        <is>
          <t>ИТОГО ПО РМ</t>
        </is>
      </c>
      <c r="D97" s="201" t="n"/>
      <c r="E97" s="202" t="n"/>
      <c r="F97" s="203" t="n"/>
      <c r="G97" s="85">
        <f>G16+G32+G96</f>
        <v/>
      </c>
      <c r="H97" s="213" t="n"/>
      <c r="I97" s="203" t="n"/>
      <c r="J97" s="85">
        <f>J16+J32+J96</f>
        <v/>
      </c>
    </row>
    <row r="98" ht="14.25" customFormat="1" customHeight="1" s="146">
      <c r="A98" s="201" t="n"/>
      <c r="B98" s="201" t="n"/>
      <c r="C98" s="200" t="inlineStr">
        <is>
          <t>Накладные расходы</t>
        </is>
      </c>
      <c r="D98" s="201" t="inlineStr">
        <is>
          <t>%</t>
        </is>
      </c>
      <c r="E98" s="64">
        <f>ROUND(G98/(G16+G18),2)</f>
        <v/>
      </c>
      <c r="F98" s="203" t="n"/>
      <c r="G98" s="85" t="n">
        <v>213790.6</v>
      </c>
      <c r="H98" s="213" t="n"/>
      <c r="I98" s="203" t="n"/>
      <c r="J98" s="85">
        <f>ROUND(E98*(J16+J18),2)</f>
        <v/>
      </c>
      <c r="K98" s="65" t="n"/>
    </row>
    <row r="99" ht="14.25" customFormat="1" customHeight="1" s="146">
      <c r="A99" s="201" t="n"/>
      <c r="B99" s="201" t="n"/>
      <c r="C99" s="200" t="inlineStr">
        <is>
          <t>Сметная прибыль</t>
        </is>
      </c>
      <c r="D99" s="201" t="inlineStr">
        <is>
          <t>%</t>
        </is>
      </c>
      <c r="E99" s="64">
        <f>ROUND(G99/(G16+G18),2)</f>
        <v/>
      </c>
      <c r="F99" s="203" t="n"/>
      <c r="G99" s="85" t="n">
        <v>109331.09</v>
      </c>
      <c r="H99" s="213" t="n"/>
      <c r="I99" s="203" t="n"/>
      <c r="J99" s="85">
        <f>ROUND(E99*(J16+J18),2)</f>
        <v/>
      </c>
      <c r="K99" s="65" t="n"/>
    </row>
    <row r="100" ht="14.25" customFormat="1" customHeight="1" s="146">
      <c r="A100" s="201" t="n"/>
      <c r="B100" s="201" t="n"/>
      <c r="C100" s="200" t="inlineStr">
        <is>
          <t>Итого СМР (с НР и СП)</t>
        </is>
      </c>
      <c r="D100" s="201" t="n"/>
      <c r="E100" s="202" t="n"/>
      <c r="F100" s="203" t="n"/>
      <c r="G100" s="85">
        <f>G16+G32+G96+G98+G99</f>
        <v/>
      </c>
      <c r="H100" s="213" t="n"/>
      <c r="I100" s="203" t="n"/>
      <c r="J100" s="85">
        <f>J16+J32+J96+J98+J99</f>
        <v/>
      </c>
      <c r="L100" s="66" t="n"/>
    </row>
    <row r="101" ht="14.25" customFormat="1" customHeight="1" s="146">
      <c r="A101" s="201" t="n"/>
      <c r="B101" s="201" t="n"/>
      <c r="C101" s="200" t="inlineStr">
        <is>
          <t>ВСЕГО СМР + ОБОРУДОВАНИЕ</t>
        </is>
      </c>
      <c r="D101" s="201" t="n"/>
      <c r="E101" s="202" t="n"/>
      <c r="F101" s="203" t="n"/>
      <c r="G101" s="85">
        <f>G100+G37</f>
        <v/>
      </c>
      <c r="H101" s="213" t="n"/>
      <c r="I101" s="203" t="n"/>
      <c r="J101" s="85">
        <f>J100+J37</f>
        <v/>
      </c>
      <c r="L101" s="65" t="n"/>
    </row>
    <row r="102" ht="14.25" customFormat="1" customHeight="1" s="146">
      <c r="A102" s="201" t="n"/>
      <c r="B102" s="201" t="n"/>
      <c r="C102" s="200" t="inlineStr">
        <is>
          <t>ИТОГО ПОКАЗАТЕЛЬ НА ЕД. ИЗМ.</t>
        </is>
      </c>
      <c r="D102" s="201" t="inlineStr">
        <is>
          <t>ед.</t>
        </is>
      </c>
      <c r="E102" s="118">
        <f>'Прил.1 Сравнит табл'!D15</f>
        <v/>
      </c>
      <c r="F102" s="203" t="n"/>
      <c r="G102" s="85">
        <f>G101/E102</f>
        <v/>
      </c>
      <c r="H102" s="213" t="n"/>
      <c r="I102" s="203" t="n"/>
      <c r="J102" s="85">
        <f>J101/E102</f>
        <v/>
      </c>
      <c r="L102" s="243" t="n"/>
    </row>
    <row r="104" ht="14.25" customFormat="1" customHeight="1" s="146">
      <c r="A104" s="144" t="n"/>
    </row>
    <row r="105" ht="14.25" customFormat="1" customHeight="1" s="146">
      <c r="A105" s="139" t="inlineStr">
        <is>
          <t>Составил ______________________        Е.А. Князева</t>
        </is>
      </c>
      <c r="B105" s="146" t="n"/>
    </row>
    <row r="106" ht="14.25" customFormat="1" customHeight="1" s="146">
      <c r="A106" s="147" t="inlineStr">
        <is>
          <t xml:space="preserve">                         (подпись, инициалы, фамилия)</t>
        </is>
      </c>
      <c r="B106" s="146" t="n"/>
    </row>
    <row r="107" ht="14.25" customFormat="1" customHeight="1" s="146">
      <c r="A107" s="139" t="n"/>
      <c r="B107" s="146" t="n"/>
    </row>
    <row r="108" ht="14.25" customFormat="1" customHeight="1" s="146">
      <c r="A108" s="139" t="inlineStr">
        <is>
          <t>Проверил ______________________        А.В. Костянецкая</t>
        </is>
      </c>
      <c r="B108" s="146" t="n"/>
    </row>
    <row r="109" ht="14.25" customFormat="1" customHeight="1" s="146">
      <c r="A109" s="147" t="inlineStr">
        <is>
          <t xml:space="preserve">                        (подпись, инициалы, фамилия)</t>
        </is>
      </c>
      <c r="B109" s="146" t="n"/>
    </row>
  </sheetData>
  <mergeCells count="19">
    <mergeCell ref="H9:H10"/>
    <mergeCell ref="B40:H40"/>
    <mergeCell ref="B20:H20"/>
    <mergeCell ref="C9:C10"/>
    <mergeCell ref="E9:E10"/>
    <mergeCell ref="B34:J34"/>
    <mergeCell ref="A7:H7"/>
    <mergeCell ref="B33:J33"/>
    <mergeCell ref="B9:B10"/>
    <mergeCell ref="D9:D10"/>
    <mergeCell ref="B12:H12"/>
    <mergeCell ref="D6:J6"/>
    <mergeCell ref="F9:G9"/>
    <mergeCell ref="A4:H4"/>
    <mergeCell ref="B17:H17"/>
    <mergeCell ref="A9:A10"/>
    <mergeCell ref="B19:H19"/>
    <mergeCell ref="I9:J9"/>
    <mergeCell ref="B39:J3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3"/>
  <sheetViews>
    <sheetView tabSelected="1" view="pageBreakPreview" topLeftCell="A10" workbookViewId="0">
      <selection activeCell="E21" sqref="E21"/>
    </sheetView>
  </sheetViews>
  <sheetFormatPr baseColWidth="8" defaultRowHeight="15"/>
  <cols>
    <col width="5.7109375" customWidth="1" style="156" min="1" max="1"/>
    <col width="14.85546875" customWidth="1" style="156" min="2" max="2"/>
    <col width="39.140625" customWidth="1" style="156" min="3" max="3"/>
    <col width="8.28515625" customWidth="1" style="156" min="4" max="4"/>
    <col width="13.5703125" customWidth="1" style="156" min="5" max="5"/>
    <col width="12.42578125" customWidth="1" style="156" min="6" max="6"/>
    <col width="14.140625" customWidth="1" style="156" min="7" max="7"/>
  </cols>
  <sheetData>
    <row r="1">
      <c r="A1" s="220" t="inlineStr">
        <is>
          <t>Приложение №6</t>
        </is>
      </c>
    </row>
    <row r="2">
      <c r="A2" s="220" t="n"/>
      <c r="B2" s="220" t="n"/>
      <c r="C2" s="220" t="n"/>
      <c r="D2" s="220" t="n"/>
      <c r="E2" s="220" t="n"/>
      <c r="F2" s="220" t="n"/>
      <c r="G2" s="220" t="n"/>
    </row>
    <row r="3">
      <c r="A3" s="220" t="n"/>
      <c r="B3" s="220" t="n"/>
      <c r="C3" s="220" t="n"/>
      <c r="D3" s="220" t="n"/>
      <c r="E3" s="220" t="n"/>
      <c r="F3" s="220" t="n"/>
      <c r="G3" s="220" t="n"/>
    </row>
    <row r="4">
      <c r="A4" s="220" t="n"/>
      <c r="B4" s="220" t="n"/>
      <c r="C4" s="220" t="n"/>
      <c r="D4" s="220" t="n"/>
      <c r="E4" s="220" t="n"/>
      <c r="F4" s="220" t="n"/>
      <c r="G4" s="220" t="n"/>
    </row>
    <row r="5">
      <c r="A5" s="197" t="inlineStr">
        <is>
          <t>Расчет стоимости оборудования</t>
        </is>
      </c>
    </row>
    <row r="6" ht="64.5" customHeight="1" s="156">
      <c r="A6" s="222">
        <f>'Прил.1 Сравнит табл'!B7</f>
        <v/>
      </c>
    </row>
    <row r="7">
      <c r="A7" s="139" t="n"/>
      <c r="B7" s="139" t="n"/>
      <c r="C7" s="139" t="n"/>
      <c r="D7" s="139" t="n"/>
      <c r="E7" s="139" t="n"/>
      <c r="F7" s="139" t="n"/>
      <c r="G7" s="139" t="n"/>
    </row>
    <row r="8" ht="30.2" customHeight="1" s="156">
      <c r="A8" s="221" t="inlineStr">
        <is>
          <t>№ пп.</t>
        </is>
      </c>
      <c r="B8" s="221" t="inlineStr">
        <is>
          <t>Код ресурса</t>
        </is>
      </c>
      <c r="C8" s="221" t="inlineStr">
        <is>
          <t>Наименование</t>
        </is>
      </c>
      <c r="D8" s="221" t="inlineStr">
        <is>
          <t>Ед. изм.</t>
        </is>
      </c>
      <c r="E8" s="201" t="inlineStr">
        <is>
          <t>Кол-во единиц по проектным данным</t>
        </is>
      </c>
      <c r="F8" s="221" t="inlineStr">
        <is>
          <t>Сметная стоимость в ценах на 01.01.2000 (руб.)</t>
        </is>
      </c>
      <c r="G8" s="237" t="n"/>
    </row>
    <row r="9">
      <c r="A9" s="239" t="n"/>
      <c r="B9" s="239" t="n"/>
      <c r="C9" s="239" t="n"/>
      <c r="D9" s="239" t="n"/>
      <c r="E9" s="239" t="n"/>
      <c r="F9" s="201" t="inlineStr">
        <is>
          <t>на ед. изм.</t>
        </is>
      </c>
      <c r="G9" s="201" t="inlineStr">
        <is>
          <t>общая</t>
        </is>
      </c>
    </row>
    <row r="10">
      <c r="A10" s="201" t="n">
        <v>1</v>
      </c>
      <c r="B10" s="201" t="n">
        <v>2</v>
      </c>
      <c r="C10" s="201" t="n">
        <v>3</v>
      </c>
      <c r="D10" s="201" t="n">
        <v>4</v>
      </c>
      <c r="E10" s="201" t="n">
        <v>5</v>
      </c>
      <c r="F10" s="201" t="n">
        <v>6</v>
      </c>
      <c r="G10" s="201" t="n">
        <v>7</v>
      </c>
    </row>
    <row r="11" ht="15" customHeight="1" s="156">
      <c r="A11" s="28" t="n"/>
      <c r="B11" s="200" t="inlineStr">
        <is>
          <t>ИНЖЕНЕРНОЕ ОБОРУДОВАНИЕ</t>
        </is>
      </c>
      <c r="C11" s="236" t="n"/>
      <c r="D11" s="236" t="n"/>
      <c r="E11" s="236" t="n"/>
      <c r="F11" s="236" t="n"/>
      <c r="G11" s="237" t="n"/>
    </row>
    <row r="12" ht="27" customHeight="1" s="156">
      <c r="A12" s="201" t="n"/>
      <c r="B12" s="212" t="n"/>
      <c r="C12" s="200" t="inlineStr">
        <is>
          <t>ИТОГО ИНЖЕНЕРНОЕ ОБОРУДОВАНИЕ</t>
        </is>
      </c>
      <c r="D12" s="212" t="n"/>
      <c r="E12" s="9" t="n"/>
      <c r="F12" s="203" t="n"/>
      <c r="G12" s="203" t="n">
        <v>0</v>
      </c>
    </row>
    <row r="13">
      <c r="A13" s="201" t="n"/>
      <c r="B13" s="200" t="inlineStr">
        <is>
          <t>ТЕХНОЛОГИЧЕСКОЕ ОБОРУДОВАНИЕ</t>
        </is>
      </c>
      <c r="C13" s="236" t="n"/>
      <c r="D13" s="236" t="n"/>
      <c r="E13" s="236" t="n"/>
      <c r="F13" s="236" t="n"/>
      <c r="G13" s="237" t="n"/>
    </row>
    <row r="14">
      <c r="A14" s="201" t="n"/>
      <c r="B14" s="118" t="n"/>
      <c r="C14" s="119" t="n"/>
      <c r="D14" s="118" t="n"/>
      <c r="E14" s="118" t="n"/>
      <c r="F14" s="85" t="n"/>
      <c r="G14" s="85">
        <f>ROUND(E14*F14,2)</f>
        <v/>
      </c>
    </row>
    <row r="15">
      <c r="A15" s="201" t="n"/>
      <c r="B15" s="118" t="n"/>
      <c r="C15" s="119" t="n"/>
      <c r="D15" s="118" t="n"/>
      <c r="E15" s="118" t="n"/>
      <c r="F15" s="85" t="n"/>
      <c r="G15" s="85">
        <f>ROUND(E15*F15,2)</f>
        <v/>
      </c>
    </row>
    <row r="16" ht="25.5" customHeight="1" s="156">
      <c r="A16" s="201" t="n"/>
      <c r="B16" s="13" t="n"/>
      <c r="C16" s="13" t="inlineStr">
        <is>
          <t>ИТОГО ТЕХНОЛОГИЧЕСКОЕ ОБОРУДОВАНИЕ</t>
        </is>
      </c>
      <c r="D16" s="13" t="n"/>
      <c r="E16" s="14" t="n"/>
      <c r="F16" s="203" t="n"/>
      <c r="G16" s="85">
        <f>SUM(G14:G15)</f>
        <v/>
      </c>
    </row>
    <row r="17" ht="19.5" customHeight="1" s="156">
      <c r="A17" s="201" t="n"/>
      <c r="B17" s="200" t="n"/>
      <c r="C17" s="200" t="inlineStr">
        <is>
          <t>Всего по разделу «Оборудование»</t>
        </is>
      </c>
      <c r="D17" s="200" t="n"/>
      <c r="E17" s="219" t="n"/>
      <c r="F17" s="203" t="n"/>
      <c r="G17" s="85">
        <f>G12+G16</f>
        <v/>
      </c>
    </row>
    <row r="18">
      <c r="A18" s="144" t="n"/>
      <c r="B18" s="145" t="n"/>
      <c r="C18" s="144" t="n"/>
      <c r="D18" s="144" t="n"/>
      <c r="E18" s="144" t="n"/>
      <c r="F18" s="144" t="n"/>
      <c r="G18" s="144" t="n"/>
    </row>
    <row r="19" s="156">
      <c r="A19" s="139" t="inlineStr">
        <is>
          <t>Составил ______________________        Е.А. Князева</t>
        </is>
      </c>
      <c r="B19" s="146" t="n"/>
      <c r="C19" s="146" t="n"/>
      <c r="D19" s="144" t="n"/>
      <c r="E19" s="144" t="n"/>
      <c r="F19" s="144" t="n"/>
      <c r="G19" s="144" t="n"/>
    </row>
    <row r="20" s="156">
      <c r="A20" s="147" t="inlineStr">
        <is>
          <t xml:space="preserve">                         (подпись, инициалы, фамилия)</t>
        </is>
      </c>
      <c r="B20" s="146" t="n"/>
      <c r="C20" s="146" t="n"/>
      <c r="D20" s="144" t="n"/>
      <c r="E20" s="144" t="n"/>
      <c r="F20" s="144" t="n"/>
      <c r="G20" s="144" t="n"/>
    </row>
    <row r="21" s="156">
      <c r="A21" s="139" t="n"/>
      <c r="B21" s="146" t="n"/>
      <c r="C21" s="146" t="n"/>
      <c r="D21" s="144" t="n"/>
      <c r="E21" s="144" t="n"/>
      <c r="F21" s="144" t="n"/>
      <c r="G21" s="144" t="n"/>
    </row>
    <row r="22" s="156">
      <c r="A22" s="139" t="inlineStr">
        <is>
          <t>Проверил ______________________        А.В. Костянецкая</t>
        </is>
      </c>
      <c r="B22" s="146" t="n"/>
      <c r="C22" s="146" t="n"/>
      <c r="D22" s="144" t="n"/>
      <c r="E22" s="144" t="n"/>
      <c r="F22" s="144" t="n"/>
      <c r="G22" s="144" t="n"/>
    </row>
    <row r="23" s="156">
      <c r="A23" s="147" t="inlineStr">
        <is>
          <t xml:space="preserve">                        (подпись, инициалы, фамилия)</t>
        </is>
      </c>
      <c r="B23" s="146" t="n"/>
      <c r="C23" s="146" t="n"/>
      <c r="D23" s="144" t="n"/>
      <c r="E23" s="144" t="n"/>
      <c r="F23" s="144" t="n"/>
      <c r="G23" s="144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56" min="1" max="1"/>
    <col width="29.5703125" customWidth="1" style="156" min="2" max="2"/>
    <col width="39.140625" customWidth="1" style="156" min="3" max="3"/>
    <col width="48.140625" customWidth="1" style="156" min="4" max="4"/>
    <col width="8.85546875" customWidth="1" style="156" min="5" max="5"/>
  </cols>
  <sheetData>
    <row r="1">
      <c r="B1" s="139" t="n"/>
      <c r="C1" s="139" t="n"/>
      <c r="D1" s="220" t="inlineStr">
        <is>
          <t>Приложение №7</t>
        </is>
      </c>
    </row>
    <row r="2" ht="25.9" customHeight="1" s="156">
      <c r="A2" s="220" t="n"/>
      <c r="B2" s="220" t="n"/>
      <c r="C2" s="220" t="n"/>
      <c r="D2" s="220" t="n"/>
    </row>
    <row r="3" ht="24.75" customHeight="1" s="156">
      <c r="A3" s="197" t="inlineStr">
        <is>
          <t>Расчет показателя УНЦ</t>
        </is>
      </c>
    </row>
    <row r="4" ht="24.75" customHeight="1" s="156">
      <c r="A4" s="197" t="n"/>
      <c r="B4" s="197" t="n"/>
      <c r="C4" s="197" t="n"/>
      <c r="D4" s="197" t="n"/>
    </row>
    <row r="5" ht="24.6" customHeight="1" s="156">
      <c r="A5" s="211" t="inlineStr">
        <is>
          <t xml:space="preserve">Наименование разрабатываемого показателя УНЦ - </t>
        </is>
      </c>
      <c r="D5" s="211">
        <f>'Прил.5 Расчет СМР и ОБ'!D6:J6</f>
        <v/>
      </c>
    </row>
    <row r="6" ht="19.9" customHeight="1" s="156">
      <c r="A6" s="211" t="inlineStr">
        <is>
          <t>Единица измерения  — 1 км</t>
        </is>
      </c>
      <c r="D6" s="211" t="n"/>
    </row>
    <row r="7">
      <c r="A7" s="139" t="n"/>
      <c r="B7" s="139" t="n"/>
      <c r="C7" s="139" t="n"/>
      <c r="D7" s="139" t="n"/>
    </row>
    <row r="8" ht="14.45" customHeight="1" s="156">
      <c r="A8" s="189" t="inlineStr">
        <is>
          <t>Код показателя</t>
        </is>
      </c>
      <c r="B8" s="189" t="inlineStr">
        <is>
          <t>Наименование показателя</t>
        </is>
      </c>
      <c r="C8" s="189" t="inlineStr">
        <is>
          <t>Наименование РМ, входящих в состав показателя</t>
        </is>
      </c>
      <c r="D8" s="189" t="inlineStr">
        <is>
          <t>Норматив цены на 01.01.2023, тыс.руб.</t>
        </is>
      </c>
    </row>
    <row r="9" ht="15" customHeight="1" s="156">
      <c r="A9" s="239" t="n"/>
      <c r="B9" s="239" t="n"/>
      <c r="C9" s="239" t="n"/>
      <c r="D9" s="239" t="n"/>
    </row>
    <row r="10">
      <c r="A10" s="201" t="n">
        <v>1</v>
      </c>
      <c r="B10" s="201" t="n">
        <v>2</v>
      </c>
      <c r="C10" s="201" t="n">
        <v>3</v>
      </c>
      <c r="D10" s="201" t="n">
        <v>4</v>
      </c>
    </row>
    <row r="11" ht="41.45" customHeight="1" s="156">
      <c r="A11" s="201" t="inlineStr">
        <is>
          <t>О2-01-1</t>
        </is>
      </c>
      <c r="B11" s="201" t="inlineStr">
        <is>
          <t>УНЦ ОКСН</t>
        </is>
      </c>
      <c r="C11" s="141">
        <f>D5</f>
        <v/>
      </c>
      <c r="D11" s="142">
        <f>'Прил.4 РМ'!C41/1000</f>
        <v/>
      </c>
      <c r="E11" s="143" t="n"/>
    </row>
    <row r="12">
      <c r="A12" s="144" t="n"/>
      <c r="B12" s="145" t="n"/>
      <c r="C12" s="144" t="n"/>
      <c r="D12" s="144" t="n"/>
    </row>
    <row r="13">
      <c r="A13" s="139" t="inlineStr">
        <is>
          <t>Составил ______________________      Е.А. Князева</t>
        </is>
      </c>
      <c r="B13" s="146" t="n"/>
      <c r="C13" s="146" t="n"/>
      <c r="D13" s="144" t="n"/>
    </row>
    <row r="14">
      <c r="A14" s="147" t="inlineStr">
        <is>
          <t xml:space="preserve">                         (подпись, инициалы, фамилия)</t>
        </is>
      </c>
      <c r="B14" s="146" t="n"/>
      <c r="C14" s="146" t="n"/>
      <c r="D14" s="144" t="n"/>
    </row>
    <row r="15">
      <c r="A15" s="139" t="n"/>
      <c r="B15" s="146" t="n"/>
      <c r="C15" s="146" t="n"/>
      <c r="D15" s="144" t="n"/>
    </row>
    <row r="16">
      <c r="A16" s="139" t="inlineStr">
        <is>
          <t>Проверил ______________________        А.В. Костянецкая</t>
        </is>
      </c>
      <c r="B16" s="146" t="n"/>
      <c r="C16" s="146" t="n"/>
      <c r="D16" s="144" t="n"/>
    </row>
    <row r="17">
      <c r="A17" s="147" t="inlineStr">
        <is>
          <t xml:space="preserve">                        (подпись, инициалы, фамилия)</t>
        </is>
      </c>
      <c r="B17" s="146" t="n"/>
      <c r="C17" s="146" t="n"/>
      <c r="D17" s="14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C28" sqref="C28"/>
    </sheetView>
  </sheetViews>
  <sheetFormatPr baseColWidth="8" defaultRowHeight="15"/>
  <cols>
    <col width="40.7109375" customWidth="1" style="156" min="2" max="2"/>
    <col width="37" customWidth="1" style="156" min="3" max="3"/>
    <col width="32" customWidth="1" style="156" min="4" max="4"/>
  </cols>
  <sheetData>
    <row r="4" ht="15.75" customHeight="1" s="156">
      <c r="B4" s="185" t="inlineStr">
        <is>
          <t>Приложение № 10</t>
        </is>
      </c>
    </row>
    <row r="5" ht="18.75" customHeight="1" s="156">
      <c r="B5" s="22" t="n"/>
    </row>
    <row r="6" ht="15.75" customHeight="1" s="156">
      <c r="B6" s="186" t="inlineStr">
        <is>
          <t>Используемые индексы изменений сметной стоимости и нормы сопутствующих затрат</t>
        </is>
      </c>
    </row>
    <row r="7">
      <c r="B7" s="223" t="n"/>
    </row>
    <row r="8" ht="47.25" customHeight="1" s="156">
      <c r="B8" s="189" t="inlineStr">
        <is>
          <t>Наименование индекса / норм сопутствующих затрат</t>
        </is>
      </c>
      <c r="C8" s="189" t="inlineStr">
        <is>
          <t>Дата применения и обоснование индекса / норм сопутствующих затрат</t>
        </is>
      </c>
      <c r="D8" s="189" t="inlineStr">
        <is>
          <t>Размер индекса / норма сопутствующих затрат</t>
        </is>
      </c>
    </row>
    <row r="9" ht="15.75" customHeight="1" s="156">
      <c r="B9" s="189" t="n">
        <v>1</v>
      </c>
      <c r="C9" s="189" t="n">
        <v>2</v>
      </c>
      <c r="D9" s="189" t="n">
        <v>3</v>
      </c>
    </row>
    <row r="10" ht="31.7" customHeight="1" s="156">
      <c r="B10" s="189" t="inlineStr">
        <is>
          <t xml:space="preserve">Индекс изменения сметной стоимости на 1 квартал 2023 года. ОЗП </t>
        </is>
      </c>
      <c r="C10" s="189" t="inlineStr">
        <is>
          <t>Письмо Минстроя России от от 01.04.2023г. №17772-ИФ/09 прил.9</t>
        </is>
      </c>
      <c r="D10" s="189" t="n">
        <v>44.29</v>
      </c>
    </row>
    <row r="11" ht="31.7" customHeight="1" s="156">
      <c r="B11" s="189" t="inlineStr">
        <is>
          <t>Индекс изменения сметной стоимости на 1 квартал 2023 года. ЭМ</t>
        </is>
      </c>
      <c r="C11" s="189" t="inlineStr">
        <is>
          <t>Письмо Минстроя России от от 01.04.2023г. №17772-ИФ/09 прил.9</t>
        </is>
      </c>
      <c r="D11" s="189" t="n">
        <v>11.72</v>
      </c>
    </row>
    <row r="12" ht="31.7" customHeight="1" s="156">
      <c r="B12" s="189" t="inlineStr">
        <is>
          <t>Индекс изменения сметной стоимости на 1 квартал 2023 года. МАТ</t>
        </is>
      </c>
      <c r="C12" s="189" t="inlineStr">
        <is>
          <t>Письмо Минстроя России от от 01.04.2023г. №17772-ИФ/09 прил.9</t>
        </is>
      </c>
      <c r="D12" s="189" t="n">
        <v>7.74</v>
      </c>
    </row>
    <row r="13" ht="31.7" customHeight="1" s="156">
      <c r="B13" s="189" t="inlineStr">
        <is>
          <t>Индекс изменения сметной стоимости на 1 квартал 2023 года. ОБ</t>
        </is>
      </c>
      <c r="C13" s="150" t="inlineStr">
        <is>
          <t>Письмо Минстроя России от 23.02.2023г. №9791-ИФ/09 прил.6</t>
        </is>
      </c>
      <c r="D13" s="189" t="n">
        <v>6.26</v>
      </c>
    </row>
    <row r="14" ht="78.75" customHeight="1" s="156">
      <c r="B14" s="189" t="inlineStr">
        <is>
          <t>Временные здания и сооружения</t>
        </is>
      </c>
      <c r="C14" s="189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54" t="n">
        <v>0.025</v>
      </c>
    </row>
    <row r="15" ht="78.75" customHeight="1" s="156">
      <c r="B15" s="189" t="inlineStr">
        <is>
          <t>Дополнительные затраты при производстве строительно-монтажных работ в зимнее время</t>
        </is>
      </c>
      <c r="C15" s="189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0,4-35 кВ  </t>
        </is>
      </c>
      <c r="D15" s="154" t="n">
        <v>0.019</v>
      </c>
    </row>
    <row r="16" ht="15.75" customHeight="1" s="156">
      <c r="B16" s="189" t="inlineStr">
        <is>
          <t>Пусконаладочные работы</t>
        </is>
      </c>
      <c r="C16" s="189" t="n"/>
      <c r="D16" s="189" t="inlineStr">
        <is>
          <t>расчет</t>
        </is>
      </c>
    </row>
    <row r="17" ht="31.7" customHeight="1" s="156">
      <c r="B17" s="189" t="inlineStr">
        <is>
          <t>Строительный контроль</t>
        </is>
      </c>
      <c r="C17" s="189" t="inlineStr">
        <is>
          <t>Постановление Правительства РФ от 21.06.10 г. № 468</t>
        </is>
      </c>
      <c r="D17" s="154" t="n">
        <v>0.0214</v>
      </c>
    </row>
    <row r="18" ht="31.7" customHeight="1" s="156">
      <c r="B18" s="189" t="inlineStr">
        <is>
          <t>Авторский надзор - 0,2%</t>
        </is>
      </c>
      <c r="C18" s="189" t="inlineStr">
        <is>
          <t>Приказ от 4.08.2020 № 421/пр п.173</t>
        </is>
      </c>
      <c r="D18" s="154" t="n">
        <v>0.002</v>
      </c>
    </row>
    <row r="19" ht="24" customHeight="1" s="156">
      <c r="B19" s="189" t="inlineStr">
        <is>
          <t>Непредвиденные расходы</t>
        </is>
      </c>
      <c r="C19" s="189" t="inlineStr">
        <is>
          <t>Приказ от 4.08.2020 № 421/пр п.179</t>
        </is>
      </c>
      <c r="D19" s="154" t="n">
        <v>0.03</v>
      </c>
    </row>
    <row r="20" ht="18.75" customHeight="1" s="156">
      <c r="B20" s="23" t="n"/>
    </row>
    <row r="21" ht="18.75" customHeight="1" s="156">
      <c r="B21" s="23" t="n"/>
    </row>
    <row r="22" ht="18.75" customHeight="1" s="156">
      <c r="B22" s="23" t="n"/>
    </row>
    <row r="23" ht="18.75" customHeight="1" s="156">
      <c r="B23" s="23" t="n"/>
    </row>
    <row r="26">
      <c r="B26" s="139" t="inlineStr">
        <is>
          <t>Составил ______________________        Е.А. Князева</t>
        </is>
      </c>
      <c r="C26" s="146" t="n"/>
    </row>
    <row r="27">
      <c r="B27" s="147" t="inlineStr">
        <is>
          <t xml:space="preserve">                         (подпись, инициалы, фамилия)</t>
        </is>
      </c>
      <c r="C27" s="146" t="n"/>
    </row>
    <row r="28">
      <c r="B28" s="139" t="n"/>
      <c r="C28" s="146" t="n"/>
    </row>
    <row r="29">
      <c r="B29" s="139" t="inlineStr">
        <is>
          <t>Проверил ______________________        А.В. Костянецкая</t>
        </is>
      </c>
      <c r="C29" s="146" t="n"/>
    </row>
    <row r="30">
      <c r="B30" s="147" t="inlineStr">
        <is>
          <t xml:space="preserve">                        (подпись, инициалы, фамилия)</t>
        </is>
      </c>
      <c r="C30" s="14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29"/>
  <sheetViews>
    <sheetView view="pageBreakPreview" topLeftCell="A19" zoomScale="60" zoomScaleNormal="100" workbookViewId="0">
      <selection activeCell="I8" sqref="I8"/>
    </sheetView>
  </sheetViews>
  <sheetFormatPr baseColWidth="8" defaultColWidth="9.140625" defaultRowHeight="15"/>
  <cols>
    <col width="44.85546875" customWidth="1" style="156" min="2" max="2"/>
    <col width="13" customWidth="1" style="156" min="3" max="3"/>
    <col width="22.85546875" customWidth="1" style="156" min="4" max="4"/>
    <col width="21.5703125" customWidth="1" style="156" min="5" max="5"/>
    <col width="53.7109375" bestFit="1" customWidth="1" style="156" min="6" max="6"/>
  </cols>
  <sheetData>
    <row r="1" s="156"/>
    <row r="2" ht="17.25" customHeight="1" s="156">
      <c r="A2" s="186" t="inlineStr">
        <is>
          <t>Расчет размера средств на оплату труда рабочих-строителей в текущем уровне цен (ФОТр.тек.)</t>
        </is>
      </c>
    </row>
    <row r="3" s="156"/>
    <row r="4" ht="18" customHeight="1" s="156">
      <c r="A4" s="157" t="inlineStr">
        <is>
          <t>Составлен в уровне цен на 01.01.2023 г.</t>
        </is>
      </c>
      <c r="B4" s="158" t="n"/>
      <c r="C4" s="158" t="n"/>
      <c r="D4" s="158" t="n"/>
      <c r="E4" s="158" t="n"/>
      <c r="F4" s="158" t="n"/>
      <c r="G4" s="158" t="n"/>
    </row>
    <row r="5" ht="15.75" customHeight="1" s="156">
      <c r="A5" s="159" t="inlineStr">
        <is>
          <t>№ пп.</t>
        </is>
      </c>
      <c r="B5" s="159" t="inlineStr">
        <is>
          <t>Наименование элемента</t>
        </is>
      </c>
      <c r="C5" s="159" t="inlineStr">
        <is>
          <t>Обозначение</t>
        </is>
      </c>
      <c r="D5" s="159" t="inlineStr">
        <is>
          <t>Формула</t>
        </is>
      </c>
      <c r="E5" s="159" t="inlineStr">
        <is>
          <t>Величина элемента</t>
        </is>
      </c>
      <c r="F5" s="159" t="inlineStr">
        <is>
          <t>Наименования обосновывающих документов</t>
        </is>
      </c>
      <c r="G5" s="158" t="n"/>
    </row>
    <row r="6" ht="15.75" customHeight="1" s="156">
      <c r="A6" s="159" t="n">
        <v>1</v>
      </c>
      <c r="B6" s="159" t="n">
        <v>2</v>
      </c>
      <c r="C6" s="159" t="n">
        <v>3</v>
      </c>
      <c r="D6" s="159" t="n">
        <v>4</v>
      </c>
      <c r="E6" s="159" t="n">
        <v>5</v>
      </c>
      <c r="F6" s="159" t="n">
        <v>6</v>
      </c>
      <c r="G6" s="158" t="n"/>
    </row>
    <row r="7" ht="110.25" customHeight="1" s="156">
      <c r="A7" s="160" t="inlineStr">
        <is>
          <t>1.1</t>
        </is>
      </c>
      <c r="B7" s="16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89" t="inlineStr">
        <is>
          <t>С1ср</t>
        </is>
      </c>
      <c r="D7" s="189" t="inlineStr">
        <is>
          <t>-</t>
        </is>
      </c>
      <c r="E7" s="163" t="n">
        <v>47872.94</v>
      </c>
      <c r="F7" s="16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8" t="n"/>
    </row>
    <row r="8" ht="31.5" customHeight="1" s="156">
      <c r="A8" s="160" t="inlineStr">
        <is>
          <t>1.2</t>
        </is>
      </c>
      <c r="B8" s="165" t="inlineStr">
        <is>
          <t>Среднегодовое нормативное число часов работы одного рабочего в месяц, часы (ч.)</t>
        </is>
      </c>
      <c r="C8" s="189" t="inlineStr">
        <is>
          <t>tср</t>
        </is>
      </c>
      <c r="D8" s="189" t="inlineStr">
        <is>
          <t>1973ч/12мес.</t>
        </is>
      </c>
      <c r="E8" s="164">
        <f>1973/12</f>
        <v/>
      </c>
      <c r="F8" s="165" t="inlineStr">
        <is>
          <t>Производственный календарь 2023 год
(40-часов.неделя)</t>
        </is>
      </c>
      <c r="G8" s="167" t="n"/>
    </row>
    <row r="9" ht="15.75" customHeight="1" s="156">
      <c r="A9" s="160" t="inlineStr">
        <is>
          <t>1.3</t>
        </is>
      </c>
      <c r="B9" s="165" t="inlineStr">
        <is>
          <t>Коэффициент увеличения</t>
        </is>
      </c>
      <c r="C9" s="189" t="inlineStr">
        <is>
          <t>Кув</t>
        </is>
      </c>
      <c r="D9" s="189" t="inlineStr">
        <is>
          <t>-</t>
        </is>
      </c>
      <c r="E9" s="164" t="n">
        <v>1</v>
      </c>
      <c r="F9" s="165" t="n"/>
      <c r="G9" s="167" t="n"/>
    </row>
    <row r="10" ht="15.75" customHeight="1" s="156">
      <c r="A10" s="160" t="inlineStr">
        <is>
          <t>1.4</t>
        </is>
      </c>
      <c r="B10" s="165" t="inlineStr">
        <is>
          <t>Средний разряд работ</t>
        </is>
      </c>
      <c r="C10" s="189" t="n"/>
      <c r="D10" s="189" t="n"/>
      <c r="E10" s="252" t="n">
        <v>3.3</v>
      </c>
      <c r="F10" s="165" t="inlineStr">
        <is>
          <t>РТМ</t>
        </is>
      </c>
      <c r="G10" s="167" t="n"/>
    </row>
    <row r="11" ht="78.75" customHeight="1" s="156">
      <c r="A11" s="160" t="inlineStr">
        <is>
          <t>1.5</t>
        </is>
      </c>
      <c r="B11" s="165" t="inlineStr">
        <is>
          <t>Тарифный коэффициент среднего разряда работ</t>
        </is>
      </c>
      <c r="C11" s="189" t="inlineStr">
        <is>
          <t>КТ</t>
        </is>
      </c>
      <c r="D11" s="189" t="inlineStr">
        <is>
          <t>-</t>
        </is>
      </c>
      <c r="E11" s="253" t="n">
        <v>1.232</v>
      </c>
      <c r="F11" s="16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8" t="n"/>
    </row>
    <row r="12" ht="78.75" customHeight="1" s="156">
      <c r="A12" s="173" t="inlineStr">
        <is>
          <t>1.6</t>
        </is>
      </c>
      <c r="B12" s="224" t="inlineStr">
        <is>
          <t>Коэффициент инфляции, определяемый поквартально</t>
        </is>
      </c>
      <c r="C12" s="174" t="inlineStr">
        <is>
          <t>Кинф</t>
        </is>
      </c>
      <c r="D12" s="174" t="inlineStr">
        <is>
          <t>-</t>
        </is>
      </c>
      <c r="E12" s="254" t="n">
        <v>1.139</v>
      </c>
      <c r="F12" s="2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6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56">
      <c r="A13" s="230" t="inlineStr">
        <is>
          <t>1.7</t>
        </is>
      </c>
      <c r="B13" s="231" t="inlineStr">
        <is>
          <t>Размер средств на оплату труда рабочих-строителей в текущем уровне цен (ФОТр.тек.), руб/чел.-ч</t>
        </is>
      </c>
      <c r="C13" s="232" t="inlineStr">
        <is>
          <t>ФОТр.тек.</t>
        </is>
      </c>
      <c r="D13" s="232" t="inlineStr">
        <is>
          <t>(С1ср/tср*КТ*Т*Кув)*Кинф</t>
        </is>
      </c>
      <c r="E13" s="233">
        <f>((E7*E9/E8)*E11)*E12</f>
        <v/>
      </c>
      <c r="F13" s="23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8" t="n"/>
    </row>
    <row r="14" ht="15.75" customHeight="1" s="156">
      <c r="A14" s="227" t="n"/>
      <c r="B14" s="228" t="inlineStr">
        <is>
          <t>Инженер I категории</t>
        </is>
      </c>
      <c r="C14" s="228" t="n"/>
      <c r="D14" s="228" t="n"/>
      <c r="E14" s="228" t="n"/>
      <c r="F14" s="229" t="n"/>
    </row>
    <row r="15" ht="110.25" customHeight="1" s="156">
      <c r="A15" s="160" t="inlineStr">
        <is>
          <t>1.1</t>
        </is>
      </c>
      <c r="B15" s="16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89" t="inlineStr">
        <is>
          <t>С1ср</t>
        </is>
      </c>
      <c r="D15" s="189" t="inlineStr">
        <is>
          <t>-</t>
        </is>
      </c>
      <c r="E15" s="163" t="n">
        <v>47872.94</v>
      </c>
      <c r="F15" s="16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158" t="n"/>
    </row>
    <row r="16" ht="31.5" customHeight="1" s="156">
      <c r="A16" s="160" t="inlineStr">
        <is>
          <t>1.2</t>
        </is>
      </c>
      <c r="B16" s="165" t="inlineStr">
        <is>
          <t>Среднегодовое нормативное число часов работы одного рабочего в месяц, часы (ч.)</t>
        </is>
      </c>
      <c r="C16" s="189" t="inlineStr">
        <is>
          <t>tср</t>
        </is>
      </c>
      <c r="D16" s="189" t="inlineStr">
        <is>
          <t>1973ч/12мес.</t>
        </is>
      </c>
      <c r="E16" s="164">
        <f>1973/12</f>
        <v/>
      </c>
      <c r="F16" s="165" t="inlineStr">
        <is>
          <t>Производственный календарь 2023 год
(40-часов.неделя)</t>
        </is>
      </c>
      <c r="G16" s="167" t="n"/>
    </row>
    <row r="17" ht="15.75" customHeight="1" s="156">
      <c r="A17" s="160" t="inlineStr">
        <is>
          <t>1.3</t>
        </is>
      </c>
      <c r="B17" s="165" t="inlineStr">
        <is>
          <t>Коэффициент увеличения</t>
        </is>
      </c>
      <c r="C17" s="189" t="inlineStr">
        <is>
          <t>Кув</t>
        </is>
      </c>
      <c r="D17" s="189" t="inlineStr">
        <is>
          <t>-</t>
        </is>
      </c>
      <c r="E17" s="164" t="n">
        <v>1</v>
      </c>
      <c r="F17" s="165" t="n"/>
      <c r="G17" s="167" t="n"/>
    </row>
    <row r="18" ht="15.75" customHeight="1" s="156">
      <c r="A18" s="160" t="inlineStr">
        <is>
          <t>1.4</t>
        </is>
      </c>
      <c r="B18" s="165" t="inlineStr">
        <is>
          <t>Средний разряд работ</t>
        </is>
      </c>
      <c r="C18" s="189" t="n"/>
      <c r="D18" s="189" t="n"/>
      <c r="E18" s="252" t="inlineStr">
        <is>
          <t>Инженер I категории</t>
        </is>
      </c>
      <c r="F18" s="165" t="inlineStr">
        <is>
          <t>РТМ</t>
        </is>
      </c>
      <c r="G18" s="167" t="n"/>
    </row>
    <row r="19" ht="78.75" customHeight="1" s="156">
      <c r="A19" s="173" t="inlineStr">
        <is>
          <t>1.5</t>
        </is>
      </c>
      <c r="B19" s="175" t="inlineStr">
        <is>
          <t>Тарифный коэффициент среднего разряда работ</t>
        </is>
      </c>
      <c r="C19" s="174" t="inlineStr">
        <is>
          <t>КТ</t>
        </is>
      </c>
      <c r="D19" s="174" t="inlineStr">
        <is>
          <t>-</t>
        </is>
      </c>
      <c r="E19" s="255" t="n">
        <v>2.15</v>
      </c>
      <c r="F19" s="17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158" t="n"/>
    </row>
    <row r="20" ht="78.75" customHeight="1" s="156">
      <c r="A20" s="160" t="inlineStr">
        <is>
          <t>1.6</t>
        </is>
      </c>
      <c r="B20" s="170" t="inlineStr">
        <is>
          <t>Коэффициент инфляции, определяемый поквартально</t>
        </is>
      </c>
      <c r="C20" s="189" t="inlineStr">
        <is>
          <t>Кинф</t>
        </is>
      </c>
      <c r="D20" s="189" t="inlineStr">
        <is>
          <t>-</t>
        </is>
      </c>
      <c r="E20" s="256" t="n">
        <v>1.139</v>
      </c>
      <c r="F20" s="17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167" t="inlineStr">
        <is>
          <t>https://economy.gov.ru/material/directions/makroec/prognozy_socialno_ekonomicheskogo_razvitiya/prognoz_socialno_ekonomicheskogo_razvitiya_rf_na_period_do_2024_goda_.html</t>
        </is>
      </c>
    </row>
    <row r="21" ht="63" customHeight="1" s="156">
      <c r="A21" s="160" t="inlineStr">
        <is>
          <t>1.7</t>
        </is>
      </c>
      <c r="B21" s="179" t="inlineStr">
        <is>
          <t>Размер средств на оплату труда рабочих-строителей в текущем уровне цен (ФОТр.тек.), руб/чел.-ч</t>
        </is>
      </c>
      <c r="C21" s="189" t="inlineStr">
        <is>
          <t>ФОТр.тек.</t>
        </is>
      </c>
      <c r="D21" s="189" t="inlineStr">
        <is>
          <t>(С1ср/tср*КТ*Т*Кув)*Кинф</t>
        </is>
      </c>
      <c r="E21" s="180">
        <f>((E15*E17/E16)*E19)*E20</f>
        <v/>
      </c>
      <c r="F21" s="16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158" t="n"/>
    </row>
    <row r="22" ht="14.45" customHeight="1" s="156">
      <c r="A22" s="181" t="n"/>
      <c r="B22" s="176" t="inlineStr">
        <is>
          <t>Ведущий инженер</t>
        </is>
      </c>
      <c r="C22" s="176" t="n"/>
      <c r="D22" s="176" t="n"/>
      <c r="E22" s="176" t="n"/>
      <c r="F22" s="177" t="n"/>
    </row>
    <row r="23" ht="110.25" customHeight="1" s="156">
      <c r="A23" s="160" t="inlineStr">
        <is>
          <t>1.1</t>
        </is>
      </c>
      <c r="B23" s="16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89" t="inlineStr">
        <is>
          <t>С1ср</t>
        </is>
      </c>
      <c r="D23" s="189" t="inlineStr">
        <is>
          <t>-</t>
        </is>
      </c>
      <c r="E23" s="163" t="n">
        <v>47872.94</v>
      </c>
      <c r="F23" s="16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158" t="n"/>
    </row>
    <row r="24" ht="31.5" customHeight="1" s="156">
      <c r="A24" s="160" t="inlineStr">
        <is>
          <t>1.2</t>
        </is>
      </c>
      <c r="B24" s="165" t="inlineStr">
        <is>
          <t>Среднегодовое нормативное число часов работы одного рабочего в месяц, часы (ч.)</t>
        </is>
      </c>
      <c r="C24" s="189" t="inlineStr">
        <is>
          <t>tср</t>
        </is>
      </c>
      <c r="D24" s="189" t="inlineStr">
        <is>
          <t>1973ч/12мес.</t>
        </is>
      </c>
      <c r="E24" s="164">
        <f>1973/12</f>
        <v/>
      </c>
      <c r="F24" s="165" t="inlineStr">
        <is>
          <t>Производственный календарь 2023 год
(40-часов.неделя)</t>
        </is>
      </c>
      <c r="G24" s="167" t="n"/>
    </row>
    <row r="25" ht="15.75" customHeight="1" s="156">
      <c r="A25" s="160" t="inlineStr">
        <is>
          <t>1.3</t>
        </is>
      </c>
      <c r="B25" s="165" t="inlineStr">
        <is>
          <t>Коэффициент увеличения</t>
        </is>
      </c>
      <c r="C25" s="189" t="inlineStr">
        <is>
          <t>Кув</t>
        </is>
      </c>
      <c r="D25" s="189" t="inlineStr">
        <is>
          <t>-</t>
        </is>
      </c>
      <c r="E25" s="164" t="n">
        <v>1</v>
      </c>
      <c r="F25" s="165" t="n"/>
      <c r="G25" s="167" t="n"/>
    </row>
    <row r="26" ht="15.75" customHeight="1" s="156">
      <c r="A26" s="160" t="inlineStr">
        <is>
          <t>1.4</t>
        </is>
      </c>
      <c r="B26" s="165" t="inlineStr">
        <is>
          <t>Средний разряд работ</t>
        </is>
      </c>
      <c r="C26" s="189" t="n"/>
      <c r="D26" s="189" t="n"/>
      <c r="E26" s="252" t="inlineStr">
        <is>
          <t>Ведущий инженер</t>
        </is>
      </c>
      <c r="F26" s="165" t="inlineStr">
        <is>
          <t>РТМ</t>
        </is>
      </c>
      <c r="G26" s="167" t="n"/>
    </row>
    <row r="27" ht="78.75" customHeight="1" s="156">
      <c r="A27" s="173" t="inlineStr">
        <is>
          <t>1.5</t>
        </is>
      </c>
      <c r="B27" s="175" t="inlineStr">
        <is>
          <t>Тарифный коэффициент среднего разряда работ</t>
        </is>
      </c>
      <c r="C27" s="174" t="inlineStr">
        <is>
          <t>КТ</t>
        </is>
      </c>
      <c r="D27" s="174" t="inlineStr">
        <is>
          <t>-</t>
        </is>
      </c>
      <c r="E27" s="255" t="n">
        <v>2.35</v>
      </c>
      <c r="F27" s="17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158" t="n"/>
    </row>
    <row r="28" ht="78.75" customHeight="1" s="156">
      <c r="A28" s="160" t="inlineStr">
        <is>
          <t>1.6</t>
        </is>
      </c>
      <c r="B28" s="170" t="inlineStr">
        <is>
          <t>Коэффициент инфляции, определяемый поквартально</t>
        </is>
      </c>
      <c r="C28" s="189" t="inlineStr">
        <is>
          <t>Кинф</t>
        </is>
      </c>
      <c r="D28" s="189" t="inlineStr">
        <is>
          <t>-</t>
        </is>
      </c>
      <c r="E28" s="256" t="n">
        <v>1.139</v>
      </c>
      <c r="F28" s="17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167" t="inlineStr">
        <is>
          <t>https://economy.gov.ru/material/directions/makroec/prognozy_socialno_ekonomicheskogo_razvitiya/prognoz_socialno_ekonomicheskogo_razvitiya_rf_na_period_do_2024_goda_.html</t>
        </is>
      </c>
    </row>
    <row r="29" ht="63" customHeight="1" s="156">
      <c r="A29" s="160" t="inlineStr">
        <is>
          <t>1.7</t>
        </is>
      </c>
      <c r="B29" s="179" t="inlineStr">
        <is>
          <t>Размер средств на оплату труда рабочих-строителей в текущем уровне цен (ФОТр.тек.), руб/чел.-ч</t>
        </is>
      </c>
      <c r="C29" s="189" t="inlineStr">
        <is>
          <t>ФОТр.тек.</t>
        </is>
      </c>
      <c r="D29" s="189" t="inlineStr">
        <is>
          <t>(С1ср/tср*КТ*Т*Кув)*Кинф</t>
        </is>
      </c>
      <c r="E29" s="180">
        <f>((E23*E25/E24)*E27)*E28</f>
        <v/>
      </c>
      <c r="F29" s="16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158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2025-01-24T12:12:49Z</dcterms:modified>
  <cp:lastModifiedBy>User1</cp:lastModifiedBy>
  <cp:lastPrinted>2023-11-30T06:36:04Z</cp:lastPrinted>
</cp:coreProperties>
</file>