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1625" tabRatio="891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'Прил. 3'!$A$3</definedName>
    <definedName name="_xlnm.Print_Titles" localSheetId="2">'Прил. 3'!$9:$11</definedName>
    <definedName name="_xlnm.Print_Area" localSheetId="2">'Прил. 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ОБ'!$A$1:$J$79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xlnm.Print_Area" localSheetId="8">'ФОТр.тек.'!$A$1:$F$21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0\ _₽_-;\-* #,##0.00\ _₽_-;_-* &quot;-&quot;??\ _₽_-;_-@_-"/>
    <numFmt numFmtId="166" formatCode="#,##0.0000"/>
    <numFmt numFmtId="167" formatCode="#,##0.00000"/>
    <numFmt numFmtId="168" formatCode="#,##0.0"/>
    <numFmt numFmtId="169" formatCode="#,##0.000"/>
    <numFmt numFmtId="170" formatCode="0.0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00000"/>
      <sz val="11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2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/>
    </xf>
    <xf numFmtId="43" fontId="1" fillId="0" borderId="1" applyAlignment="1" pivotButton="0" quotePrefix="0" xfId="0">
      <alignment horizontal="right" vertical="top" wrapText="1"/>
    </xf>
    <xf numFmtId="10" fontId="17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0" fontId="17" fillId="0" borderId="1" applyAlignment="1" pivotButton="0" quotePrefix="0" xfId="0">
      <alignment horizontal="justify" vertical="center" wrapText="1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vertical="center" wrapText="1"/>
    </xf>
    <xf numFmtId="2" fontId="18" fillId="4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7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vertical="center" wrapText="1"/>
    </xf>
    <xf numFmtId="0" fontId="0" fillId="0" borderId="1" pivotButton="0" quotePrefix="0" xfId="0"/>
    <xf numFmtId="0" fontId="0" fillId="0" borderId="0" pivotButton="0" quotePrefix="0" xfId="0"/>
    <xf numFmtId="165" fontId="0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0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3" fontId="4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center" vertical="center" wrapText="1"/>
    </xf>
    <xf numFmtId="10" fontId="4" fillId="0" borderId="0" pivotButton="0" quotePrefix="0" xfId="0"/>
    <xf numFmtId="4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center" vertical="center" wrapText="1"/>
    </xf>
    <xf numFmtId="43" fontId="18" fillId="4" borderId="1" applyAlignment="1" pivotButton="0" quotePrefix="0" xfId="0">
      <alignment horizontal="center" vertical="center" wrapText="1"/>
    </xf>
    <xf numFmtId="43" fontId="18" fillId="4" borderId="1" applyAlignment="1" pivotButton="0" quotePrefix="0" xfId="0">
      <alignment vertical="center" wrapText="1"/>
    </xf>
    <xf numFmtId="0" fontId="19" fillId="0" borderId="1" applyAlignment="1" pivotButton="0" quotePrefix="0" xfId="0">
      <alignment vertical="center" wrapText="1"/>
    </xf>
    <xf numFmtId="1" fontId="17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1" fontId="0" fillId="0" borderId="0" pivotButton="0" quotePrefix="0" xfId="0"/>
    <xf numFmtId="1" fontId="0" fillId="0" borderId="0" pivotButton="0" quotePrefix="0" xfId="0"/>
    <xf numFmtId="1" fontId="16" fillId="0" borderId="0" applyAlignment="1" pivotButton="0" quotePrefix="0" xfId="0">
      <alignment horizontal="justify" vertical="center"/>
    </xf>
    <xf numFmtId="1" fontId="17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0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168" fontId="17" fillId="0" borderId="1" applyAlignment="1" pivotButton="0" quotePrefix="0" xfId="0">
      <alignment horizontal="center" vertical="center"/>
    </xf>
    <xf numFmtId="16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70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49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left" vertical="center" wrapText="1"/>
    </xf>
    <xf numFmtId="169" fontId="17" fillId="0" borderId="5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" fontId="21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9" fillId="0" borderId="2" applyAlignment="1" pivotButton="0" quotePrefix="0" xfId="0">
      <alignment horizontal="center" vertical="center" wrapText="1"/>
    </xf>
    <xf numFmtId="0" fontId="19" fillId="0" borderId="7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center" wrapText="1"/>
    </xf>
    <xf numFmtId="0" fontId="17" fillId="0" borderId="7" applyAlignment="1" pivotButton="0" quotePrefix="0" xfId="0">
      <alignment horizontal="center" vertical="center" wrapText="1"/>
    </xf>
    <xf numFmtId="0" fontId="21" fillId="0" borderId="1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1" fontId="17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8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7" fillId="0" borderId="5" applyAlignment="1" pivotButton="0" quotePrefix="0" xfId="0">
      <alignment vertical="center" wrapText="1"/>
    </xf>
    <xf numFmtId="170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0" fontId="0" fillId="0" borderId="3" pivotButton="0" quotePrefix="0" xfId="0"/>
    <xf numFmtId="0" fontId="17" fillId="0" borderId="10" applyAlignment="1" pivotButton="0" quotePrefix="0" xfId="0">
      <alignment vertical="center" wrapText="1"/>
    </xf>
    <xf numFmtId="0" fontId="17" fillId="0" borderId="11" applyAlignment="1" pivotButton="0" quotePrefix="0" xfId="0">
      <alignment vertical="center" wrapText="1"/>
    </xf>
    <xf numFmtId="49" fontId="17" fillId="0" borderId="12" applyAlignment="1" pivotButton="0" quotePrefix="0" xfId="0">
      <alignment horizontal="center" vertical="center"/>
    </xf>
    <xf numFmtId="0" fontId="21" fillId="0" borderId="12" applyAlignment="1" pivotButton="0" quotePrefix="0" xfId="0">
      <alignment vertical="center" wrapText="1"/>
    </xf>
    <xf numFmtId="0" fontId="17" fillId="0" borderId="12" applyAlignment="1" pivotButton="0" quotePrefix="0" xfId="0">
      <alignment horizontal="center" vertical="center" wrapText="1"/>
    </xf>
    <xf numFmtId="4" fontId="21" fillId="0" borderId="12" applyAlignment="1" pivotButton="0" quotePrefix="0" xfId="0">
      <alignment horizontal="center" vertical="center"/>
    </xf>
    <xf numFmtId="0" fontId="17" fillId="0" borderId="12" applyAlignment="1" pivotButton="0" quotePrefix="0" xfId="0">
      <alignment horizontal="left" vertical="center" wrapText="1"/>
    </xf>
    <xf numFmtId="43" fontId="18" fillId="4" borderId="1" applyAlignment="1" pivotButton="0" quotePrefix="0" xfId="0">
      <alignment vertical="center" wrapText="1"/>
    </xf>
    <xf numFmtId="43" fontId="18" fillId="4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19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43" fontId="4" fillId="0" borderId="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tabSelected="1" view="pageBreakPreview" topLeftCell="A7" zoomScale="60" zoomScaleNormal="85" workbookViewId="0">
      <selection activeCell="C26" sqref="C26"/>
    </sheetView>
  </sheetViews>
  <sheetFormatPr baseColWidth="8" defaultRowHeight="15"/>
  <cols>
    <col width="38.5703125" customWidth="1" style="294" min="3" max="3"/>
    <col width="39.42578125" customWidth="1" style="294" min="4" max="4"/>
  </cols>
  <sheetData>
    <row r="3" ht="15.75" customHeight="1" s="294">
      <c r="B3" s="327" t="inlineStr">
        <is>
          <t>Приложение № 1</t>
        </is>
      </c>
    </row>
    <row r="4" ht="18.75" customHeight="1" s="294">
      <c r="B4" s="328" t="inlineStr">
        <is>
          <t>Сравнительная таблица отбора объекта-представителя</t>
        </is>
      </c>
    </row>
    <row r="5" ht="84.2" customHeight="1" s="294">
      <c r="B5" s="32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4">
      <c r="B6" s="188" t="n"/>
      <c r="C6" s="188" t="n"/>
      <c r="D6" s="188" t="n"/>
    </row>
    <row r="7" ht="47.25" customHeight="1" s="294">
      <c r="B7" s="326" t="inlineStr">
        <is>
          <t>Наименование разрабатываемого показателя УНЦ - ВОК количество волокон 16 шт., максимально-допустимая растягивающая нагрузка 15 кН</t>
        </is>
      </c>
    </row>
    <row r="8" ht="15.75" customHeight="1" s="294">
      <c r="B8" s="326" t="inlineStr">
        <is>
          <t>Сопоставимый уровень цен</t>
        </is>
      </c>
    </row>
    <row r="9" ht="15.75" customHeight="1" s="294">
      <c r="B9" s="326" t="inlineStr">
        <is>
          <t>Единица измерения  — 1 км</t>
        </is>
      </c>
    </row>
    <row r="10" ht="18.75" customHeight="1" s="294">
      <c r="B10" s="189" t="n"/>
    </row>
    <row r="11" ht="15.75" customHeight="1" s="294">
      <c r="B11" s="333" t="inlineStr">
        <is>
          <t>№ п/п</t>
        </is>
      </c>
      <c r="C11" s="333" t="inlineStr">
        <is>
          <t>Параметр</t>
        </is>
      </c>
      <c r="D11" s="333" t="inlineStr">
        <is>
          <t>Объект-представитель</t>
        </is>
      </c>
    </row>
    <row r="12" ht="60" customHeight="1" s="294">
      <c r="B12" s="333" t="n">
        <v>1</v>
      </c>
      <c r="C12" s="308" t="inlineStr">
        <is>
          <t>Наименование объекта-представителя</t>
        </is>
      </c>
      <c r="D12" s="260" t="inlineStr">
        <is>
          <t>Строительство ВЛ 220 кВ Харанорская ГРЭС-Бугдаинская-Быстринская с ПС 220 кВ Бугдаинская и ПС 220 кВ Быстринская (МЭС Сибири)</t>
        </is>
      </c>
    </row>
    <row r="13" ht="31.7" customHeight="1" s="294">
      <c r="B13" s="333" t="n">
        <v>2</v>
      </c>
      <c r="C13" s="308" t="inlineStr">
        <is>
          <t>Наименование субъекта Российской Федерации</t>
        </is>
      </c>
      <c r="D13" s="260" t="inlineStr">
        <is>
          <t>Забайкальский край</t>
        </is>
      </c>
    </row>
    <row r="14" ht="15.75" customHeight="1" s="294">
      <c r="B14" s="333" t="n">
        <v>3</v>
      </c>
      <c r="C14" s="308" t="inlineStr">
        <is>
          <t>Климатический район и подрайон</t>
        </is>
      </c>
      <c r="D14" s="260" t="inlineStr">
        <is>
          <t>IД</t>
        </is>
      </c>
    </row>
    <row r="15" ht="15.75" customHeight="1" s="294">
      <c r="B15" s="333" t="n">
        <v>4</v>
      </c>
      <c r="C15" s="308" t="inlineStr">
        <is>
          <t>Мощность объекта</t>
        </is>
      </c>
      <c r="D15" s="260" t="n">
        <v>14.44</v>
      </c>
    </row>
    <row r="16" ht="78.75" customHeight="1" s="294">
      <c r="B16" s="333" t="n">
        <v>5</v>
      </c>
      <c r="C16" s="18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60" t="inlineStr">
        <is>
          <t>ВОК 16 волокон (МДРН 15кН)</t>
        </is>
      </c>
    </row>
    <row r="17" ht="78.75" customHeight="1" s="294">
      <c r="B17" s="333" t="n">
        <v>6</v>
      </c>
      <c r="C17" s="18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418">
        <f>D18+D19</f>
        <v/>
      </c>
    </row>
    <row r="18" ht="15.75" customHeight="1" s="294">
      <c r="B18" s="179" t="inlineStr">
        <is>
          <t>6.1</t>
        </is>
      </c>
      <c r="C18" s="308" t="inlineStr">
        <is>
          <t>строительно-монтажные работы</t>
        </is>
      </c>
      <c r="D18" s="418">
        <f>'Прил.2 Расч стоим'!F12</f>
        <v/>
      </c>
    </row>
    <row r="19" ht="15.75" customHeight="1" s="294">
      <c r="B19" s="179" t="inlineStr">
        <is>
          <t>6.2</t>
        </is>
      </c>
      <c r="C19" s="308" t="inlineStr">
        <is>
          <t>оборудование и инвентарь</t>
        </is>
      </c>
      <c r="D19" s="418" t="n">
        <v>0</v>
      </c>
    </row>
    <row r="20" ht="15.75" customHeight="1" s="294">
      <c r="B20" s="179" t="inlineStr">
        <is>
          <t>6.3</t>
        </is>
      </c>
      <c r="C20" s="308" t="inlineStr">
        <is>
          <t>пусконаладочные работы</t>
        </is>
      </c>
      <c r="D20" s="419" t="n"/>
    </row>
    <row r="21" ht="15.75" customHeight="1" s="294">
      <c r="B21" s="179" t="inlineStr">
        <is>
          <t>6.4</t>
        </is>
      </c>
      <c r="C21" s="308" t="inlineStr">
        <is>
          <t>прочие и лимитированные затраты</t>
        </is>
      </c>
      <c r="D21" s="419" t="n"/>
    </row>
    <row r="22" ht="15.75" customHeight="1" s="294">
      <c r="B22" s="333" t="n">
        <v>7</v>
      </c>
      <c r="C22" s="308" t="inlineStr">
        <is>
          <t>Сопоставимый уровень цен</t>
        </is>
      </c>
      <c r="D22" s="179" t="inlineStr">
        <is>
          <t>1 квартал 2013</t>
        </is>
      </c>
    </row>
    <row r="23" ht="110.25" customHeight="1" s="294">
      <c r="B23" s="333" t="n">
        <v>8</v>
      </c>
      <c r="C23" s="18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1">
        <f>D17</f>
        <v/>
      </c>
    </row>
    <row r="24" ht="47.25" customHeight="1" s="294">
      <c r="B24" s="333" t="n">
        <v>9</v>
      </c>
      <c r="C24" s="185" t="inlineStr">
        <is>
          <t>Приведенная сметная стоимость на единицу мощности, тыс. руб. (строка 8/строку 4)</t>
        </is>
      </c>
      <c r="D24" s="191">
        <f>D17/D15</f>
        <v/>
      </c>
    </row>
    <row r="25" ht="37.5" customHeight="1" s="294">
      <c r="B25" s="173" t="n"/>
      <c r="C25" s="174" t="n"/>
      <c r="D25" s="174" t="n"/>
    </row>
    <row r="26">
      <c r="B26" s="281" t="inlineStr">
        <is>
          <t>Составил ______________________        Е. М. Добровольская</t>
        </is>
      </c>
      <c r="C26" s="288" t="n"/>
    </row>
    <row r="27">
      <c r="B27" s="289" t="inlineStr">
        <is>
          <t xml:space="preserve">                         (подпись, инициалы, фамилия)</t>
        </is>
      </c>
      <c r="C27" s="288" t="n"/>
    </row>
    <row r="28">
      <c r="B28" s="281" t="n"/>
      <c r="C28" s="288" t="n"/>
    </row>
    <row r="29">
      <c r="B29" s="281" t="inlineStr">
        <is>
          <t>Проверил ______________________        А.В. Костянецкая</t>
        </is>
      </c>
      <c r="C29" s="288" t="n"/>
    </row>
    <row r="30">
      <c r="B30" s="289" t="inlineStr">
        <is>
          <t xml:space="preserve">                        (подпись, инициалы, фамилия)</t>
        </is>
      </c>
      <c r="C30" s="288" t="n"/>
    </row>
    <row r="31" ht="15.75" customHeight="1" s="294">
      <c r="B31" s="174" t="n"/>
      <c r="C31" s="174" t="n"/>
      <c r="D31" s="174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3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34"/>
  <sheetViews>
    <sheetView view="pageBreakPreview" zoomScale="60" zoomScaleNormal="70" workbookViewId="0">
      <selection activeCell="C17" sqref="C17"/>
    </sheetView>
  </sheetViews>
  <sheetFormatPr baseColWidth="8" defaultRowHeight="15"/>
  <cols>
    <col width="5.5703125" customWidth="1" style="294" min="1" max="1"/>
    <col width="43.85546875" customWidth="1" style="294" min="3" max="3"/>
    <col width="13.85546875" customWidth="1" style="294" min="4" max="4"/>
    <col width="17.42578125" customWidth="1" style="294" min="5" max="5"/>
    <col width="12.7109375" customWidth="1" style="294" min="6" max="6"/>
    <col width="14.85546875" customWidth="1" style="294" min="7" max="7"/>
    <col width="16.7109375" customWidth="1" style="294" min="8" max="8"/>
    <col width="13" customWidth="1" style="294" min="9" max="10"/>
    <col width="18" customWidth="1" style="294" min="11" max="11"/>
  </cols>
  <sheetData>
    <row r="3" ht="15.75" customHeight="1" s="294">
      <c r="B3" s="327" t="inlineStr">
        <is>
          <t>Приложение № 2</t>
        </is>
      </c>
    </row>
    <row r="4" ht="15.75" customHeight="1" s="294">
      <c r="B4" s="332" t="inlineStr">
        <is>
          <t>Расчет стоимости основных видов работ для выбора объекта-представителя</t>
        </is>
      </c>
    </row>
    <row r="5" ht="15.75" customHeight="1" s="294">
      <c r="B5" s="178" t="n"/>
      <c r="C5" s="178" t="n"/>
      <c r="D5" s="178" t="n"/>
      <c r="E5" s="178" t="n"/>
      <c r="F5" s="178" t="n"/>
      <c r="G5" s="178" t="n"/>
      <c r="H5" s="178" t="n"/>
      <c r="I5" s="178" t="n"/>
      <c r="J5" s="178" t="n"/>
      <c r="K5" s="178" t="n"/>
    </row>
    <row r="6" ht="15.75" customHeight="1" s="294">
      <c r="B6" s="326" t="inlineStr">
        <is>
          <t>Наименование разрабатываемого показателя УНЦ - ВОК количество волокон 16 шт., максимально-допустимая растягивающая нагрузка 15 кН</t>
        </is>
      </c>
    </row>
    <row r="7" ht="15.75" customHeight="1" s="294">
      <c r="B7" s="326">
        <f>'Прил.1 Сравнит табл'!B9</f>
        <v/>
      </c>
    </row>
    <row r="8" ht="18.75" customHeight="1" s="294">
      <c r="B8" s="189" t="n"/>
    </row>
    <row r="9" ht="15.75" customHeight="1" s="294">
      <c r="B9" s="333" t="inlineStr">
        <is>
          <t>№ п/п</t>
        </is>
      </c>
      <c r="C9" s="33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33" t="inlineStr">
        <is>
          <t>Объект-представитель 1</t>
        </is>
      </c>
      <c r="E9" s="420" t="n"/>
      <c r="F9" s="420" t="n"/>
      <c r="G9" s="420" t="n"/>
      <c r="H9" s="420" t="n"/>
      <c r="I9" s="420" t="n"/>
      <c r="J9" s="421" t="n"/>
    </row>
    <row r="10" ht="15.75" customHeight="1" s="294">
      <c r="B10" s="422" t="n"/>
      <c r="C10" s="422" t="n"/>
      <c r="D10" s="333" t="inlineStr">
        <is>
          <t>Номер сметы</t>
        </is>
      </c>
      <c r="E10" s="333" t="inlineStr">
        <is>
          <t>Наименование сметы</t>
        </is>
      </c>
      <c r="F10" s="333" t="inlineStr">
        <is>
          <t>Сметная стоимость в уровне цен 1 кв. 2013г., тыс. руб.</t>
        </is>
      </c>
      <c r="G10" s="420" t="n"/>
      <c r="H10" s="420" t="n"/>
      <c r="I10" s="420" t="n"/>
      <c r="J10" s="421" t="n"/>
    </row>
    <row r="11" ht="48.75" customHeight="1" s="294">
      <c r="B11" s="423" t="n"/>
      <c r="C11" s="423" t="n"/>
      <c r="D11" s="423" t="n"/>
      <c r="E11" s="423" t="n"/>
      <c r="F11" s="333" t="inlineStr">
        <is>
          <t>Строительные работы</t>
        </is>
      </c>
      <c r="G11" s="333" t="inlineStr">
        <is>
          <t>Монтажные работы</t>
        </is>
      </c>
      <c r="H11" s="333" t="inlineStr">
        <is>
          <t>Оборудование</t>
        </is>
      </c>
      <c r="I11" s="333" t="inlineStr">
        <is>
          <t>Прочее</t>
        </is>
      </c>
      <c r="J11" s="333" t="inlineStr">
        <is>
          <t>Всего</t>
        </is>
      </c>
    </row>
    <row r="12" ht="15.75" customHeight="1" s="294">
      <c r="B12" s="333" t="n"/>
      <c r="C12" s="333">
        <f>'Прил.1 Сравнит табл'!D16</f>
        <v/>
      </c>
      <c r="D12" s="333" t="n"/>
      <c r="E12" s="333" t="n"/>
      <c r="F12" s="333" t="n">
        <v>2349.8681868</v>
      </c>
      <c r="G12" s="421" t="n"/>
      <c r="H12" s="333" t="n">
        <v>0</v>
      </c>
      <c r="I12" s="333" t="n"/>
      <c r="J12" s="333">
        <f>F12</f>
        <v/>
      </c>
    </row>
    <row r="13" ht="15.75" customHeight="1" s="294">
      <c r="B13" s="336" t="inlineStr">
        <is>
          <t>Всего по объекту:</t>
        </is>
      </c>
      <c r="C13" s="420" t="n"/>
      <c r="D13" s="420" t="n"/>
      <c r="E13" s="421" t="n"/>
      <c r="F13" s="263" t="n"/>
      <c r="G13" s="263" t="n"/>
      <c r="H13" s="263" t="n"/>
      <c r="I13" s="263" t="n"/>
      <c r="J13" s="263" t="n"/>
    </row>
    <row r="14" ht="15.75" customHeight="1" s="294">
      <c r="B14" s="336" t="inlineStr">
        <is>
          <t>Всего по объекту в сопоставимом уровне цен 1 кв. 2013г:</t>
        </is>
      </c>
      <c r="C14" s="420" t="n"/>
      <c r="D14" s="420" t="n"/>
      <c r="E14" s="421" t="n"/>
      <c r="F14" s="424">
        <f>F12</f>
        <v/>
      </c>
      <c r="G14" s="421" t="n"/>
      <c r="H14" s="263">
        <f>H12</f>
        <v/>
      </c>
      <c r="I14" s="263" t="n"/>
      <c r="J14" s="263">
        <f>J12</f>
        <v/>
      </c>
    </row>
    <row r="15" ht="15.75" customHeight="1" s="294">
      <c r="B15" s="189" t="n"/>
    </row>
    <row r="16" ht="28.5" customHeight="1" s="294"/>
    <row r="17" ht="18.75" customHeight="1" s="294"/>
    <row r="18">
      <c r="C18" s="281" t="inlineStr">
        <is>
          <t>Составил ______________________    Е. М. Добровольская</t>
        </is>
      </c>
      <c r="D18" s="288" t="n"/>
    </row>
    <row r="19">
      <c r="C19" s="289" t="inlineStr">
        <is>
          <t xml:space="preserve">                         (подпись, инициалы, фамилия)</t>
        </is>
      </c>
      <c r="D19" s="288" t="n"/>
    </row>
    <row r="20">
      <c r="C20" s="281" t="n"/>
      <c r="D20" s="288" t="n"/>
    </row>
    <row r="21">
      <c r="C21" s="281" t="inlineStr">
        <is>
          <t>Проверил ______________________        А.В. Костянецкая</t>
        </is>
      </c>
      <c r="D21" s="288" t="n"/>
    </row>
    <row r="22">
      <c r="C22" s="289" t="inlineStr">
        <is>
          <t xml:space="preserve">                        (подпись, инициалы, фамилия)</t>
        </is>
      </c>
      <c r="D22" s="288" t="n"/>
    </row>
    <row r="23"/>
    <row r="24"/>
    <row r="25"/>
    <row r="26"/>
    <row r="27"/>
    <row r="28"/>
    <row r="29"/>
    <row r="30"/>
    <row r="31"/>
    <row r="32"/>
    <row r="33"/>
    <row r="34"/>
  </sheetData>
  <mergeCells count="14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49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59"/>
  <sheetViews>
    <sheetView view="pageBreakPreview" topLeftCell="A43" zoomScaleNormal="70" workbookViewId="0">
      <selection activeCell="C55" sqref="C55"/>
    </sheetView>
  </sheetViews>
  <sheetFormatPr baseColWidth="8" defaultRowHeight="15"/>
  <cols>
    <col width="9.140625" customWidth="1" style="267" min="1" max="1"/>
    <col width="12.5703125" customWidth="1" style="294" min="2" max="2"/>
    <col width="17" customWidth="1" style="294" min="3" max="3"/>
    <col width="49.7109375" customWidth="1" style="294" min="4" max="4"/>
    <col width="16.28515625" customWidth="1" style="294" min="5" max="5"/>
    <col width="20.7109375" customWidth="1" style="294" min="6" max="6"/>
    <col width="16.140625" customWidth="1" style="294" min="7" max="7"/>
    <col width="16.7109375" customWidth="1" style="294" min="8" max="8"/>
    <col width="13.85546875" customWidth="1" style="294" min="9" max="9"/>
  </cols>
  <sheetData>
    <row r="2" ht="15.75" customHeight="1" s="294">
      <c r="A2" s="327" t="inlineStr">
        <is>
          <t xml:space="preserve">Приложение № 3 </t>
        </is>
      </c>
    </row>
    <row r="3" ht="18.75" customHeight="1" s="294">
      <c r="A3" s="328" t="inlineStr">
        <is>
          <t>Объектная ресурсная ведомость</t>
        </is>
      </c>
    </row>
    <row r="4" ht="18.75" customHeight="1" s="294">
      <c r="A4" s="328" t="n"/>
      <c r="B4" s="328" t="n"/>
      <c r="C4" s="328" t="n"/>
      <c r="D4" s="328" t="n"/>
      <c r="E4" s="328" t="n"/>
      <c r="F4" s="328" t="n"/>
      <c r="G4" s="328" t="n"/>
      <c r="H4" s="328" t="n"/>
    </row>
    <row r="5" ht="18.75" customHeight="1" s="294">
      <c r="A5" s="268" t="n"/>
    </row>
    <row r="6" ht="15.75" customHeight="1" s="294">
      <c r="A6" s="337" t="inlineStr">
        <is>
          <t>Наименование разрабатываемого показателя УНЦ - ВОК количество волокон 16 шт., максимально-допустимая растягивающая нагрузка 15 кН</t>
        </is>
      </c>
    </row>
    <row r="7" ht="15.75" customHeight="1" s="294">
      <c r="A7" s="337" t="n"/>
      <c r="B7" s="337" t="n"/>
      <c r="C7" s="337" t="n"/>
      <c r="D7" s="337" t="n"/>
      <c r="E7" s="337" t="n"/>
      <c r="F7" s="337" t="n"/>
      <c r="G7" s="337" t="n"/>
      <c r="H7" s="337" t="n"/>
    </row>
    <row r="8" ht="15.75" customHeight="1" s="294">
      <c r="A8" s="269" t="n"/>
      <c r="B8" s="337" t="n"/>
      <c r="C8" s="337" t="n"/>
      <c r="D8" s="337" t="n"/>
      <c r="E8" s="337" t="n"/>
      <c r="F8" s="337" t="n"/>
      <c r="G8" s="337" t="n"/>
      <c r="H8" s="337" t="n"/>
    </row>
    <row r="9" ht="38.25" customHeight="1" s="294">
      <c r="A9" s="339" t="inlineStr">
        <is>
          <t>п/п</t>
        </is>
      </c>
      <c r="B9" s="333" t="inlineStr">
        <is>
          <t>№ЛСР</t>
        </is>
      </c>
      <c r="C9" s="333" t="inlineStr">
        <is>
          <t>Код ресурса</t>
        </is>
      </c>
      <c r="D9" s="333" t="inlineStr">
        <is>
          <t>Наименование ресурса</t>
        </is>
      </c>
      <c r="E9" s="333" t="inlineStr">
        <is>
          <t>Ед. изм.</t>
        </is>
      </c>
      <c r="F9" s="333" t="inlineStr">
        <is>
          <t>Кол-во единиц по данным объекта-представителя</t>
        </is>
      </c>
      <c r="G9" s="333" t="inlineStr">
        <is>
          <t>Сметная стоимость в ценах на 01.01.2000 (руб.)</t>
        </is>
      </c>
      <c r="H9" s="421" t="n"/>
    </row>
    <row r="10" ht="40.7" customHeight="1" s="294">
      <c r="A10" s="423" t="n"/>
      <c r="B10" s="423" t="n"/>
      <c r="C10" s="423" t="n"/>
      <c r="D10" s="423" t="n"/>
      <c r="E10" s="423" t="n"/>
      <c r="F10" s="423" t="n"/>
      <c r="G10" s="333" t="inlineStr">
        <is>
          <t>на ед.изм.</t>
        </is>
      </c>
      <c r="H10" s="333" t="inlineStr">
        <is>
          <t>общая</t>
        </is>
      </c>
    </row>
    <row r="11" ht="15.75" customHeight="1" s="294">
      <c r="A11" s="339" t="n">
        <v>1</v>
      </c>
      <c r="B11" s="203" t="n"/>
      <c r="C11" s="333" t="n">
        <v>2</v>
      </c>
      <c r="D11" s="333" t="inlineStr">
        <is>
          <t>З</t>
        </is>
      </c>
      <c r="E11" s="333" t="n">
        <v>4</v>
      </c>
      <c r="F11" s="333" t="n">
        <v>5</v>
      </c>
      <c r="G11" s="203" t="n">
        <v>6</v>
      </c>
      <c r="H11" s="203" t="n">
        <v>7</v>
      </c>
      <c r="I11" s="425" t="n"/>
    </row>
    <row r="12" ht="15" customHeight="1" s="294">
      <c r="A12" s="340" t="inlineStr">
        <is>
          <t>Затраты труда рабочих</t>
        </is>
      </c>
      <c r="B12" s="420" t="n"/>
      <c r="C12" s="420" t="n"/>
      <c r="D12" s="420" t="n"/>
      <c r="E12" s="420" t="n"/>
      <c r="F12" s="426" t="n">
        <v>1088.95</v>
      </c>
      <c r="G12" s="205" t="n"/>
      <c r="H12" s="206">
        <f>SUM(H13:H18)</f>
        <v/>
      </c>
    </row>
    <row r="13">
      <c r="A13" s="197" t="n">
        <v>1</v>
      </c>
      <c r="B13" s="207" t="n"/>
      <c r="C13" s="198" t="inlineStr">
        <is>
          <t>1-4-5</t>
        </is>
      </c>
      <c r="D13" s="199" t="inlineStr">
        <is>
          <t>Затраты труда рабочих (ср 4,5)</t>
        </is>
      </c>
      <c r="E13" s="362" t="inlineStr">
        <is>
          <t>чел.-ч</t>
        </is>
      </c>
      <c r="F13" s="362" t="n">
        <v>592.17</v>
      </c>
      <c r="G13" s="196" t="n">
        <v>10.35</v>
      </c>
      <c r="H13" s="196">
        <f>ROUND(F13*G13,2)</f>
        <v/>
      </c>
    </row>
    <row r="14">
      <c r="A14" s="362" t="n">
        <v>2</v>
      </c>
      <c r="B14" s="207" t="n"/>
      <c r="C14" s="198" t="inlineStr">
        <is>
          <t>1-4-3</t>
        </is>
      </c>
      <c r="D14" s="199" t="inlineStr">
        <is>
          <t>Затраты труда рабочих (ср 4,3)</t>
        </is>
      </c>
      <c r="E14" s="362" t="inlineStr">
        <is>
          <t>чел.-ч</t>
        </is>
      </c>
      <c r="F14" s="362" t="n">
        <v>274.42</v>
      </c>
      <c r="G14" s="196" t="n">
        <v>10.06</v>
      </c>
      <c r="H14" s="196">
        <f>ROUND(F14*G14,2)</f>
        <v/>
      </c>
    </row>
    <row r="15">
      <c r="A15" s="362" t="n">
        <v>3</v>
      </c>
      <c r="B15" s="207" t="n"/>
      <c r="C15" s="198" t="inlineStr">
        <is>
          <t>1-3-0</t>
        </is>
      </c>
      <c r="D15" s="199" t="inlineStr">
        <is>
          <t>Затраты труда рабочих (ср 3)</t>
        </is>
      </c>
      <c r="E15" s="362" t="inlineStr">
        <is>
          <t>чел.-ч</t>
        </is>
      </c>
      <c r="F15" s="362" t="n">
        <v>144</v>
      </c>
      <c r="G15" s="196" t="n">
        <v>8.529999999999999</v>
      </c>
      <c r="H15" s="196">
        <f>ROUND(F15*G15,2)</f>
        <v/>
      </c>
    </row>
    <row r="16">
      <c r="A16" s="362" t="n">
        <v>4</v>
      </c>
      <c r="B16" s="207" t="n"/>
      <c r="C16" s="198" t="inlineStr">
        <is>
          <t>1-2-9</t>
        </is>
      </c>
      <c r="D16" s="199" t="inlineStr">
        <is>
          <t>Затраты труда рабочих (ср 2,9)</t>
        </is>
      </c>
      <c r="E16" s="362" t="inlineStr">
        <is>
          <t>чел.-ч</t>
        </is>
      </c>
      <c r="F16" s="362" t="n">
        <v>48</v>
      </c>
      <c r="G16" s="196" t="n">
        <v>8.460000000000001</v>
      </c>
      <c r="H16" s="196">
        <f>ROUND(F16*G16,2)</f>
        <v/>
      </c>
    </row>
    <row r="17">
      <c r="A17" s="362" t="n">
        <v>5</v>
      </c>
      <c r="B17" s="207" t="n"/>
      <c r="C17" s="198" t="inlineStr">
        <is>
          <t>10-3-1</t>
        </is>
      </c>
      <c r="D17" s="199" t="inlineStr">
        <is>
          <t>Инженер I категории</t>
        </is>
      </c>
      <c r="E17" s="362" t="inlineStr">
        <is>
          <t>чел.-ч</t>
        </is>
      </c>
      <c r="F17" s="362" t="n">
        <v>14.85</v>
      </c>
      <c r="G17" s="196" t="n">
        <v>15.49</v>
      </c>
      <c r="H17" s="196">
        <f>ROUND(F17*G17,2)</f>
        <v/>
      </c>
    </row>
    <row r="18">
      <c r="A18" s="362" t="n">
        <v>6</v>
      </c>
      <c r="B18" s="207" t="n"/>
      <c r="C18" s="198" t="inlineStr">
        <is>
          <t>1-6-0</t>
        </is>
      </c>
      <c r="D18" s="199" t="inlineStr">
        <is>
          <t>Затраты труда рабочих (ср 6)</t>
        </is>
      </c>
      <c r="E18" s="362" t="inlineStr">
        <is>
          <t>чел.-ч</t>
        </is>
      </c>
      <c r="F18" s="362" t="n">
        <v>15.51</v>
      </c>
      <c r="G18" s="196" t="n">
        <v>12.92</v>
      </c>
      <c r="H18" s="196">
        <f>ROUND(F18*G18,2)</f>
        <v/>
      </c>
    </row>
    <row r="19" ht="15" customHeight="1" s="294">
      <c r="A19" s="338" t="inlineStr">
        <is>
          <t>Затраты труда машинистов</t>
        </is>
      </c>
      <c r="B19" s="420" t="n"/>
      <c r="C19" s="420" t="n"/>
      <c r="D19" s="420" t="n"/>
      <c r="E19" s="421" t="n"/>
      <c r="F19" s="205" t="n"/>
      <c r="G19" s="205" t="n"/>
      <c r="H19" s="426">
        <f>H20</f>
        <v/>
      </c>
    </row>
    <row r="20">
      <c r="A20" s="197" t="n">
        <v>7</v>
      </c>
      <c r="B20" s="207" t="n"/>
      <c r="C20" s="198" t="n">
        <v>2</v>
      </c>
      <c r="D20" s="199" t="inlineStr">
        <is>
          <t>Затраты труда машинистов</t>
        </is>
      </c>
      <c r="E20" s="362" t="inlineStr">
        <is>
          <t>чел.-ч</t>
        </is>
      </c>
      <c r="F20" s="362" t="n">
        <v>569.03</v>
      </c>
      <c r="G20" s="196" t="n"/>
      <c r="H20" s="427" t="n">
        <v>7139.11</v>
      </c>
      <c r="J20" s="425" t="n"/>
      <c r="L20" s="184" t="n"/>
    </row>
    <row r="21" ht="15" customHeight="1" s="294">
      <c r="A21" s="338" t="inlineStr">
        <is>
          <t>Машины и механизмы</t>
        </is>
      </c>
      <c r="B21" s="420" t="n"/>
      <c r="C21" s="420" t="n"/>
      <c r="D21" s="420" t="n"/>
      <c r="E21" s="421" t="n"/>
      <c r="F21" s="205" t="n"/>
      <c r="G21" s="205" t="n"/>
      <c r="H21" s="426">
        <f>SUM(H22:H29)</f>
        <v/>
      </c>
    </row>
    <row r="22" ht="25.5" customHeight="1" s="294">
      <c r="A22" s="362" t="n">
        <v>8</v>
      </c>
      <c r="B22" s="207" t="n"/>
      <c r="C22" s="198" t="inlineStr">
        <is>
          <t>91.11.01-005</t>
        </is>
      </c>
      <c r="D22" s="199" t="inlineStr">
        <is>
          <t>Кабелеукладчики навесные вибрационные для прокладки оптического кабеля</t>
        </is>
      </c>
      <c r="E22" s="362" t="inlineStr">
        <is>
          <t>маш.час</t>
        </is>
      </c>
      <c r="F22" s="362" t="n">
        <v>108.32</v>
      </c>
      <c r="G22" s="201" t="n">
        <v>1056.99</v>
      </c>
      <c r="H22" s="196">
        <f>ROUND(F22*G22,2)</f>
        <v/>
      </c>
      <c r="I22" s="257" t="n"/>
    </row>
    <row r="23" ht="25.5" customHeight="1" s="294">
      <c r="A23" s="362" t="n">
        <v>9</v>
      </c>
      <c r="B23" s="207" t="n"/>
      <c r="C23" s="198" t="inlineStr">
        <is>
          <t>91.05.05-002</t>
        </is>
      </c>
      <c r="D23" s="199" t="inlineStr">
        <is>
          <t>Краны на автомобильном ходу в составе кабелеукладочной колонны, грузоподъемность 10 т</t>
        </is>
      </c>
      <c r="E23" s="362" t="inlineStr">
        <is>
          <t>маш.час</t>
        </is>
      </c>
      <c r="F23" s="362" t="n">
        <v>108.32</v>
      </c>
      <c r="G23" s="201" t="n">
        <v>332.29</v>
      </c>
      <c r="H23" s="196">
        <f>ROUND(F23*G23,2)</f>
        <v/>
      </c>
      <c r="I23" s="257" t="n"/>
    </row>
    <row r="24" ht="25.5" customHeight="1" s="294">
      <c r="A24" s="362" t="n">
        <v>10</v>
      </c>
      <c r="B24" s="207" t="n"/>
      <c r="C24" s="198" t="inlineStr">
        <is>
          <t>91.11.01-012</t>
        </is>
      </c>
      <c r="D24" s="199" t="inlineStr">
        <is>
          <t>Машины монтажные для выполнения работ при прокладке и монтаже кабеля на базе автомобиля</t>
        </is>
      </c>
      <c r="E24" s="362" t="inlineStr">
        <is>
          <t>маш.час</t>
        </is>
      </c>
      <c r="F24" s="362" t="n">
        <v>177.29</v>
      </c>
      <c r="G24" s="201" t="n">
        <v>110.86</v>
      </c>
      <c r="H24" s="196">
        <f>ROUND(F24*G24,2)</f>
        <v/>
      </c>
      <c r="I24" s="257" t="n"/>
    </row>
    <row r="25" ht="25.5" customHeight="1" s="294">
      <c r="A25" s="362" t="n">
        <v>11</v>
      </c>
      <c r="B25" s="207" t="n"/>
      <c r="C25" s="198" t="inlineStr">
        <is>
          <t>91.01.01-001</t>
        </is>
      </c>
      <c r="D25" s="199" t="inlineStr">
        <is>
          <t>Бульдозеры в составе кабелеукладочной колонны, мощность 128,7 кВт (175 л.с.)</t>
        </is>
      </c>
      <c r="E25" s="362" t="inlineStr">
        <is>
          <t>маш.час</t>
        </is>
      </c>
      <c r="F25" s="362" t="n">
        <v>57.77</v>
      </c>
      <c r="G25" s="201" t="n">
        <v>332.31</v>
      </c>
      <c r="H25" s="196">
        <f>ROUND(F25*G25,2)</f>
        <v/>
      </c>
    </row>
    <row r="26" ht="25.5" customHeight="1" s="294">
      <c r="A26" s="362" t="n">
        <v>12</v>
      </c>
      <c r="B26" s="207" t="n"/>
      <c r="C26" s="198" t="inlineStr">
        <is>
          <t>91.14.05-041</t>
        </is>
      </c>
      <c r="D26" s="199" t="inlineStr">
        <is>
          <t>Транспортеры прицепные кабельные, грузоподъемность до 7 т</t>
        </is>
      </c>
      <c r="E26" s="362" t="inlineStr">
        <is>
          <t>маш.час</t>
        </is>
      </c>
      <c r="F26" s="362" t="n">
        <v>57.77</v>
      </c>
      <c r="G26" s="201" t="n">
        <v>58.03</v>
      </c>
      <c r="H26" s="196">
        <f>ROUND(F26*G26,2)</f>
        <v/>
      </c>
    </row>
    <row r="27">
      <c r="A27" s="362" t="n">
        <v>13</v>
      </c>
      <c r="B27" s="207" t="n"/>
      <c r="C27" s="198" t="inlineStr">
        <is>
          <t>91.21.22-341</t>
        </is>
      </c>
      <c r="D27" s="199" t="inlineStr">
        <is>
          <t>Рефлектометры</t>
        </is>
      </c>
      <c r="E27" s="362" t="inlineStr">
        <is>
          <t>маш.час</t>
        </is>
      </c>
      <c r="F27" s="362" t="n">
        <v>272</v>
      </c>
      <c r="G27" s="201" t="n">
        <v>10.62</v>
      </c>
      <c r="H27" s="196">
        <f>ROUND(F27*G27,2)</f>
        <v/>
      </c>
    </row>
    <row r="28">
      <c r="A28" s="362" t="n">
        <v>14</v>
      </c>
      <c r="B28" s="207" t="n"/>
      <c r="C28" s="198" t="inlineStr">
        <is>
          <t>91.05.05-015</t>
        </is>
      </c>
      <c r="D28" s="199" t="inlineStr">
        <is>
          <t>Краны на автомобильном ходу, грузоподъемность 16 т</t>
        </is>
      </c>
      <c r="E28" s="362" t="inlineStr">
        <is>
          <t>маш.час</t>
        </is>
      </c>
      <c r="F28" s="362" t="n">
        <v>9</v>
      </c>
      <c r="G28" s="201" t="n">
        <v>115.4</v>
      </c>
      <c r="H28" s="196">
        <f>ROUND(F28*G28,2)</f>
        <v/>
      </c>
    </row>
    <row r="29">
      <c r="A29" s="362" t="n">
        <v>15</v>
      </c>
      <c r="B29" s="207" t="n"/>
      <c r="C29" s="198" t="inlineStr">
        <is>
          <t>91.12.08-161</t>
        </is>
      </c>
      <c r="D29" s="199" t="inlineStr">
        <is>
          <t>Ямокопатели</t>
        </is>
      </c>
      <c r="E29" s="362" t="inlineStr">
        <is>
          <t>маш.час</t>
        </is>
      </c>
      <c r="F29" s="362" t="n">
        <v>5.25</v>
      </c>
      <c r="G29" s="201" t="n">
        <v>6.51</v>
      </c>
      <c r="H29" s="196">
        <f>ROUND(F29*G29,2)</f>
        <v/>
      </c>
    </row>
    <row r="30" ht="15" customHeight="1" s="294">
      <c r="A30" s="338" t="inlineStr">
        <is>
          <t>Оборудование</t>
        </is>
      </c>
      <c r="B30" s="420" t="n"/>
      <c r="C30" s="420" t="n"/>
      <c r="D30" s="420" t="n"/>
      <c r="E30" s="421" t="n"/>
      <c r="F30" s="205" t="n"/>
      <c r="G30" s="205" t="n"/>
      <c r="H30" s="426" t="n">
        <v>0</v>
      </c>
    </row>
    <row r="31" ht="15" customHeight="1" s="294">
      <c r="A31" s="338" t="inlineStr">
        <is>
          <t>Материалы</t>
        </is>
      </c>
      <c r="B31" s="420" t="n"/>
      <c r="C31" s="420" t="n"/>
      <c r="D31" s="420" t="n"/>
      <c r="E31" s="421" t="n"/>
      <c r="F31" s="205" t="n"/>
      <c r="G31" s="205" t="n"/>
      <c r="H31" s="426">
        <f>SUM(H32:H52)</f>
        <v/>
      </c>
    </row>
    <row r="32">
      <c r="A32" s="197" t="n">
        <v>16</v>
      </c>
      <c r="B32" s="207" t="n"/>
      <c r="C32" s="198" t="inlineStr">
        <is>
          <t>Прайс из СД ОП</t>
        </is>
      </c>
      <c r="D32" s="199" t="inlineStr">
        <is>
          <t>ВОК диэлектрический 16 волокон  МДРН 15 кН</t>
        </is>
      </c>
      <c r="E32" s="362" t="inlineStr">
        <is>
          <t>1000 м</t>
        </is>
      </c>
      <c r="F32" s="362" t="n">
        <v>14.4431</v>
      </c>
      <c r="G32" s="362" t="n">
        <v>8724.82</v>
      </c>
      <c r="H32" s="196">
        <f>ROUND(F32*G32,2)</f>
        <v/>
      </c>
      <c r="I32" s="257" t="n"/>
    </row>
    <row r="33">
      <c r="A33" s="197" t="n">
        <v>17</v>
      </c>
      <c r="B33" s="207" t="n"/>
      <c r="C33" s="198" t="inlineStr">
        <is>
          <t>20.1.02.23-0171</t>
        </is>
      </c>
      <c r="D33" s="199" t="inlineStr">
        <is>
          <t>Столбик замерный железобетонный СЗК</t>
        </is>
      </c>
      <c r="E33" s="362" t="inlineStr">
        <is>
          <t>шт</t>
        </is>
      </c>
      <c r="F33" s="198" t="n">
        <v>75</v>
      </c>
      <c r="G33" s="196" t="n">
        <v>238.7</v>
      </c>
      <c r="H33" s="196">
        <f>ROUND(F33*G33,2)</f>
        <v/>
      </c>
      <c r="I33" s="257" t="n"/>
    </row>
    <row r="34" ht="51" customHeight="1" s="294">
      <c r="A34" s="197" t="n">
        <v>18</v>
      </c>
      <c r="B34" s="207" t="n"/>
      <c r="C34" s="198" t="inlineStr">
        <is>
          <t>20.2.09.09-0006</t>
        </is>
      </c>
      <c r="D34" s="199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</t>
        </is>
      </c>
      <c r="E34" s="362" t="inlineStr">
        <is>
          <t>компл</t>
        </is>
      </c>
      <c r="F34" s="198" t="n">
        <v>4</v>
      </c>
      <c r="G34" s="196" t="n">
        <v>1194.89</v>
      </c>
      <c r="H34" s="196">
        <f>ROUND(F34*G34,2)</f>
        <v/>
      </c>
      <c r="I34" s="257" t="n"/>
    </row>
    <row r="35">
      <c r="A35" s="197" t="n">
        <v>19</v>
      </c>
      <c r="B35" s="207" t="n"/>
      <c r="C35" s="198" t="inlineStr">
        <is>
          <t>20.2.09.10-0041</t>
        </is>
      </c>
      <c r="D35" s="199" t="inlineStr">
        <is>
          <t>Муфта защитная чугунная МЧЗ</t>
        </is>
      </c>
      <c r="E35" s="362" t="inlineStr">
        <is>
          <t>шт</t>
        </is>
      </c>
      <c r="F35" s="198" t="n">
        <v>2</v>
      </c>
      <c r="G35" s="196" t="n">
        <v>806.5</v>
      </c>
      <c r="H35" s="196">
        <f>ROUND(F35*G35,2)</f>
        <v/>
      </c>
      <c r="I35" s="257" t="n"/>
    </row>
    <row r="36" ht="25.5" customHeight="1" s="294">
      <c r="A36" s="197" t="n">
        <v>20</v>
      </c>
      <c r="B36" s="207" t="n"/>
      <c r="C36" s="198" t="inlineStr">
        <is>
          <t>01.7.06.08-0003</t>
        </is>
      </c>
      <c r="D36" s="199" t="inlineStr">
        <is>
          <t>Лента полиэтиленовая сигнальная, ширина 200 мм, толщина 50 мкм</t>
        </is>
      </c>
      <c r="E36" s="362" t="inlineStr">
        <is>
          <t>100 м</t>
        </is>
      </c>
      <c r="F36" s="198" t="n">
        <v>14.4431</v>
      </c>
      <c r="G36" s="196" t="n">
        <v>108</v>
      </c>
      <c r="H36" s="196">
        <f>ROUND(F36*G36,2)</f>
        <v/>
      </c>
      <c r="I36" s="257" t="n"/>
    </row>
    <row r="37">
      <c r="A37" s="197" t="n">
        <v>21</v>
      </c>
      <c r="B37" s="207" t="n"/>
      <c r="C37" s="362" t="inlineStr">
        <is>
          <t>Прайс из СД ОП</t>
        </is>
      </c>
      <c r="D37" s="199" t="inlineStr">
        <is>
          <t>Комплект №4 для ввода ОК</t>
        </is>
      </c>
      <c r="E37" s="362" t="inlineStr">
        <is>
          <t>шт.</t>
        </is>
      </c>
      <c r="F37" s="362" t="n">
        <v>8</v>
      </c>
      <c r="G37" s="196" t="n">
        <v>174.11</v>
      </c>
      <c r="H37" s="196">
        <f>ROUND(F37*G37,2)</f>
        <v/>
      </c>
      <c r="I37" s="257" t="n"/>
    </row>
    <row r="38">
      <c r="A38" s="197" t="n">
        <v>22</v>
      </c>
      <c r="B38" s="207" t="n"/>
      <c r="C38" s="198" t="inlineStr">
        <is>
          <t>Прайс из СД ОП</t>
        </is>
      </c>
      <c r="D38" s="199" t="inlineStr">
        <is>
          <t>Муфта МПЗ</t>
        </is>
      </c>
      <c r="E38" s="362" t="inlineStr">
        <is>
          <t>шт.</t>
        </is>
      </c>
      <c r="F38" s="198" t="n">
        <v>2</v>
      </c>
      <c r="G38" s="196" t="n">
        <v>170.7</v>
      </c>
      <c r="H38" s="196">
        <f>ROUND(F38*G38,2)</f>
        <v/>
      </c>
      <c r="I38" s="257" t="n"/>
    </row>
    <row r="39">
      <c r="A39" s="197" t="n">
        <v>23</v>
      </c>
      <c r="B39" s="207" t="n"/>
      <c r="C39" s="198" t="inlineStr">
        <is>
          <t>14.4.02.07-0002</t>
        </is>
      </c>
      <c r="D39" s="199" t="inlineStr">
        <is>
          <t>Эмаль перхлорвиниловая фасадная ХВ-161</t>
        </is>
      </c>
      <c r="E39" s="362" t="inlineStr">
        <is>
          <t>т</t>
        </is>
      </c>
      <c r="F39" s="198" t="n">
        <v>0.02088</v>
      </c>
      <c r="G39" s="196" t="n">
        <v>15989</v>
      </c>
      <c r="H39" s="196">
        <f>ROUND(F39*G39,2)</f>
        <v/>
      </c>
      <c r="I39" s="257" t="n"/>
    </row>
    <row r="40" ht="25.5" customHeight="1" s="294">
      <c r="A40" s="197" t="n">
        <v>24</v>
      </c>
      <c r="B40" s="207" t="n"/>
      <c r="C40" s="198" t="inlineStr">
        <is>
          <t>999-9950</t>
        </is>
      </c>
      <c r="D40" s="199" t="inlineStr">
        <is>
          <t>Вспомогательные ненормируемые ресурсы (2% от Оплаты труда рабочих)</t>
        </is>
      </c>
      <c r="E40" s="362" t="inlineStr">
        <is>
          <t>руб</t>
        </is>
      </c>
      <c r="F40" s="198" t="inlineStr">
        <is>
          <t>210,934561</t>
        </is>
      </c>
      <c r="G40" s="196" t="n">
        <v>1</v>
      </c>
      <c r="H40" s="196">
        <f>ROUND(F40*G40,2)</f>
        <v/>
      </c>
      <c r="I40" s="257" t="n"/>
    </row>
    <row r="41" ht="25.5" customHeight="1" s="294">
      <c r="A41" s="197" t="n">
        <v>25</v>
      </c>
      <c r="B41" s="207" t="n"/>
      <c r="C41" s="198" t="inlineStr">
        <is>
          <t>10.3.02.03-0036</t>
        </is>
      </c>
      <c r="D41" s="199" t="inlineStr">
        <is>
          <t>Припои оловянно-свинцовые сурьмянистые, марка ПОССу 30-2</t>
        </is>
      </c>
      <c r="E41" s="362" t="inlineStr">
        <is>
          <t>т</t>
        </is>
      </c>
      <c r="F41" s="198" t="n">
        <v>0.00272</v>
      </c>
      <c r="G41" s="196" t="n">
        <v>63598.66</v>
      </c>
      <c r="H41" s="196">
        <f>ROUND(F41*G41,2)</f>
        <v/>
      </c>
    </row>
    <row r="42">
      <c r="A42" s="197" t="n">
        <v>26</v>
      </c>
      <c r="B42" s="207" t="n"/>
      <c r="C42" s="198" t="inlineStr">
        <is>
          <t>14.2.04.03-0015</t>
        </is>
      </c>
      <c r="D42" s="199" t="inlineStr">
        <is>
          <t>Смола эпоксидная ЭД-20</t>
        </is>
      </c>
      <c r="E42" s="362" t="inlineStr">
        <is>
          <t>т</t>
        </is>
      </c>
      <c r="F42" s="198" t="n">
        <v>0.0027</v>
      </c>
      <c r="G42" s="196" t="n">
        <v>53562</v>
      </c>
      <c r="H42" s="196">
        <f>ROUND(F42*G42,2)</f>
        <v/>
      </c>
    </row>
    <row r="43">
      <c r="A43" s="197" t="n">
        <v>27</v>
      </c>
      <c r="B43" s="207" t="n"/>
      <c r="C43" s="198" t="inlineStr">
        <is>
          <t>Прайс из СД ОП</t>
        </is>
      </c>
      <c r="D43" s="199" t="inlineStr">
        <is>
          <t>Комплект герметика для муфт МПЗ и МЧЗ</t>
        </is>
      </c>
      <c r="E43" s="362" t="inlineStr">
        <is>
          <t>компл.</t>
        </is>
      </c>
      <c r="F43" s="198" t="n">
        <v>2</v>
      </c>
      <c r="G43" s="196" t="n">
        <v>55.14</v>
      </c>
      <c r="H43" s="196">
        <f>ROUND(F43*G43,2)</f>
        <v/>
      </c>
    </row>
    <row r="44">
      <c r="A44" s="197" t="n">
        <v>28</v>
      </c>
      <c r="B44" s="207" t="n"/>
      <c r="C44" s="198" t="inlineStr">
        <is>
          <t>14.4.01.01-0003</t>
        </is>
      </c>
      <c r="D44" s="199" t="inlineStr">
        <is>
          <t>Грунтовка ГФ-021</t>
        </is>
      </c>
      <c r="E44" s="362" t="inlineStr">
        <is>
          <t>т</t>
        </is>
      </c>
      <c r="F44" s="198" t="n">
        <v>0.00609</v>
      </c>
      <c r="G44" s="196" t="n">
        <v>15620</v>
      </c>
      <c r="H44" s="196">
        <f>ROUND(F44*G44,2)</f>
        <v/>
      </c>
    </row>
    <row r="45">
      <c r="A45" s="197" t="n">
        <v>29</v>
      </c>
      <c r="B45" s="207" t="n"/>
      <c r="C45" s="198" t="inlineStr">
        <is>
          <t>01.3.01.01-0001</t>
        </is>
      </c>
      <c r="D45" s="199" t="inlineStr">
        <is>
          <t>Бензин авиационный Б-70</t>
        </is>
      </c>
      <c r="E45" s="362" t="inlineStr">
        <is>
          <t>т</t>
        </is>
      </c>
      <c r="F45" s="198" t="n">
        <v>0.0048</v>
      </c>
      <c r="G45" s="196" t="n">
        <v>4488.4</v>
      </c>
      <c r="H45" s="196">
        <f>ROUND(F45*G45,2)</f>
        <v/>
      </c>
    </row>
    <row r="46" ht="25.5" customHeight="1" s="294">
      <c r="A46" s="197" t="n">
        <v>30</v>
      </c>
      <c r="B46" s="207" t="n"/>
      <c r="C46" s="198" t="inlineStr">
        <is>
          <t>12.2.03.12-0002</t>
        </is>
      </c>
      <c r="D46" s="199" t="inlineStr">
        <is>
          <t>Фольга алюминиевая для технических целей мягкая, рулонная, толщина 0,1 мм</t>
        </is>
      </c>
      <c r="E46" s="362" t="inlineStr">
        <is>
          <t>кг</t>
        </is>
      </c>
      <c r="F46" s="198" t="n">
        <v>0.4125</v>
      </c>
      <c r="G46" s="196" t="n">
        <v>35.49</v>
      </c>
      <c r="H46" s="196">
        <f>ROUND(F46*G46,2)</f>
        <v/>
      </c>
    </row>
    <row r="47" ht="25.5" customHeight="1" s="294">
      <c r="A47" s="197" t="n">
        <v>31</v>
      </c>
      <c r="B47" s="207" t="n"/>
      <c r="C47" s="198" t="inlineStr">
        <is>
          <t>01.7.06.03-0004</t>
        </is>
      </c>
      <c r="D47" s="199" t="inlineStr">
        <is>
          <t>Лента поливинилхлоридная техническая с липким слоем, толщина 0,4 мм</t>
        </is>
      </c>
      <c r="E47" s="362" t="inlineStr">
        <is>
          <t>кг</t>
        </is>
      </c>
      <c r="F47" s="198" t="n">
        <v>0.624</v>
      </c>
      <c r="G47" s="196" t="n">
        <v>21.3</v>
      </c>
      <c r="H47" s="196">
        <f>ROUND(F47*G47,2)</f>
        <v/>
      </c>
    </row>
    <row r="48">
      <c r="A48" s="197" t="n">
        <v>32</v>
      </c>
      <c r="B48" s="207" t="n"/>
      <c r="C48" s="198" t="inlineStr">
        <is>
          <t>01.3.05.38-0371</t>
        </is>
      </c>
      <c r="D48" s="199" t="inlineStr">
        <is>
          <t>Кислота стеариновая техническая</t>
        </is>
      </c>
      <c r="E48" s="362" t="inlineStr">
        <is>
          <t>кг</t>
        </is>
      </c>
      <c r="F48" s="198" t="n">
        <v>0.2</v>
      </c>
      <c r="G48" s="196" t="n">
        <v>16.8</v>
      </c>
      <c r="H48" s="196">
        <f>ROUND(F48*G48,2)</f>
        <v/>
      </c>
    </row>
    <row r="49">
      <c r="A49" s="197" t="n">
        <v>33</v>
      </c>
      <c r="B49" s="207" t="n"/>
      <c r="C49" s="198" t="inlineStr">
        <is>
          <t>01.7.02.04-0001</t>
        </is>
      </c>
      <c r="D49" s="199" t="inlineStr">
        <is>
          <t>Бумага кабельная электроизоляционная, двухслойная</t>
        </is>
      </c>
      <c r="E49" s="362" t="inlineStr">
        <is>
          <t>кг</t>
        </is>
      </c>
      <c r="F49" s="198" t="n">
        <v>0.112</v>
      </c>
      <c r="G49" s="196" t="n">
        <v>21.32</v>
      </c>
      <c r="H49" s="196">
        <f>ROUND(F49*G49,2)</f>
        <v/>
      </c>
    </row>
    <row r="50" ht="25.5" customHeight="1" s="294">
      <c r="A50" s="197" t="n">
        <v>34</v>
      </c>
      <c r="B50" s="207" t="n"/>
      <c r="C50" s="198" t="inlineStr">
        <is>
          <t>22.2.02.05-0001</t>
        </is>
      </c>
      <c r="D50" s="199" t="inlineStr">
        <is>
          <t>Кольца групповые полиэтиленовые, длина 8 мм, внутренний диаметр 4,6 мм</t>
        </is>
      </c>
      <c r="E50" s="362" t="inlineStr">
        <is>
          <t>1000 шт</t>
        </is>
      </c>
      <c r="F50" s="198" t="n">
        <v>0.07199999999999999</v>
      </c>
      <c r="G50" s="196" t="n">
        <v>30.1</v>
      </c>
      <c r="H50" s="196">
        <f>ROUND(F50*G50,2)</f>
        <v/>
      </c>
    </row>
    <row r="51">
      <c r="A51" s="197" t="n">
        <v>35</v>
      </c>
      <c r="B51" s="207" t="n"/>
      <c r="C51" s="198" t="inlineStr">
        <is>
          <t>14.4.03.03-0102</t>
        </is>
      </c>
      <c r="D51" s="199" t="inlineStr">
        <is>
          <t>Лак битумный БТ-577</t>
        </is>
      </c>
      <c r="E51" s="362" t="inlineStr">
        <is>
          <t>т</t>
        </is>
      </c>
      <c r="F51" s="198" t="n">
        <v>0.00016</v>
      </c>
      <c r="G51" s="196" t="n">
        <v>9550.01</v>
      </c>
      <c r="H51" s="196">
        <f>ROUND(F51*G51,2)</f>
        <v/>
      </c>
    </row>
    <row r="52">
      <c r="A52" s="197" t="n">
        <v>36</v>
      </c>
      <c r="B52" s="207" t="n"/>
      <c r="C52" s="198" t="inlineStr">
        <is>
          <t>01.3.05.17-0002</t>
        </is>
      </c>
      <c r="D52" s="199" t="inlineStr">
        <is>
          <t>Канифоль сосновая</t>
        </is>
      </c>
      <c r="E52" s="362" t="inlineStr">
        <is>
          <t>кг</t>
        </is>
      </c>
      <c r="F52" s="198" t="n">
        <v>0.024</v>
      </c>
      <c r="G52" s="196" t="n">
        <v>27.74</v>
      </c>
      <c r="H52" s="196">
        <f>ROUND(F52*G52,2)</f>
        <v/>
      </c>
    </row>
    <row r="53">
      <c r="A53" s="267" t="n"/>
      <c r="I53" s="425" t="n"/>
    </row>
    <row r="55">
      <c r="B55" s="281" t="inlineStr">
        <is>
          <t>Составил ______________________        Е. М. Добровольская</t>
        </is>
      </c>
      <c r="C55" s="288" t="n"/>
    </row>
    <row r="56">
      <c r="B56" s="289" t="inlineStr">
        <is>
          <t xml:space="preserve">                         (подпись, инициалы, фамилия)</t>
        </is>
      </c>
      <c r="C56" s="288" t="n"/>
    </row>
    <row r="57">
      <c r="B57" s="281" t="n"/>
      <c r="C57" s="288" t="n"/>
    </row>
    <row r="58">
      <c r="B58" s="281" t="inlineStr">
        <is>
          <t>Проверил ______________________        А.В. Костянецкая</t>
        </is>
      </c>
      <c r="C58" s="288" t="n"/>
    </row>
    <row r="59">
      <c r="B59" s="289" t="inlineStr">
        <is>
          <t xml:space="preserve">                        (подпись, инициалы, фамилия)</t>
        </is>
      </c>
      <c r="C59" s="288" t="n"/>
    </row>
  </sheetData>
  <mergeCells count="15">
    <mergeCell ref="A21:E21"/>
    <mergeCell ref="C9:C10"/>
    <mergeCell ref="B9:B10"/>
    <mergeCell ref="A30:E30"/>
    <mergeCell ref="D9:D10"/>
    <mergeCell ref="A12:E12"/>
    <mergeCell ref="A3:H3"/>
    <mergeCell ref="E9:E10"/>
    <mergeCell ref="F9:F10"/>
    <mergeCell ref="A9:A10"/>
    <mergeCell ref="A2:H2"/>
    <mergeCell ref="A19:E19"/>
    <mergeCell ref="A31:E31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K50"/>
  <sheetViews>
    <sheetView view="pageBreakPreview" topLeftCell="A34" workbookViewId="0">
      <selection activeCell="B43" sqref="B43"/>
    </sheetView>
  </sheetViews>
  <sheetFormatPr baseColWidth="8" defaultRowHeight="15"/>
  <cols>
    <col width="4.140625" customWidth="1" style="294" min="1" max="1"/>
    <col width="36.28515625" customWidth="1" style="294" min="2" max="2"/>
    <col width="18.85546875" customWidth="1" style="294" min="3" max="3"/>
    <col width="18.28515625" customWidth="1" style="294" min="4" max="4"/>
    <col width="18.85546875" customWidth="1" style="294" min="5" max="5"/>
    <col width="9.140625" customWidth="1" style="294" min="6" max="10"/>
    <col width="13.5703125" customWidth="1" style="294" min="11" max="11"/>
    <col width="9.140625" customWidth="1" style="294" min="12" max="12"/>
  </cols>
  <sheetData>
    <row r="1">
      <c r="B1" s="281" t="n"/>
      <c r="C1" s="281" t="n"/>
      <c r="D1" s="281" t="n"/>
      <c r="E1" s="281" t="n"/>
    </row>
    <row r="2">
      <c r="B2" s="281" t="n"/>
      <c r="C2" s="281" t="n"/>
      <c r="D2" s="281" t="n"/>
      <c r="E2" s="361" t="inlineStr">
        <is>
          <t>Приложение № 4</t>
        </is>
      </c>
    </row>
    <row r="3">
      <c r="B3" s="281" t="n"/>
      <c r="C3" s="281" t="n"/>
      <c r="D3" s="281" t="n"/>
      <c r="E3" s="281" t="n"/>
    </row>
    <row r="4">
      <c r="B4" s="281" t="n"/>
      <c r="C4" s="281" t="n"/>
      <c r="D4" s="281" t="n"/>
      <c r="E4" s="281" t="n"/>
    </row>
    <row r="5">
      <c r="B5" s="319" t="inlineStr">
        <is>
          <t>Ресурсная модель</t>
        </is>
      </c>
    </row>
    <row r="6">
      <c r="B6" s="168" t="n"/>
      <c r="C6" s="281" t="n"/>
      <c r="D6" s="281" t="n"/>
      <c r="E6" s="281" t="n"/>
    </row>
    <row r="7" ht="34.5" customHeight="1" s="294">
      <c r="B7" s="342" t="inlineStr">
        <is>
          <t>Наименование разрабатываемого показателя УНЦ - ВОК количество волокон 16 шт., максимально-допустимая растягивающая нагрузка 15 кН</t>
        </is>
      </c>
    </row>
    <row r="8">
      <c r="B8" s="343">
        <f>'Прил.1 Сравнит табл'!B9</f>
        <v/>
      </c>
    </row>
    <row r="9">
      <c r="B9" s="168" t="n"/>
      <c r="C9" s="281" t="n"/>
      <c r="D9" s="281" t="n"/>
      <c r="E9" s="281" t="n"/>
    </row>
    <row r="10" ht="51" customHeight="1" s="294">
      <c r="B10" s="345" t="inlineStr">
        <is>
          <t>Наименование</t>
        </is>
      </c>
      <c r="C10" s="345" t="inlineStr">
        <is>
          <t>Сметная стоимость в ценах на 01.01.2023
 (руб.)</t>
        </is>
      </c>
      <c r="D10" s="345" t="inlineStr">
        <is>
          <t>Удельный вес, 
(в СМР)</t>
        </is>
      </c>
      <c r="E10" s="345" t="inlineStr">
        <is>
          <t>Удельный вес, % 
(от всего по РМ)</t>
        </is>
      </c>
    </row>
    <row r="11">
      <c r="B11" s="210" t="inlineStr">
        <is>
          <t>Оплата труда рабочих</t>
        </is>
      </c>
      <c r="C11" s="283">
        <f>'Прил.5 Расчет СМР и ОБ'!J15</f>
        <v/>
      </c>
      <c r="D11" s="212">
        <f>C11/$C$24</f>
        <v/>
      </c>
      <c r="E11" s="212">
        <f>C11/$C$40</f>
        <v/>
      </c>
    </row>
    <row r="12">
      <c r="B12" s="210" t="inlineStr">
        <is>
          <t>Эксплуатация машин основных</t>
        </is>
      </c>
      <c r="C12" s="283">
        <f>'Прил.5 Расчет СМР и ОБ'!J23</f>
        <v/>
      </c>
      <c r="D12" s="212">
        <f>C12/$C$24</f>
        <v/>
      </c>
      <c r="E12" s="212">
        <f>C12/$C$40</f>
        <v/>
      </c>
    </row>
    <row r="13">
      <c r="B13" s="210" t="inlineStr">
        <is>
          <t>Эксплуатация машин прочих</t>
        </is>
      </c>
      <c r="C13" s="283">
        <f>'Прил.5 Расчет СМР и ОБ'!J29</f>
        <v/>
      </c>
      <c r="D13" s="212">
        <f>C13/$C$24</f>
        <v/>
      </c>
      <c r="E13" s="212">
        <f>C13/$C$40</f>
        <v/>
      </c>
    </row>
    <row r="14">
      <c r="B14" s="210" t="inlineStr">
        <is>
          <t>ЭКСПЛУАТАЦИЯ МАШИН, ВСЕГО:</t>
        </is>
      </c>
      <c r="C14" s="283">
        <f>C13+C12</f>
        <v/>
      </c>
      <c r="D14" s="212">
        <f>C14/$C$24</f>
        <v/>
      </c>
      <c r="E14" s="212">
        <f>C14/$C$40</f>
        <v/>
      </c>
    </row>
    <row r="15">
      <c r="B15" s="210" t="inlineStr">
        <is>
          <t>в том числе зарплата машинистов</t>
        </is>
      </c>
      <c r="C15" s="283">
        <f>'Прил.5 Расчет СМР и ОБ'!J17</f>
        <v/>
      </c>
      <c r="D15" s="212">
        <f>C15/$C$24</f>
        <v/>
      </c>
      <c r="E15" s="212">
        <f>C15/$C$40</f>
        <v/>
      </c>
    </row>
    <row r="16">
      <c r="B16" s="210" t="inlineStr">
        <is>
          <t>Материалы основные</t>
        </is>
      </c>
      <c r="C16" s="283">
        <f>'Прил.5 Расчет СМР и ОБ'!J41</f>
        <v/>
      </c>
      <c r="D16" s="212">
        <f>C16/$C$24</f>
        <v/>
      </c>
      <c r="E16" s="212">
        <f>C16/$C$40</f>
        <v/>
      </c>
    </row>
    <row r="17">
      <c r="B17" s="210" t="inlineStr">
        <is>
          <t>Материалы прочие</t>
        </is>
      </c>
      <c r="C17" s="283">
        <f>'Прил.5 Расчет СМР и ОБ'!J61</f>
        <v/>
      </c>
      <c r="D17" s="212">
        <f>C17/$C$24</f>
        <v/>
      </c>
      <c r="E17" s="212">
        <f>C17/$C$40</f>
        <v/>
      </c>
    </row>
    <row r="18">
      <c r="B18" s="210" t="inlineStr">
        <is>
          <t>МАТЕРИАЛЫ, ВСЕГО:</t>
        </is>
      </c>
      <c r="C18" s="283">
        <f>C17+C16</f>
        <v/>
      </c>
      <c r="D18" s="212">
        <f>C18/$C$24</f>
        <v/>
      </c>
      <c r="E18" s="212">
        <f>C18/$C$40</f>
        <v/>
      </c>
    </row>
    <row r="19">
      <c r="B19" s="210" t="inlineStr">
        <is>
          <t>ИТОГО</t>
        </is>
      </c>
      <c r="C19" s="283">
        <f>C18+C14+C11</f>
        <v/>
      </c>
      <c r="D19" s="212" t="n"/>
      <c r="E19" s="210" t="n"/>
    </row>
    <row r="20">
      <c r="B20" s="210" t="inlineStr">
        <is>
          <t>Сметная прибыль, руб.</t>
        </is>
      </c>
      <c r="C20" s="283">
        <f>ROUND(C21*(C11+C15),2)</f>
        <v/>
      </c>
      <c r="D20" s="212">
        <f>C20/$C$24</f>
        <v/>
      </c>
      <c r="E20" s="212">
        <f>C20/$C$40</f>
        <v/>
      </c>
    </row>
    <row r="21">
      <c r="B21" s="210" t="inlineStr">
        <is>
          <t>Сметная прибыль, %</t>
        </is>
      </c>
      <c r="C21" s="215">
        <f>'Прил.5 Расчет СМР и ОБ'!E65</f>
        <v/>
      </c>
      <c r="D21" s="212" t="n"/>
      <c r="E21" s="210" t="n"/>
    </row>
    <row r="22">
      <c r="B22" s="210" t="inlineStr">
        <is>
          <t>Накладные расходы, руб.</t>
        </is>
      </c>
      <c r="C22" s="283">
        <f>ROUND(C23*(C11+C15),2)</f>
        <v/>
      </c>
      <c r="D22" s="212">
        <f>C22/$C$24</f>
        <v/>
      </c>
      <c r="E22" s="212">
        <f>C22/$C$40</f>
        <v/>
      </c>
    </row>
    <row r="23">
      <c r="B23" s="210" t="inlineStr">
        <is>
          <t>Накладные расходы, %</t>
        </is>
      </c>
      <c r="C23" s="215">
        <f>'Прил.5 Расчет СМР и ОБ'!E64</f>
        <v/>
      </c>
      <c r="D23" s="212" t="n"/>
      <c r="E23" s="210" t="n"/>
    </row>
    <row r="24">
      <c r="B24" s="210" t="inlineStr">
        <is>
          <t>ВСЕГО СМР с НР и СП</t>
        </is>
      </c>
      <c r="C24" s="283">
        <f>C19+C20+C22</f>
        <v/>
      </c>
      <c r="D24" s="212">
        <f>C24/$C$24</f>
        <v/>
      </c>
      <c r="E24" s="212">
        <f>C24/$C$40</f>
        <v/>
      </c>
    </row>
    <row r="25" ht="25.5" customHeight="1" s="294">
      <c r="B25" s="210" t="inlineStr">
        <is>
          <t>ВСЕГО стоимость оборудования, в том числе</t>
        </is>
      </c>
      <c r="C25" s="283">
        <f>'Прил.5 Расчет СМР и ОБ'!J36</f>
        <v/>
      </c>
      <c r="D25" s="212" t="n"/>
      <c r="E25" s="212">
        <f>C25/$C$40</f>
        <v/>
      </c>
    </row>
    <row r="26" ht="25.5" customHeight="1" s="294">
      <c r="B26" s="210" t="inlineStr">
        <is>
          <t>стоимость оборудования технологического</t>
        </is>
      </c>
      <c r="C26" s="283">
        <f>C25</f>
        <v/>
      </c>
      <c r="D26" s="212" t="n"/>
      <c r="E26" s="212">
        <f>C26/$C$40</f>
        <v/>
      </c>
    </row>
    <row r="27">
      <c r="B27" s="210" t="inlineStr">
        <is>
          <t>ИТОГО (СМР + ОБОРУДОВАНИЕ)</t>
        </is>
      </c>
      <c r="C27" s="211">
        <f>C24+C25</f>
        <v/>
      </c>
      <c r="D27" s="212" t="n"/>
      <c r="E27" s="212">
        <f>C27/$C$40</f>
        <v/>
      </c>
    </row>
    <row r="28" ht="33" customHeight="1" s="294">
      <c r="B28" s="210" t="inlineStr">
        <is>
          <t>ПРОЧ. ЗАТР., УЧТЕННЫЕ ПОКАЗАТЕЛЕМ,  в том числе</t>
        </is>
      </c>
      <c r="C28" s="210" t="n"/>
      <c r="D28" s="210" t="n"/>
      <c r="E28" s="210" t="n"/>
    </row>
    <row r="29" ht="25.5" customHeight="1" s="294">
      <c r="B29" s="210" t="inlineStr">
        <is>
          <t>Временные здания и сооружения - 3,9%</t>
        </is>
      </c>
      <c r="C29" s="211">
        <f>ROUND(C24*3.9%,2)</f>
        <v/>
      </c>
      <c r="D29" s="210" t="n"/>
      <c r="E29" s="212">
        <f>C29/$C$40</f>
        <v/>
      </c>
    </row>
    <row r="30" ht="38.25" customHeight="1" s="294">
      <c r="B30" s="210" t="inlineStr">
        <is>
          <t>Дополнительные затраты при производстве строительно-монтажных работ в зимнее время - 2,1%</t>
        </is>
      </c>
      <c r="C30" s="211">
        <f>ROUND((C24+C29)*2.1%,2)</f>
        <v/>
      </c>
      <c r="D30" s="210" t="n"/>
      <c r="E30" s="212">
        <f>C30/$C$40</f>
        <v/>
      </c>
    </row>
    <row r="31">
      <c r="B31" s="210" t="inlineStr">
        <is>
          <t>Пусконаладочные работы</t>
        </is>
      </c>
      <c r="C31" s="211">
        <f>ROUND(C25*7%*0.8,2)</f>
        <v/>
      </c>
      <c r="D31" s="210" t="n"/>
      <c r="E31" s="212">
        <f>C31/$C$40</f>
        <v/>
      </c>
    </row>
    <row r="32" ht="25.5" customHeight="1" s="294">
      <c r="B32" s="210" t="inlineStr">
        <is>
          <t>Затраты по перевозке работников к месту работы и обратно</t>
        </is>
      </c>
      <c r="C32" s="211" t="n">
        <v>0</v>
      </c>
      <c r="D32" s="210" t="n"/>
      <c r="E32" s="212">
        <f>C32/$C$40</f>
        <v/>
      </c>
    </row>
    <row r="33" ht="25.5" customHeight="1" s="294">
      <c r="B33" s="210" t="inlineStr">
        <is>
          <t>Затраты, связанные с осуществлением работ вахтовым методом</t>
        </is>
      </c>
      <c r="C33" s="211" t="n">
        <v>0</v>
      </c>
      <c r="D33" s="210" t="n"/>
      <c r="E33" s="212">
        <f>C33/$C$40</f>
        <v/>
      </c>
    </row>
    <row r="34" ht="51" customHeight="1" s="294">
      <c r="B34" s="21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11" t="n">
        <v>0</v>
      </c>
      <c r="D34" s="210" t="n"/>
      <c r="E34" s="212">
        <f>C34/$C$40</f>
        <v/>
      </c>
    </row>
    <row r="35" ht="76.7" customHeight="1" s="294">
      <c r="B35" s="21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11" t="n">
        <v>0</v>
      </c>
      <c r="D35" s="210" t="n"/>
      <c r="E35" s="212">
        <f>C35/$C$40</f>
        <v/>
      </c>
    </row>
    <row r="36" ht="25.5" customHeight="1" s="294">
      <c r="B36" s="210" t="inlineStr">
        <is>
          <t>Строительный контроль и содержание службы заказчика - 2,14%</t>
        </is>
      </c>
      <c r="C36" s="211">
        <f>ROUND((C27+C29+C31+C30)*2.14%,2)</f>
        <v/>
      </c>
      <c r="D36" s="210" t="n"/>
      <c r="E36" s="212">
        <f>C36/$C$40</f>
        <v/>
      </c>
      <c r="K36" s="169" t="n"/>
    </row>
    <row r="37">
      <c r="B37" s="210" t="inlineStr">
        <is>
          <t>Авторский надзор - 0,2%</t>
        </is>
      </c>
      <c r="C37" s="211">
        <f>ROUND((C27+C29+C30+C31)*0.2%,2)</f>
        <v/>
      </c>
      <c r="D37" s="210" t="n"/>
      <c r="E37" s="212">
        <f>C37/$C$40</f>
        <v/>
      </c>
      <c r="K37" s="169" t="n"/>
    </row>
    <row r="38" ht="38.25" customHeight="1" s="294">
      <c r="B38" s="210" t="inlineStr">
        <is>
          <t>ИТОГО (СМР+ОБОРУДОВАНИЕ+ПРОЧ. ЗАТР., УЧТЕННЫЕ ПОКАЗАТЕЛЕМ)</t>
        </is>
      </c>
      <c r="C38" s="283">
        <f>C36+C30+C27+C29+C31+C37</f>
        <v/>
      </c>
      <c r="D38" s="210" t="n"/>
      <c r="E38" s="212">
        <f>C38/$C$40</f>
        <v/>
      </c>
    </row>
    <row r="39" ht="13.7" customHeight="1" s="294">
      <c r="B39" s="210" t="inlineStr">
        <is>
          <t>Непредвиденные расходы</t>
        </is>
      </c>
      <c r="C39" s="283">
        <f>ROUND(C38*3%,2)</f>
        <v/>
      </c>
      <c r="D39" s="210" t="n"/>
      <c r="E39" s="212">
        <f>C39/$C$38</f>
        <v/>
      </c>
    </row>
    <row r="40">
      <c r="B40" s="210" t="inlineStr">
        <is>
          <t>ВСЕГО:</t>
        </is>
      </c>
      <c r="C40" s="283">
        <f>C39+C38</f>
        <v/>
      </c>
      <c r="D40" s="210" t="n"/>
      <c r="E40" s="212">
        <f>C40/$C$40</f>
        <v/>
      </c>
    </row>
    <row r="41">
      <c r="B41" s="210" t="inlineStr">
        <is>
          <t>ИТОГО ПОКАЗАТЕЛЬ НА ЕД. ИЗМ.</t>
        </is>
      </c>
      <c r="C41" s="283">
        <f>C40/'Прил.5 Расчет СМР и ОБ'!E68</f>
        <v/>
      </c>
      <c r="D41" s="210" t="n"/>
      <c r="E41" s="210" t="n"/>
    </row>
    <row r="42">
      <c r="B42" s="285" t="n"/>
      <c r="C42" s="281" t="n"/>
      <c r="D42" s="281" t="n"/>
      <c r="E42" s="281" t="n"/>
    </row>
    <row r="43">
      <c r="B43" s="285" t="inlineStr">
        <is>
          <t>Составил ____________________________ Е. М. Добровольская</t>
        </is>
      </c>
      <c r="C43" s="281" t="n"/>
      <c r="D43" s="281" t="n"/>
      <c r="E43" s="281" t="n"/>
    </row>
    <row r="44">
      <c r="B44" s="285" t="inlineStr">
        <is>
          <t xml:space="preserve">(должность, подпись, инициалы, фамилия) </t>
        </is>
      </c>
      <c r="C44" s="281" t="n"/>
      <c r="D44" s="281" t="n"/>
      <c r="E44" s="281" t="n"/>
    </row>
    <row r="45">
      <c r="B45" s="285" t="n"/>
      <c r="C45" s="281" t="n"/>
      <c r="D45" s="281" t="n"/>
      <c r="E45" s="281" t="n"/>
    </row>
    <row r="46">
      <c r="B46" s="285" t="inlineStr">
        <is>
          <t>Проверил ____________________________ А.В. Костянецкая</t>
        </is>
      </c>
      <c r="C46" s="281" t="n"/>
      <c r="D46" s="281" t="n"/>
      <c r="E46" s="281" t="n"/>
    </row>
    <row r="47">
      <c r="B47" s="343" t="inlineStr">
        <is>
          <t>(должность, подпись, инициалы, фамилия)</t>
        </is>
      </c>
      <c r="D47" s="281" t="n"/>
      <c r="E47" s="281" t="n"/>
    </row>
    <row r="49">
      <c r="B49" s="281" t="n"/>
      <c r="C49" s="281" t="n"/>
      <c r="D49" s="281" t="n"/>
      <c r="E49" s="281" t="n"/>
    </row>
    <row r="50">
      <c r="B50" s="281" t="n"/>
      <c r="C50" s="281" t="n"/>
      <c r="D50" s="281" t="n"/>
      <c r="E50" s="28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75"/>
  <sheetViews>
    <sheetView view="pageBreakPreview" topLeftCell="A33" workbookViewId="0">
      <selection activeCell="B71" sqref="B71"/>
    </sheetView>
  </sheetViews>
  <sheetFormatPr baseColWidth="8" defaultColWidth="9.140625" defaultRowHeight="15" outlineLevelRow="1"/>
  <cols>
    <col width="5.7109375" customWidth="1" style="288" min="1" max="1"/>
    <col width="22.5703125" customWidth="1" style="288" min="2" max="2"/>
    <col width="39.140625" customWidth="1" style="288" min="3" max="3"/>
    <col width="10.7109375" customWidth="1" style="288" min="4" max="4"/>
    <col width="12.7109375" customWidth="1" style="288" min="5" max="5"/>
    <col width="14.5703125" customWidth="1" style="288" min="6" max="6"/>
    <col width="13.42578125" customWidth="1" style="288" min="7" max="7"/>
    <col width="12.7109375" customWidth="1" style="288" min="8" max="8"/>
    <col width="14.5703125" customWidth="1" style="288" min="9" max="9"/>
    <col width="15.140625" customWidth="1" style="288" min="10" max="10"/>
    <col width="22.42578125" customWidth="1" style="288" min="11" max="11"/>
    <col width="16.28515625" customWidth="1" style="288" min="12" max="12"/>
    <col width="10.85546875" customWidth="1" style="288" min="13" max="13"/>
    <col width="9.140625" customWidth="1" style="288" min="14" max="14"/>
    <col width="9.140625" customWidth="1" style="294" min="15" max="15"/>
  </cols>
  <sheetData>
    <row r="2" ht="15.75" customHeight="1" s="294">
      <c r="H2" s="351" t="inlineStr">
        <is>
          <t>Приложение №5</t>
        </is>
      </c>
    </row>
    <row r="4" ht="12.75" customFormat="1" customHeight="1" s="281">
      <c r="A4" s="319" t="inlineStr">
        <is>
          <t>Расчет стоимости СМР и оборудования</t>
        </is>
      </c>
      <c r="I4" s="319" t="n"/>
      <c r="J4" s="319" t="n"/>
    </row>
    <row r="5" ht="12.75" customFormat="1" customHeight="1" s="281">
      <c r="A5" s="319" t="n"/>
      <c r="B5" s="319" t="n"/>
      <c r="C5" s="319" t="n"/>
      <c r="D5" s="319" t="n"/>
      <c r="E5" s="319" t="n"/>
      <c r="F5" s="319" t="n"/>
      <c r="G5" s="319" t="n"/>
      <c r="H5" s="319" t="n"/>
      <c r="I5" s="319" t="n"/>
      <c r="J5" s="319" t="n"/>
    </row>
    <row r="6" ht="30.75" customFormat="1" customHeight="1" s="281">
      <c r="A6" s="322" t="inlineStr">
        <is>
          <t>Наименование разрабатываемого показателя УНЦ</t>
        </is>
      </c>
      <c r="D6" s="356" t="inlineStr">
        <is>
          <t>ВОК количество волокон 16 шт., максимально-допустимая растягивающая нагрузка 15 кН</t>
        </is>
      </c>
    </row>
    <row r="7" ht="12.75" customFormat="1" customHeight="1" s="281">
      <c r="A7" s="322">
        <f>'Прил.1 Сравнит табл'!B9</f>
        <v/>
      </c>
      <c r="I7" s="342" t="n"/>
      <c r="J7" s="342" t="n"/>
    </row>
    <row r="8" ht="12.75" customFormat="1" customHeight="1" s="281"/>
    <row r="9" ht="27" customHeight="1" s="294">
      <c r="A9" s="345" t="inlineStr">
        <is>
          <t>№ пп.</t>
        </is>
      </c>
      <c r="B9" s="345" t="inlineStr">
        <is>
          <t>Код ресурса</t>
        </is>
      </c>
      <c r="C9" s="345" t="inlineStr">
        <is>
          <t>Наименование</t>
        </is>
      </c>
      <c r="D9" s="345" t="inlineStr">
        <is>
          <t>Ед. изм.</t>
        </is>
      </c>
      <c r="E9" s="345" t="inlineStr">
        <is>
          <t>Кол-во единиц по проектным данным</t>
        </is>
      </c>
      <c r="F9" s="345" t="inlineStr">
        <is>
          <t>Сметная стоимость в ценах на 01.01.2000 (руб.)</t>
        </is>
      </c>
      <c r="G9" s="421" t="n"/>
      <c r="H9" s="345" t="inlineStr">
        <is>
          <t>Удельный вес, %</t>
        </is>
      </c>
      <c r="I9" s="345" t="inlineStr">
        <is>
          <t>Сметная стоимость в ценах на 01.01.2023 (руб.)</t>
        </is>
      </c>
      <c r="J9" s="421" t="n"/>
    </row>
    <row r="10" ht="28.5" customHeight="1" s="294">
      <c r="A10" s="423" t="n"/>
      <c r="B10" s="423" t="n"/>
      <c r="C10" s="423" t="n"/>
      <c r="D10" s="423" t="n"/>
      <c r="E10" s="423" t="n"/>
      <c r="F10" s="345" t="inlineStr">
        <is>
          <t>на ед. изм.</t>
        </is>
      </c>
      <c r="G10" s="345" t="inlineStr">
        <is>
          <t>общая</t>
        </is>
      </c>
      <c r="H10" s="423" t="n"/>
      <c r="I10" s="345" t="inlineStr">
        <is>
          <t>на ед. изм.</t>
        </is>
      </c>
      <c r="J10" s="345" t="inlineStr">
        <is>
          <t>общая</t>
        </is>
      </c>
    </row>
    <row r="11">
      <c r="A11" s="345" t="n">
        <v>1</v>
      </c>
      <c r="B11" s="345" t="n">
        <v>2</v>
      </c>
      <c r="C11" s="345" t="n">
        <v>3</v>
      </c>
      <c r="D11" s="345" t="n">
        <v>4</v>
      </c>
      <c r="E11" s="345" t="n">
        <v>5</v>
      </c>
      <c r="F11" s="345" t="n">
        <v>6</v>
      </c>
      <c r="G11" s="345" t="n">
        <v>7</v>
      </c>
      <c r="H11" s="345" t="n">
        <v>8</v>
      </c>
      <c r="I11" s="345" t="n">
        <v>9</v>
      </c>
      <c r="J11" s="345" t="n">
        <v>10</v>
      </c>
    </row>
    <row r="12">
      <c r="A12" s="345" t="n"/>
      <c r="B12" s="338" t="inlineStr">
        <is>
          <t>Затраты труда рабочих-строителей</t>
        </is>
      </c>
      <c r="C12" s="420" t="n"/>
      <c r="D12" s="420" t="n"/>
      <c r="E12" s="420" t="n"/>
      <c r="F12" s="420" t="n"/>
      <c r="G12" s="420" t="n"/>
      <c r="H12" s="421" t="n"/>
      <c r="I12" s="227" t="n"/>
      <c r="J12" s="227" t="n"/>
    </row>
    <row r="13" ht="25.5" customHeight="1" s="294">
      <c r="A13" s="345" t="n">
        <v>1</v>
      </c>
      <c r="B13" s="255" t="inlineStr">
        <is>
          <t>1-4-2</t>
        </is>
      </c>
      <c r="C13" s="344" t="inlineStr">
        <is>
          <t>Затраты труда рабочих-строителей среднего разряда (4,2)</t>
        </is>
      </c>
      <c r="D13" s="345" t="inlineStr">
        <is>
          <t>чел.-ч.</t>
        </is>
      </c>
      <c r="E13" s="231">
        <f>G13/F13</f>
        <v/>
      </c>
      <c r="F13" s="259" t="n">
        <v>9.92</v>
      </c>
      <c r="G13" s="259">
        <f>'Прил. 3'!H12-'Прил. 3'!H17</f>
        <v/>
      </c>
      <c r="H13" s="349">
        <f>G13/G15</f>
        <v/>
      </c>
      <c r="I13" s="259">
        <f>ФОТр.тек.!E13</f>
        <v/>
      </c>
      <c r="J13" s="259">
        <f>ROUND(I13*E13,2)</f>
        <v/>
      </c>
    </row>
    <row r="14">
      <c r="A14" s="345" t="n">
        <v>2</v>
      </c>
      <c r="B14" s="255" t="inlineStr">
        <is>
          <t>10-3-1</t>
        </is>
      </c>
      <c r="C14" s="344" t="inlineStr">
        <is>
          <t>Инженер I категории</t>
        </is>
      </c>
      <c r="D14" s="345" t="inlineStr">
        <is>
          <t>чел.-ч.</t>
        </is>
      </c>
      <c r="E14" s="231">
        <f>'Прил. 3'!F17</f>
        <v/>
      </c>
      <c r="F14" s="259">
        <f>'Прил. 3'!G17</f>
        <v/>
      </c>
      <c r="G14" s="259">
        <f>'Прил. 3'!H17</f>
        <v/>
      </c>
      <c r="H14" s="349">
        <f>G14/G15</f>
        <v/>
      </c>
      <c r="I14" s="259">
        <f>ФОТр.тек.!E21</f>
        <v/>
      </c>
      <c r="J14" s="259">
        <f>ROUND(I14*E14,2)</f>
        <v/>
      </c>
    </row>
    <row r="15" ht="25.5" customFormat="1" customHeight="1" s="288">
      <c r="A15" s="345" t="n"/>
      <c r="B15" s="345" t="n"/>
      <c r="C15" s="338" t="inlineStr">
        <is>
          <t>Итого по разделу "Затраты труда рабочих-строителей"</t>
        </is>
      </c>
      <c r="D15" s="345" t="inlineStr">
        <is>
          <t>чел.-ч.</t>
        </is>
      </c>
      <c r="E15" s="231">
        <f>SUM(E13:E13)+E14</f>
        <v/>
      </c>
      <c r="F15" s="259" t="n"/>
      <c r="G15" s="259">
        <f>G13+G14</f>
        <v/>
      </c>
      <c r="H15" s="349" t="n">
        <v>1</v>
      </c>
      <c r="I15" s="259" t="n"/>
      <c r="J15" s="259">
        <f>SUM(J13:J13)+J14</f>
        <v/>
      </c>
      <c r="K15" s="428" t="n"/>
    </row>
    <row r="16" ht="14.25" customFormat="1" customHeight="1" s="288">
      <c r="A16" s="345" t="n"/>
      <c r="B16" s="344" t="inlineStr">
        <is>
          <t>Затраты труда машинистов</t>
        </is>
      </c>
      <c r="C16" s="420" t="n"/>
      <c r="D16" s="420" t="n"/>
      <c r="E16" s="420" t="n"/>
      <c r="F16" s="420" t="n"/>
      <c r="G16" s="420" t="n"/>
      <c r="H16" s="421" t="n"/>
      <c r="I16" s="227" t="n"/>
      <c r="J16" s="227" t="n"/>
    </row>
    <row r="17" ht="14.25" customFormat="1" customHeight="1" s="288">
      <c r="A17" s="345" t="n">
        <v>3</v>
      </c>
      <c r="B17" s="345" t="n">
        <v>2</v>
      </c>
      <c r="C17" s="344" t="inlineStr">
        <is>
          <t>Затраты труда машинистов</t>
        </is>
      </c>
      <c r="D17" s="345" t="inlineStr">
        <is>
          <t>чел.-ч.</t>
        </is>
      </c>
      <c r="E17" s="231">
        <f>'Прил. 3'!F20</f>
        <v/>
      </c>
      <c r="F17" s="259">
        <f>G17/E17</f>
        <v/>
      </c>
      <c r="G17" s="259">
        <f>'Прил. 3'!H20</f>
        <v/>
      </c>
      <c r="H17" s="349" t="n">
        <v>1</v>
      </c>
      <c r="I17" s="259">
        <f>ROUND(F17*'Прил. 10'!D10,2)</f>
        <v/>
      </c>
      <c r="J17" s="259">
        <f>ROUND(I17*E17,2)</f>
        <v/>
      </c>
      <c r="K17" s="428" t="n"/>
    </row>
    <row r="18" ht="14.25" customFormat="1" customHeight="1" s="288">
      <c r="A18" s="345" t="n"/>
      <c r="B18" s="338" t="inlineStr">
        <is>
          <t>Машины и механизмы</t>
        </is>
      </c>
      <c r="C18" s="420" t="n"/>
      <c r="D18" s="420" t="n"/>
      <c r="E18" s="420" t="n"/>
      <c r="F18" s="420" t="n"/>
      <c r="G18" s="420" t="n"/>
      <c r="H18" s="421" t="n"/>
      <c r="I18" s="349" t="n"/>
      <c r="J18" s="349" t="n"/>
    </row>
    <row r="19" ht="14.25" customFormat="1" customHeight="1" s="288">
      <c r="A19" s="345" t="n"/>
      <c r="B19" s="344" t="inlineStr">
        <is>
          <t>Основные машины и механизмы</t>
        </is>
      </c>
      <c r="C19" s="420" t="n"/>
      <c r="D19" s="420" t="n"/>
      <c r="E19" s="420" t="n"/>
      <c r="F19" s="420" t="n"/>
      <c r="G19" s="420" t="n"/>
      <c r="H19" s="421" t="n"/>
      <c r="I19" s="227" t="n"/>
      <c r="J19" s="227" t="n"/>
    </row>
    <row r="20" ht="25.5" customFormat="1" customHeight="1" s="288">
      <c r="A20" s="345" t="n">
        <v>4</v>
      </c>
      <c r="B20" s="198" t="inlineStr">
        <is>
          <t>91.11.01-005</t>
        </is>
      </c>
      <c r="C20" s="199" t="inlineStr">
        <is>
          <t>Кабелеукладчики навесные вибрационные для прокладки оптического кабеля</t>
        </is>
      </c>
      <c r="D20" s="362" t="inlineStr">
        <is>
          <t>маш.час</t>
        </is>
      </c>
      <c r="E20" s="198" t="n">
        <v>108.32</v>
      </c>
      <c r="F20" s="201" t="n">
        <v>1056.99</v>
      </c>
      <c r="G20" s="259">
        <f>ROUND(E20*F20,2)</f>
        <v/>
      </c>
      <c r="H20" s="349">
        <f>G20/$G$30</f>
        <v/>
      </c>
      <c r="I20" s="360">
        <f>ROUND(F20*'Прил. 10'!$D$11,2)</f>
        <v/>
      </c>
      <c r="J20" s="259">
        <f>ROUND(I20*E20,2)</f>
        <v/>
      </c>
    </row>
    <row r="21" ht="38.25" customFormat="1" customHeight="1" s="288">
      <c r="A21" s="345" t="n">
        <v>5</v>
      </c>
      <c r="B21" s="198" t="inlineStr">
        <is>
          <t>91.05.05-002</t>
        </is>
      </c>
      <c r="C21" s="199" t="inlineStr">
        <is>
          <t>Краны на автомобильном ходу в составе кабелеукладочной колонны, грузоподъемность 10 т</t>
        </is>
      </c>
      <c r="D21" s="362" t="inlineStr">
        <is>
          <t>маш.час</t>
        </is>
      </c>
      <c r="E21" s="198" t="n">
        <v>108.32</v>
      </c>
      <c r="F21" s="201" t="n">
        <v>332.29</v>
      </c>
      <c r="G21" s="259">
        <f>ROUND(E21*F21,2)</f>
        <v/>
      </c>
      <c r="H21" s="349">
        <f>G21/$G$30</f>
        <v/>
      </c>
      <c r="I21" s="360">
        <f>ROUND(F21*'Прил. 10'!$D$11,2)</f>
        <v/>
      </c>
      <c r="J21" s="259">
        <f>ROUND(I21*E21,2)</f>
        <v/>
      </c>
    </row>
    <row r="22" ht="38.25" customFormat="1" customHeight="1" s="288">
      <c r="A22" s="345" t="n">
        <v>6</v>
      </c>
      <c r="B22" s="198" t="inlineStr">
        <is>
          <t>91.11.01-012</t>
        </is>
      </c>
      <c r="C22" s="199" t="inlineStr">
        <is>
          <t>Машины монтажные для выполнения работ при прокладке и монтаже кабеля на базе автомобиля</t>
        </is>
      </c>
      <c r="D22" s="362" t="inlineStr">
        <is>
          <t>маш.час</t>
        </is>
      </c>
      <c r="E22" s="198" t="n">
        <v>177.29</v>
      </c>
      <c r="F22" s="201" t="n">
        <v>110.86</v>
      </c>
      <c r="G22" s="259">
        <f>ROUND(E22*F22,2)</f>
        <v/>
      </c>
      <c r="H22" s="349">
        <f>G22/$G$30</f>
        <v/>
      </c>
      <c r="I22" s="360">
        <f>ROUND(F22*'Прил. 10'!$D$11,2)</f>
        <v/>
      </c>
      <c r="J22" s="259">
        <f>ROUND(I22*E22,2)</f>
        <v/>
      </c>
    </row>
    <row r="23" ht="14.25" customFormat="1" customHeight="1" s="288">
      <c r="A23" s="345" t="n"/>
      <c r="B23" s="345" t="n"/>
      <c r="C23" s="344" t="inlineStr">
        <is>
          <t>Итого основные машины и механизмы</t>
        </is>
      </c>
      <c r="D23" s="345" t="n"/>
      <c r="E23" s="235" t="n"/>
      <c r="F23" s="259" t="n"/>
      <c r="G23" s="259">
        <f>SUM(G20:G22)</f>
        <v/>
      </c>
      <c r="H23" s="349">
        <f>G23/G30</f>
        <v/>
      </c>
      <c r="I23" s="259" t="n"/>
      <c r="J23" s="259">
        <f>SUM(J20:J22)</f>
        <v/>
      </c>
      <c r="L23" s="428" t="n"/>
    </row>
    <row r="24" hidden="1" outlineLevel="1" ht="25.5" customFormat="1" customHeight="1" s="288">
      <c r="A24" s="345" t="n">
        <v>7</v>
      </c>
      <c r="B24" s="198" t="inlineStr">
        <is>
          <t>91.01.01-001</t>
        </is>
      </c>
      <c r="C24" s="199" t="inlineStr">
        <is>
          <t>Бульдозеры в составе кабелеукладочной колонны, мощность 128,7 кВт (175 л.с.)</t>
        </is>
      </c>
      <c r="D24" s="362" t="inlineStr">
        <is>
          <t>маш.час</t>
        </is>
      </c>
      <c r="E24" s="198" t="n">
        <v>57.77</v>
      </c>
      <c r="F24" s="201" t="n">
        <v>332.31</v>
      </c>
      <c r="G24" s="259">
        <f>ROUND(E24*F24,2)</f>
        <v/>
      </c>
      <c r="H24" s="349">
        <f>G24/$G$30</f>
        <v/>
      </c>
      <c r="I24" s="360">
        <f>ROUND(F24*'Прил. 10'!$D$11,2)</f>
        <v/>
      </c>
      <c r="J24" s="259">
        <f>ROUND(I24*E24,2)</f>
        <v/>
      </c>
      <c r="L24" s="428" t="n"/>
    </row>
    <row r="25" hidden="1" outlineLevel="1" ht="32.25" customFormat="1" customHeight="1" s="288">
      <c r="A25" s="345" t="n">
        <v>8</v>
      </c>
      <c r="B25" s="198" t="inlineStr">
        <is>
          <t>91.14.05-041</t>
        </is>
      </c>
      <c r="C25" s="199" t="inlineStr">
        <is>
          <t>Транспортеры прицепные кабельные, грузоподъемность до 7 т</t>
        </is>
      </c>
      <c r="D25" s="362" t="inlineStr">
        <is>
          <t>маш.час</t>
        </is>
      </c>
      <c r="E25" s="198" t="n">
        <v>57.77</v>
      </c>
      <c r="F25" s="201" t="n">
        <v>58.03</v>
      </c>
      <c r="G25" s="259">
        <f>ROUND(E25*F25,2)</f>
        <v/>
      </c>
      <c r="H25" s="349">
        <f>G25/$G$30</f>
        <v/>
      </c>
      <c r="I25" s="360">
        <f>ROUND(F25*'Прил. 10'!$D$11,2)</f>
        <v/>
      </c>
      <c r="J25" s="259">
        <f>ROUND(I25*E25,2)</f>
        <v/>
      </c>
      <c r="L25" s="428" t="n"/>
    </row>
    <row r="26" hidden="1" outlineLevel="1" ht="14.25" customFormat="1" customHeight="1" s="288">
      <c r="A26" s="345" t="n">
        <v>9</v>
      </c>
      <c r="B26" s="198" t="inlineStr">
        <is>
          <t>91.21.22-341</t>
        </is>
      </c>
      <c r="C26" s="199" t="inlineStr">
        <is>
          <t>Рефлектометры</t>
        </is>
      </c>
      <c r="D26" s="362" t="inlineStr">
        <is>
          <t>маш.час</t>
        </is>
      </c>
      <c r="E26" s="198" t="n">
        <v>272</v>
      </c>
      <c r="F26" s="201" t="n">
        <v>10.62</v>
      </c>
      <c r="G26" s="259">
        <f>ROUND(E26*F26,2)</f>
        <v/>
      </c>
      <c r="H26" s="349">
        <f>G26/$G$30</f>
        <v/>
      </c>
      <c r="I26" s="360">
        <f>ROUND(F26*'Прил. 10'!$D$11,2)</f>
        <v/>
      </c>
      <c r="J26" s="259">
        <f>ROUND(I26*E26,2)</f>
        <v/>
      </c>
      <c r="L26" s="428" t="n"/>
    </row>
    <row r="27" hidden="1" outlineLevel="1" ht="25.5" customFormat="1" customHeight="1" s="288">
      <c r="A27" s="345" t="n">
        <v>10</v>
      </c>
      <c r="B27" s="198" t="inlineStr">
        <is>
          <t>91.05.05-015</t>
        </is>
      </c>
      <c r="C27" s="199" t="inlineStr">
        <is>
          <t>Краны на автомобильном ходу, грузоподъемность 16 т</t>
        </is>
      </c>
      <c r="D27" s="362" t="inlineStr">
        <is>
          <t>маш.час</t>
        </is>
      </c>
      <c r="E27" s="198" t="n">
        <v>9</v>
      </c>
      <c r="F27" s="201" t="n">
        <v>115.4</v>
      </c>
      <c r="G27" s="259">
        <f>ROUND(E27*F27,2)</f>
        <v/>
      </c>
      <c r="H27" s="349">
        <f>G27/$G$30</f>
        <v/>
      </c>
      <c r="I27" s="360">
        <f>ROUND(F27*'Прил. 10'!$D$11,2)</f>
        <v/>
      </c>
      <c r="J27" s="259">
        <f>ROUND(I27*E27,2)</f>
        <v/>
      </c>
      <c r="L27" s="428" t="n"/>
    </row>
    <row r="28" hidden="1" outlineLevel="1" ht="14.25" customFormat="1" customHeight="1" s="288">
      <c r="A28" s="345" t="n">
        <v>11</v>
      </c>
      <c r="B28" s="198" t="inlineStr">
        <is>
          <t>91.12.08-161</t>
        </is>
      </c>
      <c r="C28" s="199" t="inlineStr">
        <is>
          <t>Ямокопатели</t>
        </is>
      </c>
      <c r="D28" s="362" t="inlineStr">
        <is>
          <t>маш.час</t>
        </is>
      </c>
      <c r="E28" s="198" t="n">
        <v>5.25</v>
      </c>
      <c r="F28" s="201" t="n">
        <v>6.51</v>
      </c>
      <c r="G28" s="259">
        <f>ROUND(E28*F28,2)</f>
        <v/>
      </c>
      <c r="H28" s="349">
        <f>G28/$G$30</f>
        <v/>
      </c>
      <c r="I28" s="360">
        <f>ROUND(F28*'Прил. 10'!$D$11,2)</f>
        <v/>
      </c>
      <c r="J28" s="259">
        <f>ROUND(I28*E28,2)</f>
        <v/>
      </c>
      <c r="L28" s="428" t="n"/>
    </row>
    <row r="29" collapsed="1" ht="14.25" customFormat="1" customHeight="1" s="288">
      <c r="A29" s="345" t="n"/>
      <c r="B29" s="345" t="n"/>
      <c r="C29" s="344" t="inlineStr">
        <is>
          <t>Итого прочие машины и механизмы</t>
        </is>
      </c>
      <c r="D29" s="345" t="n"/>
      <c r="E29" s="346" t="n"/>
      <c r="F29" s="259" t="n"/>
      <c r="G29" s="259">
        <f>SUM(G24:G28)</f>
        <v/>
      </c>
      <c r="H29" s="349">
        <f>G29/G30</f>
        <v/>
      </c>
      <c r="I29" s="259" t="n"/>
      <c r="J29" s="259">
        <f>SUM(J24:J28)</f>
        <v/>
      </c>
      <c r="K29" s="428" t="n"/>
      <c r="L29" s="428" t="n"/>
    </row>
    <row r="30" ht="25.5" customFormat="1" customHeight="1" s="288">
      <c r="A30" s="345" t="n"/>
      <c r="B30" s="352" t="n"/>
      <c r="C30" s="236" t="inlineStr">
        <is>
          <t>Итого по разделу «Машины и механизмы»</t>
        </is>
      </c>
      <c r="D30" s="352" t="n"/>
      <c r="E30" s="237" t="n"/>
      <c r="F30" s="238" t="n"/>
      <c r="G30" s="238">
        <f>G23+G29</f>
        <v/>
      </c>
      <c r="H30" s="239" t="n">
        <v>1</v>
      </c>
      <c r="I30" s="238" t="n"/>
      <c r="J30" s="238">
        <f>J23+J29</f>
        <v/>
      </c>
      <c r="K30" s="428" t="n"/>
    </row>
    <row r="31" s="294">
      <c r="A31" s="354" t="n"/>
      <c r="B31" s="338" t="inlineStr">
        <is>
          <t>Оборудование</t>
        </is>
      </c>
      <c r="C31" s="420" t="n"/>
      <c r="D31" s="420" t="n"/>
      <c r="E31" s="420" t="n"/>
      <c r="F31" s="420" t="n"/>
      <c r="G31" s="420" t="n"/>
      <c r="H31" s="420" t="n"/>
      <c r="I31" s="420" t="n"/>
      <c r="J31" s="421" t="n"/>
      <c r="K31" s="288" t="n"/>
      <c r="L31" s="288" t="n"/>
      <c r="M31" s="288" t="n"/>
      <c r="N31" s="288" t="n"/>
    </row>
    <row r="32" ht="15" customHeight="1" s="294">
      <c r="A32" s="345" t="n"/>
      <c r="B32" s="350" t="inlineStr">
        <is>
          <t>Основное оборудование</t>
        </is>
      </c>
      <c r="K32" s="288" t="n"/>
      <c r="L32" s="288" t="n"/>
      <c r="M32" s="288" t="n"/>
      <c r="N32" s="288" t="n"/>
    </row>
    <row r="33" s="294">
      <c r="A33" s="345" t="n"/>
      <c r="B33" s="345" t="n"/>
      <c r="C33" s="344" t="inlineStr">
        <is>
          <t>Итого основное оборудование</t>
        </is>
      </c>
      <c r="D33" s="345" t="n"/>
      <c r="E33" s="231" t="n"/>
      <c r="F33" s="347" t="n"/>
      <c r="G33" s="259" t="n">
        <v>0</v>
      </c>
      <c r="H33" s="349" t="n"/>
      <c r="I33" s="347" t="n"/>
      <c r="J33" s="259" t="n">
        <v>0</v>
      </c>
      <c r="K33" s="428" t="n"/>
      <c r="L33" s="288" t="n"/>
      <c r="M33" s="288" t="n"/>
      <c r="N33" s="288" t="n"/>
    </row>
    <row r="34" s="294">
      <c r="A34" s="345" t="n"/>
      <c r="B34" s="345" t="n"/>
      <c r="C34" s="344" t="inlineStr">
        <is>
          <t>Итого прочее оборудование</t>
        </is>
      </c>
      <c r="D34" s="345" t="n"/>
      <c r="E34" s="346" t="n"/>
      <c r="F34" s="347" t="n"/>
      <c r="G34" s="259" t="n">
        <v>0</v>
      </c>
      <c r="H34" s="349" t="n"/>
      <c r="I34" s="347" t="n"/>
      <c r="J34" s="259" t="n">
        <v>0</v>
      </c>
      <c r="K34" s="428" t="n"/>
      <c r="L34" s="288" t="n"/>
      <c r="M34" s="288" t="n"/>
      <c r="N34" s="288" t="n"/>
    </row>
    <row r="35" s="294">
      <c r="A35" s="345" t="n"/>
      <c r="B35" s="345" t="n"/>
      <c r="C35" s="338" t="inlineStr">
        <is>
          <t>Итого по разделу «Оборудование»</t>
        </is>
      </c>
      <c r="D35" s="345" t="n"/>
      <c r="E35" s="346" t="n"/>
      <c r="F35" s="347" t="n"/>
      <c r="G35" s="259">
        <f>G34+G33</f>
        <v/>
      </c>
      <c r="H35" s="349" t="n"/>
      <c r="I35" s="347" t="n"/>
      <c r="J35" s="259" t="n">
        <v>0</v>
      </c>
      <c r="K35" s="428" t="n"/>
      <c r="L35" s="288" t="n"/>
      <c r="M35" s="288" t="n"/>
      <c r="N35" s="288" t="n"/>
    </row>
    <row r="36" ht="25.5" customHeight="1" s="294">
      <c r="A36" s="345" t="n"/>
      <c r="B36" s="345" t="n"/>
      <c r="C36" s="344" t="inlineStr">
        <is>
          <t>в том числе технологическое оборудование</t>
        </is>
      </c>
      <c r="D36" s="345" t="n"/>
      <c r="E36" s="346" t="n"/>
      <c r="F36" s="347" t="n"/>
      <c r="G36" s="259">
        <f>G35</f>
        <v/>
      </c>
      <c r="H36" s="349" t="n"/>
      <c r="I36" s="248" t="n"/>
      <c r="J36" s="238">
        <f>J35</f>
        <v/>
      </c>
      <c r="K36" s="428" t="n"/>
      <c r="L36" s="288" t="n"/>
      <c r="M36" s="288" t="n"/>
      <c r="N36" s="288" t="n"/>
    </row>
    <row r="37" ht="14.25" customFormat="1" customHeight="1" s="288">
      <c r="A37" s="345" t="n"/>
      <c r="B37" s="338" t="inlineStr">
        <is>
          <t>Материалы</t>
        </is>
      </c>
      <c r="C37" s="420" t="n"/>
      <c r="D37" s="420" t="n"/>
      <c r="E37" s="420" t="n"/>
      <c r="F37" s="420" t="n"/>
      <c r="G37" s="420" t="n"/>
      <c r="H37" s="421" t="n"/>
      <c r="I37" s="349" t="n"/>
      <c r="J37" s="349" t="n"/>
      <c r="K37" s="428" t="n"/>
    </row>
    <row r="38" ht="14.25" customFormat="1" customHeight="1" s="288">
      <c r="A38" s="345" t="n"/>
      <c r="B38" s="344" t="inlineStr">
        <is>
          <t>Основные материалы</t>
        </is>
      </c>
      <c r="C38" s="420" t="n"/>
      <c r="D38" s="420" t="n"/>
      <c r="E38" s="420" t="n"/>
      <c r="F38" s="420" t="n"/>
      <c r="G38" s="420" t="n"/>
      <c r="H38" s="421" t="n"/>
      <c r="I38" s="349" t="n"/>
      <c r="J38" s="349" t="n"/>
    </row>
    <row r="39" ht="25.5" customFormat="1" customHeight="1" s="288">
      <c r="A39" s="345" t="n">
        <v>12</v>
      </c>
      <c r="B39" s="345" t="inlineStr">
        <is>
          <t>БЦ.88.18</t>
        </is>
      </c>
      <c r="C39" s="344" t="inlineStr">
        <is>
          <t>ВОК диэлектрический 16 волокон  МДРН 15 кН</t>
        </is>
      </c>
      <c r="D39" s="345" t="inlineStr">
        <is>
          <t>1000 м</t>
        </is>
      </c>
      <c r="E39" s="231" t="n">
        <v>14.4431</v>
      </c>
      <c r="F39" s="259">
        <f>ROUND(I39/'Прил. 10'!D12,2)</f>
        <v/>
      </c>
      <c r="G39" s="259">
        <f>ROUND(E39*F39,2)</f>
        <v/>
      </c>
      <c r="H39" s="349">
        <f>G39/$G$62</f>
        <v/>
      </c>
      <c r="I39" s="360" t="n">
        <v>66176.91</v>
      </c>
      <c r="J39" s="259">
        <f>ROUND(I39*E39,2)</f>
        <v/>
      </c>
    </row>
    <row r="40" ht="14.25" customFormat="1" customHeight="1" s="288">
      <c r="A40" s="345" t="n">
        <v>13</v>
      </c>
      <c r="B40" s="198" t="inlineStr">
        <is>
          <t>20.1.02.23-0171</t>
        </is>
      </c>
      <c r="C40" s="344" t="inlineStr">
        <is>
          <t>Столбик замерный железобетонный СЗК</t>
        </is>
      </c>
      <c r="D40" s="345" t="inlineStr">
        <is>
          <t>шт</t>
        </is>
      </c>
      <c r="E40" s="231" t="n">
        <v>75</v>
      </c>
      <c r="F40" s="259" t="n">
        <v>238.7</v>
      </c>
      <c r="G40" s="259">
        <f>ROUND(E40*F40,2)</f>
        <v/>
      </c>
      <c r="H40" s="349">
        <f>G40/$G$62</f>
        <v/>
      </c>
      <c r="I40" s="360">
        <f>ROUND(F40*'Прил. 10'!$D$12,2)</f>
        <v/>
      </c>
      <c r="J40" s="259">
        <f>ROUND(I40*E40,2)</f>
        <v/>
      </c>
    </row>
    <row r="41" ht="14.25" customFormat="1" customHeight="1" s="288">
      <c r="A41" s="345" t="n"/>
      <c r="B41" s="345" t="n"/>
      <c r="C41" s="344" t="inlineStr">
        <is>
          <t>Итого основные материалы</t>
        </is>
      </c>
      <c r="D41" s="345" t="n"/>
      <c r="E41" s="231" t="n"/>
      <c r="F41" s="347" t="n"/>
      <c r="G41" s="259">
        <f>SUM(G39:G40)</f>
        <v/>
      </c>
      <c r="H41" s="349">
        <f>G41/$G$62</f>
        <v/>
      </c>
      <c r="I41" s="347" t="n"/>
      <c r="J41" s="259">
        <f>SUM(J39:J40)</f>
        <v/>
      </c>
      <c r="K41" s="428" t="n"/>
    </row>
    <row r="42" hidden="1" outlineLevel="1" ht="63.75" customFormat="1" customHeight="1" s="288">
      <c r="A42" s="345" t="n">
        <v>14</v>
      </c>
      <c r="B42" s="198" t="inlineStr">
        <is>
          <t>20.2.09.09-0006</t>
        </is>
      </c>
      <c r="C42" s="344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</t>
        </is>
      </c>
      <c r="D42" s="345" t="inlineStr">
        <is>
          <t>компл</t>
        </is>
      </c>
      <c r="E42" s="231" t="n">
        <v>4</v>
      </c>
      <c r="F42" s="259" t="n">
        <v>1194.89</v>
      </c>
      <c r="G42" s="259">
        <f>ROUND(F42*E42,2)</f>
        <v/>
      </c>
      <c r="H42" s="349">
        <f>G42/$G$62</f>
        <v/>
      </c>
      <c r="I42" s="360">
        <f>ROUND(F42*'Прил. 10'!$D$12,2)</f>
        <v/>
      </c>
      <c r="J42" s="259">
        <f>ROUND(I42*E42,2)</f>
        <v/>
      </c>
    </row>
    <row r="43" hidden="1" outlineLevel="1" ht="14.25" customFormat="1" customHeight="1" s="288">
      <c r="A43" s="345" t="n">
        <v>15</v>
      </c>
      <c r="B43" s="198" t="inlineStr">
        <is>
          <t>20.2.09.10-0041</t>
        </is>
      </c>
      <c r="C43" s="344" t="inlineStr">
        <is>
          <t>Муфта защитная чугунная МЧЗ</t>
        </is>
      </c>
      <c r="D43" s="345" t="inlineStr">
        <is>
          <t>шт</t>
        </is>
      </c>
      <c r="E43" s="231" t="n">
        <v>2</v>
      </c>
      <c r="F43" s="259" t="n">
        <v>806.5</v>
      </c>
      <c r="G43" s="259">
        <f>ROUND(F43*E43,2)</f>
        <v/>
      </c>
      <c r="H43" s="349">
        <f>G43/$G$62</f>
        <v/>
      </c>
      <c r="I43" s="360">
        <f>ROUND(F43*'Прил. 10'!$D$12,2)</f>
        <v/>
      </c>
      <c r="J43" s="259">
        <f>ROUND(I43*E43,2)</f>
        <v/>
      </c>
    </row>
    <row r="44" hidden="1" outlineLevel="1" ht="25.5" customFormat="1" customHeight="1" s="288">
      <c r="A44" s="345" t="n">
        <v>16</v>
      </c>
      <c r="B44" s="198" t="inlineStr">
        <is>
          <t>01.7.06.08-0003</t>
        </is>
      </c>
      <c r="C44" s="344" t="inlineStr">
        <is>
          <t>Лента полиэтиленовая сигнальная, ширина 200 мм, толщина 50 мкм</t>
        </is>
      </c>
      <c r="D44" s="345" t="inlineStr">
        <is>
          <t>100 м</t>
        </is>
      </c>
      <c r="E44" s="231" t="n">
        <v>14.4431</v>
      </c>
      <c r="F44" s="259" t="n">
        <v>108</v>
      </c>
      <c r="G44" s="259">
        <f>ROUND(F44*E44,2)</f>
        <v/>
      </c>
      <c r="H44" s="349">
        <f>G44/$G$62</f>
        <v/>
      </c>
      <c r="I44" s="360">
        <f>ROUND(F44*'Прил. 10'!$D$12,2)</f>
        <v/>
      </c>
      <c r="J44" s="259">
        <f>ROUND(I44*E44,2)</f>
        <v/>
      </c>
    </row>
    <row r="45" hidden="1" outlineLevel="1" ht="14.25" customFormat="1" customHeight="1" s="288">
      <c r="A45" s="345" t="n">
        <v>17</v>
      </c>
      <c r="B45" s="345" t="inlineStr">
        <is>
          <t>БЦ.93.15</t>
        </is>
      </c>
      <c r="C45" s="344" t="inlineStr">
        <is>
          <t>Комплект №4 для ввода ОК</t>
        </is>
      </c>
      <c r="D45" s="345" t="inlineStr">
        <is>
          <t>шт.</t>
        </is>
      </c>
      <c r="E45" s="231" t="n">
        <v>8</v>
      </c>
      <c r="F45" s="259">
        <f>ROUND(I45/'Прил. 10'!D12,2)</f>
        <v/>
      </c>
      <c r="G45" s="259">
        <f>ROUND(F45*E45,2)</f>
        <v/>
      </c>
      <c r="H45" s="349">
        <f>G45/$G$62</f>
        <v/>
      </c>
      <c r="I45" s="259" t="n">
        <v>1320.61</v>
      </c>
      <c r="J45" s="259">
        <f>ROUND(I45*E45,2)</f>
        <v/>
      </c>
    </row>
    <row r="46" hidden="1" outlineLevel="1" ht="14.25" customFormat="1" customHeight="1" s="288">
      <c r="A46" s="345" t="n">
        <v>18</v>
      </c>
      <c r="B46" s="198" t="inlineStr">
        <is>
          <t>Прайс из СД ОП</t>
        </is>
      </c>
      <c r="C46" s="344" t="inlineStr">
        <is>
          <t>Муфта МПЗ</t>
        </is>
      </c>
      <c r="D46" s="345" t="inlineStr">
        <is>
          <t>шт.</t>
        </is>
      </c>
      <c r="E46" s="231" t="n">
        <v>2</v>
      </c>
      <c r="F46" s="259" t="n">
        <v>170.7</v>
      </c>
      <c r="G46" s="259">
        <f>ROUND(F46*E46,2)</f>
        <v/>
      </c>
      <c r="H46" s="349">
        <f>G46/$G$62</f>
        <v/>
      </c>
      <c r="I46" s="360">
        <f>ROUND(F46*'Прил. 10'!$D$12,2)</f>
        <v/>
      </c>
      <c r="J46" s="259">
        <f>ROUND(I46*E46,2)</f>
        <v/>
      </c>
    </row>
    <row r="47" hidden="1" outlineLevel="1" ht="25.5" customFormat="1" customHeight="1" s="288">
      <c r="A47" s="345" t="n">
        <v>19</v>
      </c>
      <c r="B47" s="198" t="inlineStr">
        <is>
          <t>14.4.02.07-0002</t>
        </is>
      </c>
      <c r="C47" s="344" t="inlineStr">
        <is>
          <t>Эмаль перхлорвиниловая фасадная ХВ-161</t>
        </is>
      </c>
      <c r="D47" s="345" t="inlineStr">
        <is>
          <t>т</t>
        </is>
      </c>
      <c r="E47" s="231" t="n">
        <v>0.02088</v>
      </c>
      <c r="F47" s="259" t="n">
        <v>15989</v>
      </c>
      <c r="G47" s="259">
        <f>ROUND(F47*E47,2)</f>
        <v/>
      </c>
      <c r="H47" s="349">
        <f>G47/$G$62</f>
        <v/>
      </c>
      <c r="I47" s="360">
        <f>ROUND(F47*'Прил. 10'!$D$12,2)</f>
        <v/>
      </c>
      <c r="J47" s="259">
        <f>ROUND(I47*E47,2)</f>
        <v/>
      </c>
    </row>
    <row r="48" hidden="1" outlineLevel="1" ht="25.5" customFormat="1" customHeight="1" s="288">
      <c r="A48" s="345" t="n">
        <v>20</v>
      </c>
      <c r="B48" s="198" t="inlineStr">
        <is>
          <t>999-9950</t>
        </is>
      </c>
      <c r="C48" s="344" t="inlineStr">
        <is>
          <t>Вспомогательные ненормируемые ресурсы (2% от Оплаты труда рабочих)</t>
        </is>
      </c>
      <c r="D48" s="345" t="inlineStr">
        <is>
          <t>руб</t>
        </is>
      </c>
      <c r="E48" s="345" t="n">
        <v>210.934561</v>
      </c>
      <c r="F48" s="259" t="n">
        <v>1</v>
      </c>
      <c r="G48" s="259">
        <f>ROUND(F48*E48,2)</f>
        <v/>
      </c>
      <c r="H48" s="349">
        <f>G48/$G$62</f>
        <v/>
      </c>
      <c r="I48" s="360">
        <f>ROUND(F48*'Прил. 10'!$D$12,2)</f>
        <v/>
      </c>
      <c r="J48" s="259">
        <f>ROUND(I48*E48,2)</f>
        <v/>
      </c>
    </row>
    <row r="49" hidden="1" outlineLevel="1" ht="25.5" customFormat="1" customHeight="1" s="288">
      <c r="A49" s="345" t="n">
        <v>21</v>
      </c>
      <c r="B49" s="198" t="inlineStr">
        <is>
          <t>10.3.02.03-0036</t>
        </is>
      </c>
      <c r="C49" s="344" t="inlineStr">
        <is>
          <t>Припои оловянно-свинцовые сурьмянистые, марка ПОССу 30-2</t>
        </is>
      </c>
      <c r="D49" s="345" t="inlineStr">
        <is>
          <t>т</t>
        </is>
      </c>
      <c r="E49" s="231" t="n">
        <v>0.00272</v>
      </c>
      <c r="F49" s="259" t="n">
        <v>63598.66</v>
      </c>
      <c r="G49" s="259">
        <f>ROUND(F49*E49,2)</f>
        <v/>
      </c>
      <c r="H49" s="349">
        <f>G49/$G$62</f>
        <v/>
      </c>
      <c r="I49" s="360">
        <f>ROUND(F49*'Прил. 10'!$D$12,2)</f>
        <v/>
      </c>
      <c r="J49" s="259">
        <f>ROUND(I49*E49,2)</f>
        <v/>
      </c>
    </row>
    <row r="50" hidden="1" outlineLevel="1" ht="14.25" customFormat="1" customHeight="1" s="288">
      <c r="A50" s="345" t="n">
        <v>22</v>
      </c>
      <c r="B50" s="198" t="inlineStr">
        <is>
          <t>14.2.04.03-0015</t>
        </is>
      </c>
      <c r="C50" s="344" t="inlineStr">
        <is>
          <t>Смола эпоксидная ЭД-20</t>
        </is>
      </c>
      <c r="D50" s="345" t="inlineStr">
        <is>
          <t>т</t>
        </is>
      </c>
      <c r="E50" s="231" t="n">
        <v>0.0027</v>
      </c>
      <c r="F50" s="259" t="n">
        <v>53562</v>
      </c>
      <c r="G50" s="259">
        <f>ROUND(F50*E50,2)</f>
        <v/>
      </c>
      <c r="H50" s="349">
        <f>G50/$G$62</f>
        <v/>
      </c>
      <c r="I50" s="360">
        <f>ROUND(F50*'Прил. 10'!$D$12,2)</f>
        <v/>
      </c>
      <c r="J50" s="259">
        <f>ROUND(I50*E50,2)</f>
        <v/>
      </c>
    </row>
    <row r="51" hidden="1" outlineLevel="1" ht="14.25" customFormat="1" customHeight="1" s="288">
      <c r="A51" s="345" t="n">
        <v>23</v>
      </c>
      <c r="B51" s="198" t="inlineStr">
        <is>
          <t>Прайс из СД ОП</t>
        </is>
      </c>
      <c r="C51" s="344" t="inlineStr">
        <is>
          <t>Комплект герметика для муфт МПЗ и МЧЗ</t>
        </is>
      </c>
      <c r="D51" s="345" t="inlineStr">
        <is>
          <t>компл.</t>
        </is>
      </c>
      <c r="E51" s="231" t="n">
        <v>2</v>
      </c>
      <c r="F51" s="259" t="n">
        <v>55.14</v>
      </c>
      <c r="G51" s="259">
        <f>ROUND(F51*E51,2)</f>
        <v/>
      </c>
      <c r="H51" s="349">
        <f>G51/$G$62</f>
        <v/>
      </c>
      <c r="I51" s="360">
        <f>ROUND(F51*'Прил. 10'!$D$12,2)</f>
        <v/>
      </c>
      <c r="J51" s="259">
        <f>ROUND(I51*E51,2)</f>
        <v/>
      </c>
    </row>
    <row r="52" hidden="1" outlineLevel="1" ht="14.25" customFormat="1" customHeight="1" s="288">
      <c r="A52" s="345" t="n">
        <v>24</v>
      </c>
      <c r="B52" s="198" t="inlineStr">
        <is>
          <t>14.4.01.01-0003</t>
        </is>
      </c>
      <c r="C52" s="344" t="inlineStr">
        <is>
          <t>Грунтовка ГФ-021</t>
        </is>
      </c>
      <c r="D52" s="345" t="inlineStr">
        <is>
          <t>т</t>
        </is>
      </c>
      <c r="E52" s="231" t="n">
        <v>0.00609</v>
      </c>
      <c r="F52" s="259" t="n">
        <v>15620</v>
      </c>
      <c r="G52" s="259">
        <f>ROUND(F52*E52,2)</f>
        <v/>
      </c>
      <c r="H52" s="349">
        <f>G52/$G$62</f>
        <v/>
      </c>
      <c r="I52" s="360">
        <f>ROUND(F52*'Прил. 10'!$D$12,2)</f>
        <v/>
      </c>
      <c r="J52" s="259">
        <f>ROUND(I52*E52,2)</f>
        <v/>
      </c>
    </row>
    <row r="53" hidden="1" outlineLevel="1" ht="14.25" customFormat="1" customHeight="1" s="288">
      <c r="A53" s="345" t="n">
        <v>25</v>
      </c>
      <c r="B53" s="198" t="inlineStr">
        <is>
          <t>01.3.01.01-0001</t>
        </is>
      </c>
      <c r="C53" s="344" t="inlineStr">
        <is>
          <t>Бензин авиационный Б-70</t>
        </is>
      </c>
      <c r="D53" s="345" t="inlineStr">
        <is>
          <t>т</t>
        </is>
      </c>
      <c r="E53" s="231" t="n">
        <v>0.0048</v>
      </c>
      <c r="F53" s="259" t="n">
        <v>4488.4</v>
      </c>
      <c r="G53" s="259">
        <f>ROUND(F53*E53,2)</f>
        <v/>
      </c>
      <c r="H53" s="349">
        <f>G53/$G$62</f>
        <v/>
      </c>
      <c r="I53" s="360">
        <f>ROUND(F53*'Прил. 10'!$D$12,2)</f>
        <v/>
      </c>
      <c r="J53" s="259">
        <f>ROUND(I53*E53,2)</f>
        <v/>
      </c>
    </row>
    <row r="54" hidden="1" outlineLevel="1" ht="25.5" customFormat="1" customHeight="1" s="288">
      <c r="A54" s="345" t="n">
        <v>26</v>
      </c>
      <c r="B54" s="198" t="inlineStr">
        <is>
          <t>12.2.03.12-0002</t>
        </is>
      </c>
      <c r="C54" s="344" t="inlineStr">
        <is>
          <t>Фольга алюминиевая для технических целей мягкая, рулонная, толщина 0,1 мм</t>
        </is>
      </c>
      <c r="D54" s="345" t="inlineStr">
        <is>
          <t>кг</t>
        </is>
      </c>
      <c r="E54" s="231" t="n">
        <v>0.4125</v>
      </c>
      <c r="F54" s="259" t="n">
        <v>35.49</v>
      </c>
      <c r="G54" s="259">
        <f>ROUND(F54*E54,2)</f>
        <v/>
      </c>
      <c r="H54" s="349">
        <f>G54/$G$62</f>
        <v/>
      </c>
      <c r="I54" s="360">
        <f>ROUND(F54*'Прил. 10'!$D$12,2)</f>
        <v/>
      </c>
      <c r="J54" s="259">
        <f>ROUND(I54*E54,2)</f>
        <v/>
      </c>
    </row>
    <row r="55" hidden="1" outlineLevel="1" ht="25.5" customFormat="1" customHeight="1" s="288">
      <c r="A55" s="345" t="n">
        <v>27</v>
      </c>
      <c r="B55" s="198" t="inlineStr">
        <is>
          <t>01.7.06.03-0004</t>
        </is>
      </c>
      <c r="C55" s="344" t="inlineStr">
        <is>
          <t>Лента поливинилхлоридная техническая с липким слоем, толщина 0,4 мм</t>
        </is>
      </c>
      <c r="D55" s="345" t="inlineStr">
        <is>
          <t>кг</t>
        </is>
      </c>
      <c r="E55" s="231" t="n">
        <v>0.624</v>
      </c>
      <c r="F55" s="259" t="n">
        <v>21.3</v>
      </c>
      <c r="G55" s="259">
        <f>ROUND(F55*E55,2)</f>
        <v/>
      </c>
      <c r="H55" s="349">
        <f>G55/$G$62</f>
        <v/>
      </c>
      <c r="I55" s="360">
        <f>ROUND(F55*'Прил. 10'!$D$12,2)</f>
        <v/>
      </c>
      <c r="J55" s="259">
        <f>ROUND(I55*E55,2)</f>
        <v/>
      </c>
    </row>
    <row r="56" hidden="1" outlineLevel="1" ht="14.25" customFormat="1" customHeight="1" s="288">
      <c r="A56" s="345" t="n">
        <v>28</v>
      </c>
      <c r="B56" s="198" t="inlineStr">
        <is>
          <t>01.3.05.38-0371</t>
        </is>
      </c>
      <c r="C56" s="344" t="inlineStr">
        <is>
          <t>Кислота стеариновая техническая</t>
        </is>
      </c>
      <c r="D56" s="345" t="inlineStr">
        <is>
          <t>кг</t>
        </is>
      </c>
      <c r="E56" s="231" t="n">
        <v>0.2</v>
      </c>
      <c r="F56" s="259" t="n">
        <v>16.8</v>
      </c>
      <c r="G56" s="259">
        <f>ROUND(F56*E56,2)</f>
        <v/>
      </c>
      <c r="H56" s="349">
        <f>G56/$G$62</f>
        <v/>
      </c>
      <c r="I56" s="360">
        <f>ROUND(F56*'Прил. 10'!$D$12,2)</f>
        <v/>
      </c>
      <c r="J56" s="259">
        <f>ROUND(I56*E56,2)</f>
        <v/>
      </c>
    </row>
    <row r="57" hidden="1" outlineLevel="1" ht="25.5" customFormat="1" customHeight="1" s="288">
      <c r="A57" s="345" t="n">
        <v>29</v>
      </c>
      <c r="B57" s="198" t="inlineStr">
        <is>
          <t>01.7.02.04-0001</t>
        </is>
      </c>
      <c r="C57" s="344" t="inlineStr">
        <is>
          <t>Бумага кабельная электроизоляционная, двухслойная</t>
        </is>
      </c>
      <c r="D57" s="345" t="inlineStr">
        <is>
          <t>кг</t>
        </is>
      </c>
      <c r="E57" s="231" t="n">
        <v>0.112</v>
      </c>
      <c r="F57" s="259" t="n">
        <v>21.32</v>
      </c>
      <c r="G57" s="259">
        <f>ROUND(F57*E57,2)</f>
        <v/>
      </c>
      <c r="H57" s="349">
        <f>G57/$G$62</f>
        <v/>
      </c>
      <c r="I57" s="360">
        <f>ROUND(F57*'Прил. 10'!$D$12,2)</f>
        <v/>
      </c>
      <c r="J57" s="259">
        <f>ROUND(I57*E57,2)</f>
        <v/>
      </c>
    </row>
    <row r="58" hidden="1" outlineLevel="1" ht="25.5" customFormat="1" customHeight="1" s="288">
      <c r="A58" s="345" t="n">
        <v>30</v>
      </c>
      <c r="B58" s="198" t="inlineStr">
        <is>
          <t>22.2.02.05-0001</t>
        </is>
      </c>
      <c r="C58" s="344" t="inlineStr">
        <is>
          <t>Кольца групповые полиэтиленовые, длина 8 мм, внутренний диаметр 4,6 мм</t>
        </is>
      </c>
      <c r="D58" s="345" t="inlineStr">
        <is>
          <t>1000 шт</t>
        </is>
      </c>
      <c r="E58" s="231" t="n">
        <v>0.07199999999999999</v>
      </c>
      <c r="F58" s="259" t="n">
        <v>30.1</v>
      </c>
      <c r="G58" s="259">
        <f>ROUND(F58*E58,2)</f>
        <v/>
      </c>
      <c r="H58" s="349">
        <f>G58/$G$62</f>
        <v/>
      </c>
      <c r="I58" s="360">
        <f>ROUND(F58*'Прил. 10'!$D$12,2)</f>
        <v/>
      </c>
      <c r="J58" s="259">
        <f>ROUND(I58*E58,2)</f>
        <v/>
      </c>
    </row>
    <row r="59" hidden="1" outlineLevel="1" ht="14.25" customFormat="1" customHeight="1" s="288">
      <c r="A59" s="345" t="n">
        <v>31</v>
      </c>
      <c r="B59" s="198" t="inlineStr">
        <is>
          <t>14.4.03.03-0102</t>
        </is>
      </c>
      <c r="C59" s="344" t="inlineStr">
        <is>
          <t>Лак битумный БТ-577</t>
        </is>
      </c>
      <c r="D59" s="345" t="inlineStr">
        <is>
          <t>т</t>
        </is>
      </c>
      <c r="E59" s="231" t="n">
        <v>0.00016</v>
      </c>
      <c r="F59" s="259" t="n">
        <v>9550.01</v>
      </c>
      <c r="G59" s="259">
        <f>ROUND(F59*E59,2)</f>
        <v/>
      </c>
      <c r="H59" s="349">
        <f>G59/$G$62</f>
        <v/>
      </c>
      <c r="I59" s="360">
        <f>ROUND(F59*'Прил. 10'!$D$12,2)</f>
        <v/>
      </c>
      <c r="J59" s="259">
        <f>ROUND(I59*E59,2)</f>
        <v/>
      </c>
    </row>
    <row r="60" hidden="1" outlineLevel="1" ht="14.25" customFormat="1" customHeight="1" s="288">
      <c r="A60" s="345" t="n">
        <v>32</v>
      </c>
      <c r="B60" s="198" t="inlineStr">
        <is>
          <t>01.3.05.17-0002</t>
        </is>
      </c>
      <c r="C60" s="344" t="inlineStr">
        <is>
          <t>Канифоль сосновая</t>
        </is>
      </c>
      <c r="D60" s="345" t="inlineStr">
        <is>
          <t>кг</t>
        </is>
      </c>
      <c r="E60" s="231" t="n">
        <v>0.024</v>
      </c>
      <c r="F60" s="259" t="n">
        <v>27.74</v>
      </c>
      <c r="G60" s="259">
        <f>ROUND(F60*E60,2)</f>
        <v/>
      </c>
      <c r="H60" s="349">
        <f>G60/$G$62</f>
        <v/>
      </c>
      <c r="I60" s="360">
        <f>ROUND(F60*'Прил. 10'!$D$12,2)</f>
        <v/>
      </c>
      <c r="J60" s="259">
        <f>ROUND(I60*E60,2)</f>
        <v/>
      </c>
    </row>
    <row r="61" collapsed="1" ht="14.25" customFormat="1" customHeight="1" s="288">
      <c r="A61" s="345" t="n"/>
      <c r="B61" s="345" t="n"/>
      <c r="C61" s="344" t="inlineStr">
        <is>
          <t>Итого прочие материалы</t>
        </is>
      </c>
      <c r="D61" s="345" t="n"/>
      <c r="E61" s="346" t="n"/>
      <c r="F61" s="347" t="n"/>
      <c r="G61" s="259">
        <f>SUM(G42:G60)</f>
        <v/>
      </c>
      <c r="H61" s="349">
        <f>G61/G62</f>
        <v/>
      </c>
      <c r="I61" s="259" t="n"/>
      <c r="J61" s="259">
        <f>SUM(J42:J60)</f>
        <v/>
      </c>
    </row>
    <row r="62" ht="14.25" customFormat="1" customHeight="1" s="288">
      <c r="A62" s="345" t="n"/>
      <c r="B62" s="345" t="n"/>
      <c r="C62" s="338" t="inlineStr">
        <is>
          <t>Итого по разделу «Материалы»</t>
        </is>
      </c>
      <c r="D62" s="345" t="n"/>
      <c r="E62" s="346" t="n"/>
      <c r="F62" s="347" t="n"/>
      <c r="G62" s="259">
        <f>G41+G61</f>
        <v/>
      </c>
      <c r="H62" s="349" t="n">
        <v>1</v>
      </c>
      <c r="I62" s="347" t="n"/>
      <c r="J62" s="259">
        <f>J41+J61</f>
        <v/>
      </c>
      <c r="K62" s="428" t="n"/>
    </row>
    <row r="63" ht="14.25" customFormat="1" customHeight="1" s="288">
      <c r="A63" s="345" t="n"/>
      <c r="B63" s="345" t="n"/>
      <c r="C63" s="344" t="inlineStr">
        <is>
          <t>ИТОГО ПО РМ</t>
        </is>
      </c>
      <c r="D63" s="345" t="n"/>
      <c r="E63" s="346" t="n"/>
      <c r="F63" s="347" t="n"/>
      <c r="G63" s="259">
        <f>G15+G30+G62</f>
        <v/>
      </c>
      <c r="H63" s="349" t="n"/>
      <c r="I63" s="347" t="n"/>
      <c r="J63" s="259">
        <f>J15+J30+J62</f>
        <v/>
      </c>
    </row>
    <row r="64" ht="14.25" customFormat="1" customHeight="1" s="288">
      <c r="A64" s="345" t="n"/>
      <c r="B64" s="345" t="n"/>
      <c r="C64" s="344" t="inlineStr">
        <is>
          <t>Накладные расходы</t>
        </is>
      </c>
      <c r="D64" s="345" t="inlineStr">
        <is>
          <t>%</t>
        </is>
      </c>
      <c r="E64" s="250">
        <f>ROUND(G64/(G15+G17),2)</f>
        <v/>
      </c>
      <c r="F64" s="347" t="n"/>
      <c r="G64" s="259" t="n">
        <v>16870.33</v>
      </c>
      <c r="H64" s="349" t="n"/>
      <c r="I64" s="347" t="n"/>
      <c r="J64" s="259">
        <f>ROUND(E64*(J15+J17),2)</f>
        <v/>
      </c>
      <c r="K64" s="251" t="n"/>
    </row>
    <row r="65" ht="14.25" customFormat="1" customHeight="1" s="288">
      <c r="A65" s="345" t="n"/>
      <c r="B65" s="345" t="n"/>
      <c r="C65" s="344" t="inlineStr">
        <is>
          <t>Сметная прибыль</t>
        </is>
      </c>
      <c r="D65" s="345" t="inlineStr">
        <is>
          <t>%</t>
        </is>
      </c>
      <c r="E65" s="250">
        <f>ROUND(G65/(G15+G17),2)</f>
        <v/>
      </c>
      <c r="F65" s="347" t="n"/>
      <c r="G65" s="259" t="n">
        <v>8868.889999999999</v>
      </c>
      <c r="H65" s="349" t="n"/>
      <c r="I65" s="347" t="n"/>
      <c r="J65" s="259">
        <f>ROUND(E65*(J15+J17),2)</f>
        <v/>
      </c>
      <c r="K65" s="251" t="n"/>
    </row>
    <row r="66" ht="14.25" customFormat="1" customHeight="1" s="288">
      <c r="A66" s="345" t="n"/>
      <c r="B66" s="345" t="n"/>
      <c r="C66" s="344" t="inlineStr">
        <is>
          <t>Итого СМР (с НР и СП)</t>
        </is>
      </c>
      <c r="D66" s="345" t="n"/>
      <c r="E66" s="346" t="n"/>
      <c r="F66" s="347" t="n"/>
      <c r="G66" s="259">
        <f>G15+G30+G62+G64+G65</f>
        <v/>
      </c>
      <c r="H66" s="349" t="n"/>
      <c r="I66" s="347" t="n"/>
      <c r="J66" s="259">
        <f>J15+J30+J62+J64+J65</f>
        <v/>
      </c>
      <c r="L66" s="252" t="n"/>
    </row>
    <row r="67" ht="14.25" customFormat="1" customHeight="1" s="288">
      <c r="A67" s="345" t="n"/>
      <c r="B67" s="345" t="n"/>
      <c r="C67" s="344" t="inlineStr">
        <is>
          <t>ВСЕГО СМР + ОБОРУДОВАНИЕ</t>
        </is>
      </c>
      <c r="D67" s="345" t="n"/>
      <c r="E67" s="346" t="n"/>
      <c r="F67" s="347" t="n"/>
      <c r="G67" s="259">
        <f>G66+G35</f>
        <v/>
      </c>
      <c r="H67" s="349" t="n"/>
      <c r="I67" s="347" t="n"/>
      <c r="J67" s="259">
        <f>J66+J35</f>
        <v/>
      </c>
      <c r="L67" s="251" t="n"/>
    </row>
    <row r="68" ht="14.25" customFormat="1" customHeight="1" s="288">
      <c r="A68" s="345" t="n"/>
      <c r="B68" s="345" t="n"/>
      <c r="C68" s="344" t="inlineStr">
        <is>
          <t>ИТОГО ПОКАЗАТЕЛЬ НА ЕД. ИЗМ.</t>
        </is>
      </c>
      <c r="D68" s="345" t="inlineStr">
        <is>
          <t>ед.</t>
        </is>
      </c>
      <c r="E68" s="231">
        <f>'Прил.1 Сравнит табл'!D15</f>
        <v/>
      </c>
      <c r="F68" s="347" t="n"/>
      <c r="G68" s="259">
        <f>G67/E68</f>
        <v/>
      </c>
      <c r="H68" s="349" t="n"/>
      <c r="I68" s="347" t="n"/>
      <c r="J68" s="259">
        <f>J67/E68</f>
        <v/>
      </c>
      <c r="L68" s="251" t="n"/>
    </row>
    <row r="70" ht="14.25" customFormat="1" customHeight="1" s="288">
      <c r="A70" s="286" t="n"/>
    </row>
    <row r="71" ht="14.25" customFormat="1" customHeight="1" s="288">
      <c r="A71" s="281" t="inlineStr">
        <is>
          <t>Составил ______________________       Е. М. Добровольская</t>
        </is>
      </c>
    </row>
    <row r="72" ht="14.25" customFormat="1" customHeight="1" s="288">
      <c r="A72" s="289" t="inlineStr">
        <is>
          <t xml:space="preserve">                         (подпись, инициалы, фамилия)</t>
        </is>
      </c>
    </row>
    <row r="73" ht="14.25" customFormat="1" customHeight="1" s="288">
      <c r="A73" s="281" t="n"/>
    </row>
    <row r="74" ht="14.25" customFormat="1" customHeight="1" s="288">
      <c r="A74" s="281" t="inlineStr">
        <is>
          <t>Проверил ______________________        А.В. Костянецкая</t>
        </is>
      </c>
    </row>
    <row r="75" ht="14.25" customFormat="1" customHeight="1" s="288">
      <c r="A75" s="289" t="inlineStr">
        <is>
          <t xml:space="preserve">                        (подпись, инициалы, фамилия)</t>
        </is>
      </c>
    </row>
  </sheetData>
  <mergeCells count="21">
    <mergeCell ref="H9:H10"/>
    <mergeCell ref="H2:J2"/>
    <mergeCell ref="C9:C10"/>
    <mergeCell ref="E9:E10"/>
    <mergeCell ref="A7:H7"/>
    <mergeCell ref="B16:H16"/>
    <mergeCell ref="B9:B10"/>
    <mergeCell ref="D9:D10"/>
    <mergeCell ref="B18:H18"/>
    <mergeCell ref="B12:H12"/>
    <mergeCell ref="B32:J32"/>
    <mergeCell ref="D6:J6"/>
    <mergeCell ref="F9:G9"/>
    <mergeCell ref="A4:H4"/>
    <mergeCell ref="A9:A10"/>
    <mergeCell ref="A6:C6"/>
    <mergeCell ref="B31:J31"/>
    <mergeCell ref="B38:H38"/>
    <mergeCell ref="B19:H19"/>
    <mergeCell ref="B37:H3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zoomScale="85" workbookViewId="0">
      <selection activeCell="B15" sqref="B15"/>
    </sheetView>
  </sheetViews>
  <sheetFormatPr baseColWidth="8" defaultRowHeight="15"/>
  <cols>
    <col width="5.7109375" customWidth="1" style="294" min="1" max="1"/>
    <col width="14.85546875" customWidth="1" style="294" min="2" max="2"/>
    <col width="39.140625" customWidth="1" style="294" min="3" max="3"/>
    <col width="8.28515625" customWidth="1" style="294" min="4" max="4"/>
    <col width="13.5703125" customWidth="1" style="294" min="5" max="5"/>
    <col width="12.42578125" customWidth="1" style="294" min="6" max="6"/>
    <col width="14.140625" customWidth="1" style="294" min="7" max="7"/>
  </cols>
  <sheetData>
    <row r="1">
      <c r="A1" s="361" t="inlineStr">
        <is>
          <t>Приложение №6</t>
        </is>
      </c>
    </row>
    <row r="2" ht="21.75" customHeight="1" s="294">
      <c r="A2" s="361" t="n"/>
      <c r="B2" s="361" t="n"/>
      <c r="C2" s="361" t="n"/>
      <c r="D2" s="361" t="n"/>
      <c r="E2" s="361" t="n"/>
      <c r="F2" s="361" t="n"/>
      <c r="G2" s="361" t="n"/>
    </row>
    <row r="3">
      <c r="A3" s="319" t="inlineStr">
        <is>
          <t>Расчет стоимости оборудования</t>
        </is>
      </c>
    </row>
    <row r="4" ht="25.5" customHeight="1" s="294">
      <c r="A4" s="322">
        <f>'Прил.1 Сравнит табл'!B7</f>
        <v/>
      </c>
    </row>
    <row r="5">
      <c r="A5" s="281" t="n"/>
      <c r="B5" s="281" t="n"/>
      <c r="C5" s="281" t="n"/>
      <c r="D5" s="281" t="n"/>
      <c r="E5" s="281" t="n"/>
      <c r="F5" s="281" t="n"/>
      <c r="G5" s="281" t="n"/>
    </row>
    <row r="6" ht="30.2" customHeight="1" s="294">
      <c r="A6" s="362" t="inlineStr">
        <is>
          <t>№ пп.</t>
        </is>
      </c>
      <c r="B6" s="362" t="inlineStr">
        <is>
          <t>Код ресурса</t>
        </is>
      </c>
      <c r="C6" s="362" t="inlineStr">
        <is>
          <t>Наименование</t>
        </is>
      </c>
      <c r="D6" s="362" t="inlineStr">
        <is>
          <t>Ед. изм.</t>
        </is>
      </c>
      <c r="E6" s="345" t="inlineStr">
        <is>
          <t>Кол-во единиц по проектным данным</t>
        </is>
      </c>
      <c r="F6" s="362" t="inlineStr">
        <is>
          <t>Сметная стоимость в ценах на 01.01.2000 (руб.)</t>
        </is>
      </c>
      <c r="G6" s="421" t="n"/>
    </row>
    <row r="7">
      <c r="A7" s="423" t="n"/>
      <c r="B7" s="423" t="n"/>
      <c r="C7" s="423" t="n"/>
      <c r="D7" s="423" t="n"/>
      <c r="E7" s="423" t="n"/>
      <c r="F7" s="345" t="inlineStr">
        <is>
          <t>на ед. изм.</t>
        </is>
      </c>
      <c r="G7" s="345" t="inlineStr">
        <is>
          <t>общая</t>
        </is>
      </c>
    </row>
    <row r="8">
      <c r="A8" s="345" t="n">
        <v>1</v>
      </c>
      <c r="B8" s="345" t="n">
        <v>2</v>
      </c>
      <c r="C8" s="345" t="n">
        <v>3</v>
      </c>
      <c r="D8" s="345" t="n">
        <v>4</v>
      </c>
      <c r="E8" s="345" t="n">
        <v>5</v>
      </c>
      <c r="F8" s="345" t="n">
        <v>6</v>
      </c>
      <c r="G8" s="345" t="n">
        <v>7</v>
      </c>
    </row>
    <row r="9" ht="15" customHeight="1" s="294">
      <c r="A9" s="210" t="n"/>
      <c r="B9" s="344" t="inlineStr">
        <is>
          <t>ИНЖЕНЕРНОЕ ОБОРУДОВАНИЕ</t>
        </is>
      </c>
      <c r="C9" s="420" t="n"/>
      <c r="D9" s="420" t="n"/>
      <c r="E9" s="420" t="n"/>
      <c r="F9" s="420" t="n"/>
      <c r="G9" s="421" t="n"/>
    </row>
    <row r="10" ht="27" customHeight="1" s="294">
      <c r="A10" s="345" t="n"/>
      <c r="B10" s="338" t="n"/>
      <c r="C10" s="344" t="inlineStr">
        <is>
          <t>ИТОГО ИНЖЕНЕРНОЕ ОБОРУДОВАНИЕ</t>
        </is>
      </c>
      <c r="D10" s="338" t="n"/>
      <c r="E10" s="142" t="n"/>
      <c r="F10" s="347" t="n"/>
      <c r="G10" s="347" t="n">
        <v>0</v>
      </c>
    </row>
    <row r="11">
      <c r="A11" s="345" t="n"/>
      <c r="B11" s="344" t="inlineStr">
        <is>
          <t>ТЕХНОЛОГИЧЕСКОЕ ОБОРУДОВАНИЕ</t>
        </is>
      </c>
      <c r="C11" s="420" t="n"/>
      <c r="D11" s="420" t="n"/>
      <c r="E11" s="420" t="n"/>
      <c r="F11" s="420" t="n"/>
      <c r="G11" s="421" t="n"/>
    </row>
    <row r="12" ht="25.5" customHeight="1" s="294">
      <c r="A12" s="345" t="n"/>
      <c r="B12" s="160" t="n"/>
      <c r="C12" s="160" t="inlineStr">
        <is>
          <t>ИТОГО ТЕХНОЛОГИЧЕСКОЕ ОБОРУДОВАНИЕ</t>
        </is>
      </c>
      <c r="D12" s="160" t="n"/>
      <c r="E12" s="161" t="n"/>
      <c r="F12" s="347" t="n"/>
      <c r="G12" s="259" t="n">
        <v>0</v>
      </c>
    </row>
    <row r="13" ht="19.5" customHeight="1" s="294">
      <c r="A13" s="345" t="n"/>
      <c r="B13" s="344" t="n"/>
      <c r="C13" s="344" t="inlineStr">
        <is>
          <t>Всего по разделу «Оборудование»</t>
        </is>
      </c>
      <c r="D13" s="344" t="n"/>
      <c r="E13" s="360" t="n"/>
      <c r="F13" s="347" t="n"/>
      <c r="G13" s="259">
        <f>G10+G12</f>
        <v/>
      </c>
    </row>
    <row r="14">
      <c r="A14" s="286" t="n"/>
      <c r="B14" s="287" t="n"/>
      <c r="C14" s="286" t="n"/>
      <c r="D14" s="286" t="n"/>
      <c r="E14" s="286" t="n"/>
      <c r="F14" s="286" t="n"/>
      <c r="G14" s="286" t="n"/>
    </row>
    <row r="15">
      <c r="A15" s="281" t="inlineStr">
        <is>
          <t>Составил ______________________     Е. М. Добровольская</t>
        </is>
      </c>
      <c r="B15" s="288" t="n"/>
      <c r="C15" s="288" t="n"/>
      <c r="D15" s="286" t="n"/>
      <c r="E15" s="286" t="n"/>
      <c r="F15" s="286" t="n"/>
      <c r="G15" s="286" t="n"/>
    </row>
    <row r="16">
      <c r="A16" s="289" t="inlineStr">
        <is>
          <t xml:space="preserve">                         (подпись, инициалы, фамилия)</t>
        </is>
      </c>
      <c r="B16" s="288" t="n"/>
      <c r="C16" s="288" t="n"/>
      <c r="D16" s="286" t="n"/>
      <c r="E16" s="286" t="n"/>
      <c r="F16" s="286" t="n"/>
      <c r="G16" s="286" t="n"/>
    </row>
    <row r="17">
      <c r="A17" s="281" t="n"/>
      <c r="B17" s="288" t="n"/>
      <c r="C17" s="288" t="n"/>
      <c r="D17" s="286" t="n"/>
      <c r="E17" s="286" t="n"/>
      <c r="F17" s="286" t="n"/>
      <c r="G17" s="286" t="n"/>
    </row>
    <row r="18">
      <c r="A18" s="281" t="inlineStr">
        <is>
          <t>Проверил ______________________        А.В. Костянецкая</t>
        </is>
      </c>
      <c r="B18" s="288" t="n"/>
      <c r="C18" s="288" t="n"/>
      <c r="D18" s="286" t="n"/>
      <c r="E18" s="286" t="n"/>
      <c r="F18" s="286" t="n"/>
      <c r="G18" s="286" t="n"/>
    </row>
    <row r="19">
      <c r="A19" s="289" t="inlineStr">
        <is>
          <t xml:space="preserve">                        (подпись, инициалы, фамилия)</t>
        </is>
      </c>
      <c r="B19" s="288" t="n"/>
      <c r="C19" s="288" t="n"/>
      <c r="D19" s="286" t="n"/>
      <c r="E19" s="286" t="n"/>
      <c r="F19" s="286" t="n"/>
      <c r="G19" s="28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294" min="1" max="1"/>
    <col width="29.5703125" customWidth="1" style="294" min="2" max="2"/>
    <col width="39.140625" customWidth="1" style="294" min="3" max="3"/>
    <col width="48.140625" customWidth="1" style="294" min="4" max="4"/>
    <col width="8.85546875" customWidth="1" style="294" min="5" max="5"/>
  </cols>
  <sheetData>
    <row r="1">
      <c r="B1" s="281" t="n"/>
      <c r="C1" s="281" t="n"/>
      <c r="D1" s="361" t="inlineStr">
        <is>
          <t>Приложение №7</t>
        </is>
      </c>
    </row>
    <row r="2" ht="25.9" customHeight="1" s="294">
      <c r="A2" s="361" t="n"/>
      <c r="B2" s="361" t="n"/>
      <c r="C2" s="361" t="n"/>
      <c r="D2" s="361" t="n"/>
    </row>
    <row r="3" ht="24.75" customHeight="1" s="294">
      <c r="A3" s="319" t="inlineStr">
        <is>
          <t>Расчет показателя УНЦ</t>
        </is>
      </c>
    </row>
    <row r="4" ht="24.75" customHeight="1" s="294">
      <c r="A4" s="319" t="n"/>
      <c r="B4" s="319" t="n"/>
      <c r="C4" s="319" t="n"/>
      <c r="D4" s="319" t="n"/>
    </row>
    <row r="5" ht="24.6" customHeight="1" s="294">
      <c r="A5" s="322" t="inlineStr">
        <is>
          <t xml:space="preserve">Наименование разрабатываемого показателя УНЦ - </t>
        </is>
      </c>
      <c r="D5" s="322">
        <f>'Прил.5 Расчет СМР и ОБ'!D6:J6</f>
        <v/>
      </c>
    </row>
    <row r="6" ht="19.9" customHeight="1" s="294">
      <c r="A6" s="322" t="inlineStr">
        <is>
          <t>Единица измерения  — 1 км</t>
        </is>
      </c>
      <c r="D6" s="322" t="n"/>
    </row>
    <row r="7">
      <c r="A7" s="281" t="n"/>
      <c r="B7" s="281" t="n"/>
      <c r="C7" s="281" t="n"/>
      <c r="D7" s="281" t="n"/>
    </row>
    <row r="8" ht="14.45" customHeight="1" s="294">
      <c r="A8" s="333" t="inlineStr">
        <is>
          <t>Код показателя</t>
        </is>
      </c>
      <c r="B8" s="333" t="inlineStr">
        <is>
          <t>Наименование показателя</t>
        </is>
      </c>
      <c r="C8" s="333" t="inlineStr">
        <is>
          <t>Наименование РМ, входящих в состав показателя</t>
        </is>
      </c>
      <c r="D8" s="333" t="inlineStr">
        <is>
          <t>Норматив цены на 01.01.2023, тыс.руб.</t>
        </is>
      </c>
    </row>
    <row r="9" ht="15" customHeight="1" s="294">
      <c r="A9" s="423" t="n"/>
      <c r="B9" s="423" t="n"/>
      <c r="C9" s="423" t="n"/>
      <c r="D9" s="423" t="n"/>
    </row>
    <row r="10">
      <c r="A10" s="345" t="n">
        <v>1</v>
      </c>
      <c r="B10" s="345" t="n">
        <v>2</v>
      </c>
      <c r="C10" s="345" t="n">
        <v>3</v>
      </c>
      <c r="D10" s="345" t="n">
        <v>4</v>
      </c>
    </row>
    <row r="11" ht="41.45" customHeight="1" s="294">
      <c r="A11" s="345" t="inlineStr">
        <is>
          <t>О3-02-2</t>
        </is>
      </c>
      <c r="B11" s="345" t="inlineStr">
        <is>
          <t>УНЦ ВОК</t>
        </is>
      </c>
      <c r="C11" s="283">
        <f>D5</f>
        <v/>
      </c>
      <c r="D11" s="284">
        <f>'Прил.4 РМ'!C41/1000</f>
        <v/>
      </c>
      <c r="E11" s="285" t="n"/>
    </row>
    <row r="12">
      <c r="A12" s="286" t="n"/>
      <c r="B12" s="287" t="n"/>
      <c r="C12" s="286" t="n"/>
      <c r="D12" s="286" t="n"/>
    </row>
    <row r="13">
      <c r="A13" s="281" t="inlineStr">
        <is>
          <t>Составил ______________________      Е. М. Добровольская</t>
        </is>
      </c>
      <c r="B13" s="288" t="n"/>
      <c r="C13" s="288" t="n"/>
      <c r="D13" s="286" t="n"/>
    </row>
    <row r="14">
      <c r="A14" s="289" t="inlineStr">
        <is>
          <t xml:space="preserve">                         (подпись, инициалы, фамилия)</t>
        </is>
      </c>
      <c r="B14" s="288" t="n"/>
      <c r="C14" s="288" t="n"/>
      <c r="D14" s="286" t="n"/>
    </row>
    <row r="15">
      <c r="A15" s="281" t="n"/>
      <c r="B15" s="288" t="n"/>
      <c r="C15" s="288" t="n"/>
      <c r="D15" s="286" t="n"/>
    </row>
    <row r="16">
      <c r="A16" s="281" t="inlineStr">
        <is>
          <t>Проверил ______________________        А.В. Костянецкая</t>
        </is>
      </c>
      <c r="B16" s="288" t="n"/>
      <c r="C16" s="288" t="n"/>
      <c r="D16" s="286" t="n"/>
    </row>
    <row r="17">
      <c r="A17" s="289" t="inlineStr">
        <is>
          <t xml:space="preserve">                        (подпись, инициалы, фамилия)</t>
        </is>
      </c>
      <c r="B17" s="288" t="n"/>
      <c r="C17" s="288" t="n"/>
      <c r="D17" s="28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3" zoomScale="60" zoomScaleNormal="100" workbookViewId="0">
      <selection activeCell="B26" sqref="B26"/>
    </sheetView>
  </sheetViews>
  <sheetFormatPr baseColWidth="8" defaultRowHeight="15"/>
  <cols>
    <col width="40.7109375" customWidth="1" style="294" min="2" max="2"/>
    <col width="37" customWidth="1" style="294" min="3" max="3"/>
    <col width="32" customWidth="1" style="294" min="4" max="4"/>
  </cols>
  <sheetData>
    <row r="4" ht="15.75" customHeight="1" s="294">
      <c r="B4" s="327" t="inlineStr">
        <is>
          <t>Приложение № 10</t>
        </is>
      </c>
    </row>
    <row r="5" ht="18.75" customHeight="1" s="294">
      <c r="B5" s="171" t="n"/>
    </row>
    <row r="6" ht="15.75" customHeight="1" s="294">
      <c r="B6" s="332" t="inlineStr">
        <is>
          <t>Используемые индексы изменений сметной стоимости и нормы сопутствующих затрат</t>
        </is>
      </c>
    </row>
    <row r="7" ht="18.75" customHeight="1" s="294">
      <c r="B7" s="189" t="n"/>
    </row>
    <row r="8" ht="47.25" customHeight="1" s="294">
      <c r="B8" s="333" t="inlineStr">
        <is>
          <t>Наименование индекса / норм сопутствующих затрат</t>
        </is>
      </c>
      <c r="C8" s="333" t="inlineStr">
        <is>
          <t>Дата применения и обоснование индекса / норм сопутствующих затрат</t>
        </is>
      </c>
      <c r="D8" s="333" t="inlineStr">
        <is>
          <t>Размер индекса / норма сопутствующих затрат</t>
        </is>
      </c>
    </row>
    <row r="9" ht="15.75" customHeight="1" s="294">
      <c r="B9" s="333" t="n">
        <v>1</v>
      </c>
      <c r="C9" s="333" t="n">
        <v>2</v>
      </c>
      <c r="D9" s="333" t="n">
        <v>3</v>
      </c>
    </row>
    <row r="10" ht="45" customHeight="1" s="294">
      <c r="B10" s="333" t="inlineStr">
        <is>
          <t xml:space="preserve">Индекс изменения сметной стоимости на 1 квартал 2023 года. ОЗП </t>
        </is>
      </c>
      <c r="C10" s="333" t="inlineStr">
        <is>
          <t>Письмо Минстроя России от 30.03.2023г. №17106-ИФ/09  прил.1</t>
        </is>
      </c>
      <c r="D10" s="333" t="n">
        <v>44.29</v>
      </c>
    </row>
    <row r="11" ht="29.25" customHeight="1" s="294">
      <c r="B11" s="333" t="inlineStr">
        <is>
          <t>Индекс изменения сметной стоимости на 1 квартал 2023 года. ЭМ</t>
        </is>
      </c>
      <c r="C11" s="333" t="inlineStr">
        <is>
          <t>Письмо Минстроя России от 30.03.2023г. №17106-ИФ/09  прил.1</t>
        </is>
      </c>
      <c r="D11" s="333" t="n">
        <v>13.47</v>
      </c>
    </row>
    <row r="12" ht="29.25" customHeight="1" s="294">
      <c r="B12" s="333" t="inlineStr">
        <is>
          <t>Индекс изменения сметной стоимости на 1 квартал 2023 года. МАТ</t>
        </is>
      </c>
      <c r="C12" s="333" t="inlineStr">
        <is>
          <t>Письмо Минстроя России от 30.03.2023г. №17106-ИФ/09  прил.1</t>
        </is>
      </c>
      <c r="D12" s="333" t="n">
        <v>8.039999999999999</v>
      </c>
    </row>
    <row r="13" ht="30.75" customHeight="1" s="294">
      <c r="B13" s="333" t="inlineStr">
        <is>
          <t>Индекс изменения сметной стоимости на 1 квартал 2023 года. ОБ</t>
        </is>
      </c>
      <c r="C13" s="185" t="inlineStr">
        <is>
          <t>Письмо Минстроя России от 23.02.2023г. №9791-ИФ/09 прил.6</t>
        </is>
      </c>
      <c r="D13" s="333" t="n">
        <v>6.26</v>
      </c>
    </row>
    <row r="14" ht="89.45" customHeight="1" s="294">
      <c r="B14" s="333" t="inlineStr">
        <is>
          <t>Временные здания и сооружения</t>
        </is>
      </c>
      <c r="C14" s="333" t="inlineStr">
        <is>
          <t xml:space="preserve">Приложение №1  Методики определения затрат на строительство временных зданий и сооружений   по приказу Минстроя РФ №332/пр от 19.06.2020  </t>
        </is>
      </c>
      <c r="D14" s="291" t="n">
        <v>0.039</v>
      </c>
    </row>
    <row r="15" ht="78.75" customHeight="1" s="294">
      <c r="B15" s="333" t="inlineStr">
        <is>
          <t>Дополнительные затраты при производстве строительно-монтажных работ в зимнее время</t>
        </is>
      </c>
      <c r="C15" s="333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91" t="n">
        <v>0.021</v>
      </c>
    </row>
    <row r="16" ht="15.75" customHeight="1" s="294">
      <c r="B16" s="333" t="inlineStr">
        <is>
          <t>Пусконаладочные работы</t>
        </is>
      </c>
      <c r="C16" s="333" t="n"/>
      <c r="D16" s="333" t="inlineStr">
        <is>
          <t>расчет</t>
        </is>
      </c>
    </row>
    <row r="17" ht="31.7" customHeight="1" s="294">
      <c r="B17" s="333" t="inlineStr">
        <is>
          <t>Строительный контроль</t>
        </is>
      </c>
      <c r="C17" s="333" t="inlineStr">
        <is>
          <t>Постановление Правительства РФ от 21.06.10 г. № 468</t>
        </is>
      </c>
      <c r="D17" s="291" t="n">
        <v>0.0214</v>
      </c>
    </row>
    <row r="18" ht="31.7" customHeight="1" s="294">
      <c r="B18" s="333" t="inlineStr">
        <is>
          <t>Авторский надзор - 0,2%</t>
        </is>
      </c>
      <c r="C18" s="333" t="inlineStr">
        <is>
          <t>Приказ от 4.08.2020 № 421/пр п.173</t>
        </is>
      </c>
      <c r="D18" s="291" t="n">
        <v>0.002</v>
      </c>
    </row>
    <row r="19" ht="24" customHeight="1" s="294">
      <c r="B19" s="333" t="inlineStr">
        <is>
          <t>Непредвиденные расходы</t>
        </is>
      </c>
      <c r="C19" s="333" t="inlineStr">
        <is>
          <t>Приказ от 4.08.2020 № 421/пр п.179</t>
        </is>
      </c>
      <c r="D19" s="291" t="n">
        <v>0.03</v>
      </c>
    </row>
    <row r="20" ht="18.75" customHeight="1" s="294">
      <c r="B20" s="189" t="n"/>
    </row>
    <row r="21" ht="18.75" customHeight="1" s="294">
      <c r="B21" s="189" t="n"/>
    </row>
    <row r="22" ht="18.75" customHeight="1" s="294">
      <c r="B22" s="189" t="n"/>
    </row>
    <row r="23" ht="18.75" customHeight="1" s="294">
      <c r="B23" s="189" t="n"/>
    </row>
    <row r="26">
      <c r="B26" s="281" t="inlineStr">
        <is>
          <t>Составил ______________________        Е. М. Добровольская</t>
        </is>
      </c>
      <c r="C26" s="288" t="n"/>
    </row>
    <row r="27">
      <c r="B27" s="289" t="inlineStr">
        <is>
          <t xml:space="preserve">                         (подпись, инициалы, фамилия)</t>
        </is>
      </c>
      <c r="C27" s="288" t="n"/>
    </row>
    <row r="28">
      <c r="B28" s="281" t="n"/>
      <c r="C28" s="288" t="n"/>
    </row>
    <row r="29">
      <c r="B29" s="281" t="inlineStr">
        <is>
          <t>Проверил ______________________        А.В. Костянецкая</t>
        </is>
      </c>
      <c r="C29" s="288" t="n"/>
    </row>
    <row r="30">
      <c r="B30" s="289" t="inlineStr">
        <is>
          <t xml:space="preserve">                        (подпись, инициалы, фамилия)</t>
        </is>
      </c>
      <c r="C30" s="288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4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1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94" min="2" max="2"/>
    <col width="13" customWidth="1" style="294" min="3" max="3"/>
    <col width="22.85546875" customWidth="1" style="294" min="4" max="4"/>
    <col width="21.5703125" customWidth="1" style="294" min="5" max="5"/>
    <col width="53.7109375" bestFit="1" customWidth="1" style="294" min="6" max="6"/>
  </cols>
  <sheetData>
    <row r="1" s="294"/>
    <row r="2" ht="17.25" customHeight="1" s="294">
      <c r="A2" s="332" t="inlineStr">
        <is>
          <t>Расчет размера средств на оплату труда рабочих-строителей в текущем уровне цен (ФОТр.тек.)</t>
        </is>
      </c>
    </row>
    <row r="3" s="294"/>
    <row r="4" ht="18" customHeight="1" s="294">
      <c r="A4" s="295" t="inlineStr">
        <is>
          <t>Составлен в уровне цен на 01.01.2023 г.</t>
        </is>
      </c>
      <c r="B4" s="296" t="n"/>
      <c r="C4" s="296" t="n"/>
      <c r="D4" s="296" t="n"/>
      <c r="E4" s="296" t="n"/>
      <c r="F4" s="296" t="n"/>
      <c r="G4" s="296" t="n"/>
    </row>
    <row r="5" ht="15.75" customHeight="1" s="294">
      <c r="A5" s="297" t="inlineStr">
        <is>
          <t>№ пп.</t>
        </is>
      </c>
      <c r="B5" s="297" t="inlineStr">
        <is>
          <t>Наименование элемента</t>
        </is>
      </c>
      <c r="C5" s="297" t="inlineStr">
        <is>
          <t>Обозначение</t>
        </is>
      </c>
      <c r="D5" s="297" t="inlineStr">
        <is>
          <t>Формула</t>
        </is>
      </c>
      <c r="E5" s="297" t="inlineStr">
        <is>
          <t>Величина элемента</t>
        </is>
      </c>
      <c r="F5" s="297" t="inlineStr">
        <is>
          <t>Наименования обосновывающих документов</t>
        </is>
      </c>
      <c r="G5" s="296" t="n"/>
    </row>
    <row r="6" ht="15.75" customHeight="1" s="294">
      <c r="A6" s="297" t="n">
        <v>1</v>
      </c>
      <c r="B6" s="297" t="n">
        <v>2</v>
      </c>
      <c r="C6" s="297" t="n">
        <v>3</v>
      </c>
      <c r="D6" s="297" t="n">
        <v>4</v>
      </c>
      <c r="E6" s="297" t="n">
        <v>5</v>
      </c>
      <c r="F6" s="297" t="n">
        <v>6</v>
      </c>
      <c r="G6" s="296" t="n"/>
    </row>
    <row r="7" ht="110.25" customHeight="1" s="294">
      <c r="A7" s="298" t="inlineStr">
        <is>
          <t>1.1</t>
        </is>
      </c>
      <c r="B7" s="30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33" t="inlineStr">
        <is>
          <t>С1ср</t>
        </is>
      </c>
      <c r="D7" s="333" t="inlineStr">
        <is>
          <t>-</t>
        </is>
      </c>
      <c r="E7" s="301" t="n">
        <v>47872.94</v>
      </c>
      <c r="F7" s="30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96" t="n"/>
    </row>
    <row r="8" ht="31.5" customHeight="1" s="294">
      <c r="A8" s="298" t="inlineStr">
        <is>
          <t>1.2</t>
        </is>
      </c>
      <c r="B8" s="303" t="inlineStr">
        <is>
          <t>Среднегодовое нормативное число часов работы одного рабочего в месяц, часы (ч.)</t>
        </is>
      </c>
      <c r="C8" s="333" t="inlineStr">
        <is>
          <t>tср</t>
        </is>
      </c>
      <c r="D8" s="333" t="inlineStr">
        <is>
          <t>1973ч/12мес.</t>
        </is>
      </c>
      <c r="E8" s="302">
        <f>1973/12</f>
        <v/>
      </c>
      <c r="F8" s="303" t="inlineStr">
        <is>
          <t>Производственный календарь 2023 год
(40-часов.неделя)</t>
        </is>
      </c>
      <c r="G8" s="305" t="n"/>
    </row>
    <row r="9" ht="15.75" customHeight="1" s="294">
      <c r="A9" s="298" t="inlineStr">
        <is>
          <t>1.3</t>
        </is>
      </c>
      <c r="B9" s="303" t="inlineStr">
        <is>
          <t>Коэффициент увеличения</t>
        </is>
      </c>
      <c r="C9" s="333" t="inlineStr">
        <is>
          <t>Кув</t>
        </is>
      </c>
      <c r="D9" s="333" t="inlineStr">
        <is>
          <t>-</t>
        </is>
      </c>
      <c r="E9" s="302" t="n">
        <v>1</v>
      </c>
      <c r="F9" s="303" t="n"/>
      <c r="G9" s="305" t="n"/>
    </row>
    <row r="10" ht="15.75" customHeight="1" s="294">
      <c r="A10" s="298" t="inlineStr">
        <is>
          <t>1.4</t>
        </is>
      </c>
      <c r="B10" s="303" t="inlineStr">
        <is>
          <t>Средний разряд работ</t>
        </is>
      </c>
      <c r="C10" s="333" t="n"/>
      <c r="D10" s="333" t="n"/>
      <c r="E10" s="306" t="n">
        <v>4.2</v>
      </c>
      <c r="F10" s="303" t="inlineStr">
        <is>
          <t>РТМ</t>
        </is>
      </c>
      <c r="G10" s="305" t="n"/>
    </row>
    <row r="11" ht="78.75" customHeight="1" s="294">
      <c r="A11" s="298" t="inlineStr">
        <is>
          <t>1.5</t>
        </is>
      </c>
      <c r="B11" s="303" t="inlineStr">
        <is>
          <t>Тарифный коэффициент среднего разряда работ</t>
        </is>
      </c>
      <c r="C11" s="333" t="inlineStr">
        <is>
          <t>КТ</t>
        </is>
      </c>
      <c r="D11" s="333" t="inlineStr">
        <is>
          <t>-</t>
        </is>
      </c>
      <c r="E11" s="307" t="n">
        <v>1.38</v>
      </c>
      <c r="F11" s="30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96" t="n"/>
    </row>
    <row r="12" ht="78.75" customHeight="1" s="294">
      <c r="A12" s="311" t="inlineStr">
        <is>
          <t>1.6</t>
        </is>
      </c>
      <c r="B12" s="407" t="inlineStr">
        <is>
          <t>Коэффициент инфляции, определяемый поквартально</t>
        </is>
      </c>
      <c r="C12" s="312" t="inlineStr">
        <is>
          <t>Кинф</t>
        </is>
      </c>
      <c r="D12" s="312" t="inlineStr">
        <is>
          <t>-</t>
        </is>
      </c>
      <c r="E12" s="408" t="n">
        <v>1.139</v>
      </c>
      <c r="F12" s="40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0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94">
      <c r="A13" s="413" t="inlineStr">
        <is>
          <t>1.7</t>
        </is>
      </c>
      <c r="B13" s="414" t="inlineStr">
        <is>
          <t>Размер средств на оплату труда рабочих-строителей в текущем уровне цен (ФОТр.тек.), руб/чел.-ч</t>
        </is>
      </c>
      <c r="C13" s="415" t="inlineStr">
        <is>
          <t>ФОТр.тек.</t>
        </is>
      </c>
      <c r="D13" s="415" t="inlineStr">
        <is>
          <t>(С1ср/tср*КТ*Т*Кув)*Кинф</t>
        </is>
      </c>
      <c r="E13" s="416">
        <f>((E7*E9/E8)*E11)*E12</f>
        <v/>
      </c>
      <c r="F13" s="41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96" t="n"/>
    </row>
    <row r="14" ht="15.75" customHeight="1" s="294">
      <c r="A14" s="410" t="n"/>
      <c r="B14" s="411" t="inlineStr">
        <is>
          <t>Инженер I категории</t>
        </is>
      </c>
      <c r="C14" s="411" t="n"/>
      <c r="D14" s="411" t="n"/>
      <c r="E14" s="411" t="n"/>
      <c r="F14" s="412" t="n"/>
    </row>
    <row r="15" ht="110.25" customHeight="1" s="294">
      <c r="A15" s="298" t="inlineStr">
        <is>
          <t>1.1</t>
        </is>
      </c>
      <c r="B15" s="30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333" t="inlineStr">
        <is>
          <t>С1ср</t>
        </is>
      </c>
      <c r="D15" s="333" t="inlineStr">
        <is>
          <t>-</t>
        </is>
      </c>
      <c r="E15" s="301" t="n">
        <v>47872.94</v>
      </c>
      <c r="F15" s="30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296" t="n"/>
    </row>
    <row r="16" ht="31.5" customHeight="1" s="294">
      <c r="A16" s="298" t="inlineStr">
        <is>
          <t>1.2</t>
        </is>
      </c>
      <c r="B16" s="303" t="inlineStr">
        <is>
          <t>Среднегодовое нормативное число часов работы одного рабочего в месяц, часы (ч.)</t>
        </is>
      </c>
      <c r="C16" s="333" t="inlineStr">
        <is>
          <t>tср</t>
        </is>
      </c>
      <c r="D16" s="333" t="inlineStr">
        <is>
          <t>1973ч/12мес.</t>
        </is>
      </c>
      <c r="E16" s="302">
        <f>1973/12</f>
        <v/>
      </c>
      <c r="F16" s="303" t="inlineStr">
        <is>
          <t>Производственный календарь 2023 год
(40-часов.неделя)</t>
        </is>
      </c>
      <c r="G16" s="305" t="n"/>
    </row>
    <row r="17" ht="15.75" customHeight="1" s="294">
      <c r="A17" s="298" t="inlineStr">
        <is>
          <t>1.3</t>
        </is>
      </c>
      <c r="B17" s="303" t="inlineStr">
        <is>
          <t>Коэффициент увеличения</t>
        </is>
      </c>
      <c r="C17" s="333" t="inlineStr">
        <is>
          <t>Кув</t>
        </is>
      </c>
      <c r="D17" s="333" t="inlineStr">
        <is>
          <t>-</t>
        </is>
      </c>
      <c r="E17" s="302" t="n">
        <v>1</v>
      </c>
      <c r="F17" s="303" t="n"/>
      <c r="G17" s="305" t="n"/>
    </row>
    <row r="18" ht="15.75" customHeight="1" s="294">
      <c r="A18" s="298" t="inlineStr">
        <is>
          <t>1.4</t>
        </is>
      </c>
      <c r="B18" s="303" t="inlineStr">
        <is>
          <t>Средний разряд работ</t>
        </is>
      </c>
      <c r="C18" s="333" t="n"/>
      <c r="D18" s="333" t="n"/>
      <c r="E18" s="306" t="inlineStr">
        <is>
          <t>Инженер I категории</t>
        </is>
      </c>
      <c r="F18" s="303" t="inlineStr">
        <is>
          <t>РТМ</t>
        </is>
      </c>
      <c r="G18" s="305" t="n"/>
    </row>
    <row r="19" ht="78.75" customHeight="1" s="294">
      <c r="A19" s="311" t="inlineStr">
        <is>
          <t>1.5</t>
        </is>
      </c>
      <c r="B19" s="313" t="inlineStr">
        <is>
          <t>Тарифный коэффициент среднего разряда работ</t>
        </is>
      </c>
      <c r="C19" s="312" t="inlineStr">
        <is>
          <t>КТ</t>
        </is>
      </c>
      <c r="D19" s="312" t="inlineStr">
        <is>
          <t>-</t>
        </is>
      </c>
      <c r="E19" s="314" t="n">
        <v>2.15</v>
      </c>
      <c r="F19" s="31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296" t="n"/>
    </row>
    <row r="20" ht="78.75" customHeight="1" s="294">
      <c r="A20" s="298" t="inlineStr">
        <is>
          <t>1.6</t>
        </is>
      </c>
      <c r="B20" s="308" t="inlineStr">
        <is>
          <t>Коэффициент инфляции, определяемый поквартально</t>
        </is>
      </c>
      <c r="C20" s="333" t="inlineStr">
        <is>
          <t>Кинф</t>
        </is>
      </c>
      <c r="D20" s="333" t="inlineStr">
        <is>
          <t>-</t>
        </is>
      </c>
      <c r="E20" s="309" t="n">
        <v>1.139</v>
      </c>
      <c r="F20" s="31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305" t="inlineStr">
        <is>
          <t>https://economy.gov.ru/material/directions/makroec/prognozy_socialno_ekonomicheskogo_razvitiya/prognoz_socialno_ekonomicheskogo_razvitiya_rf_na_period_do_2024_goda_.html</t>
        </is>
      </c>
    </row>
    <row r="21" ht="63" customHeight="1" s="294">
      <c r="A21" s="298" t="inlineStr">
        <is>
          <t>1.7</t>
        </is>
      </c>
      <c r="B21" s="315" t="inlineStr">
        <is>
          <t>Размер средств на оплату труда рабочих-строителей в текущем уровне цен (ФОТр.тек.), руб/чел.-ч</t>
        </is>
      </c>
      <c r="C21" s="333" t="inlineStr">
        <is>
          <t>ФОТр.тек.</t>
        </is>
      </c>
      <c r="D21" s="333" t="inlineStr">
        <is>
          <t>(С1ср/tср*КТ*Т*Кув)*Кинф</t>
        </is>
      </c>
      <c r="E21" s="316">
        <f>((E15*E17/E16)*E19)*E20</f>
        <v/>
      </c>
      <c r="F21" s="30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296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2025-01-24T12:12:59Z</dcterms:modified>
  <cp:lastModifiedBy>User1</cp:lastModifiedBy>
  <cp:lastPrinted>2023-11-30T11:02:16Z</cp:lastPrinted>
</cp:coreProperties>
</file>