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2" min="3" max="3"/>
    <col width="39.42578125" customWidth="1" style="292" min="4" max="4"/>
  </cols>
  <sheetData>
    <row r="3" ht="15.75" customHeight="1" s="292">
      <c r="B3" s="326" t="inlineStr">
        <is>
          <t>Приложение № 1</t>
        </is>
      </c>
    </row>
    <row r="4" ht="18.75" customHeight="1" s="292">
      <c r="B4" s="327" t="inlineStr">
        <is>
          <t>Сравнительная таблица отбора объекта-представителя</t>
        </is>
      </c>
    </row>
    <row r="5" ht="84.2" customHeight="1" s="292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186" t="n"/>
      <c r="C6" s="186" t="n"/>
      <c r="D6" s="186" t="n"/>
    </row>
    <row r="7" ht="47.25" customHeight="1" s="292">
      <c r="B7" s="325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8" ht="15.75" customHeight="1" s="292">
      <c r="B8" s="325" t="inlineStr">
        <is>
          <t>Сопоставимый уровень цен: 1 квартал 2013</t>
        </is>
      </c>
    </row>
    <row r="9" ht="15.75" customHeight="1" s="292">
      <c r="B9" s="325" t="inlineStr">
        <is>
          <t>Единица измерения  — 1 км</t>
        </is>
      </c>
    </row>
    <row r="10" ht="18.75" customHeight="1" s="292">
      <c r="B10" s="187" t="n"/>
    </row>
    <row r="11" ht="15.75" customHeight="1" s="292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2">
      <c r="B12" s="332" t="n">
        <v>1</v>
      </c>
      <c r="C12" s="306" t="inlineStr">
        <is>
          <t>Наименование объекта-представителя</t>
        </is>
      </c>
      <c r="D12" s="25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2">
      <c r="B13" s="332" t="n">
        <v>2</v>
      </c>
      <c r="C13" s="306" t="inlineStr">
        <is>
          <t>Наименование субъекта Российской Федерации</t>
        </is>
      </c>
      <c r="D13" s="258" t="inlineStr">
        <is>
          <t>Забайкальский край</t>
        </is>
      </c>
    </row>
    <row r="14" ht="15.75" customHeight="1" s="292">
      <c r="B14" s="332" t="n">
        <v>3</v>
      </c>
      <c r="C14" s="306" t="inlineStr">
        <is>
          <t>Климатический район и подрайон</t>
        </is>
      </c>
      <c r="D14" s="258" t="inlineStr">
        <is>
          <t>IД</t>
        </is>
      </c>
    </row>
    <row r="15" ht="15.75" customHeight="1" s="292">
      <c r="B15" s="332" t="n">
        <v>4</v>
      </c>
      <c r="C15" s="306" t="inlineStr">
        <is>
          <t>Мощность объекта</t>
        </is>
      </c>
      <c r="D15" s="258" t="n">
        <v>14.44</v>
      </c>
    </row>
    <row r="16" ht="78.75" customHeight="1" s="292">
      <c r="B16" s="332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ВОК 32 волокон (МДРН 4кН)</t>
        </is>
      </c>
    </row>
    <row r="17" ht="78.75" customHeight="1" s="292">
      <c r="B17" s="332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7">
        <f>D18+D19</f>
        <v/>
      </c>
    </row>
    <row r="18" ht="15.75" customHeight="1" s="292">
      <c r="B18" s="179" t="inlineStr">
        <is>
          <t>6.1</t>
        </is>
      </c>
      <c r="C18" s="306" t="inlineStr">
        <is>
          <t>строительно-монтажные работы</t>
        </is>
      </c>
      <c r="D18" s="417">
        <f>'Прил.2 Расч стоим'!F14</f>
        <v/>
      </c>
    </row>
    <row r="19" ht="15.75" customHeight="1" s="292">
      <c r="B19" s="179" t="inlineStr">
        <is>
          <t>6.2</t>
        </is>
      </c>
      <c r="C19" s="306" t="inlineStr">
        <is>
          <t>оборудование и инвентарь</t>
        </is>
      </c>
      <c r="D19" s="417" t="n">
        <v>0</v>
      </c>
    </row>
    <row r="20" ht="15.75" customHeight="1" s="292">
      <c r="B20" s="179" t="inlineStr">
        <is>
          <t>6.3</t>
        </is>
      </c>
      <c r="C20" s="306" t="inlineStr">
        <is>
          <t>пусконаладочные работы</t>
        </is>
      </c>
      <c r="D20" s="418" t="n"/>
    </row>
    <row r="21" ht="15.75" customHeight="1" s="292">
      <c r="B21" s="179" t="inlineStr">
        <is>
          <t>6.4</t>
        </is>
      </c>
      <c r="C21" s="306" t="inlineStr">
        <is>
          <t>прочие и лимитированные затраты</t>
        </is>
      </c>
      <c r="D21" s="418" t="n"/>
    </row>
    <row r="22" ht="15.75" customHeight="1" s="292">
      <c r="B22" s="332" t="n">
        <v>7</v>
      </c>
      <c r="C22" s="306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2">
      <c r="B23" s="332" t="n">
        <v>8</v>
      </c>
      <c r="C23" s="1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</row>
    <row r="24" ht="47.25" customHeight="1" s="292">
      <c r="B24" s="332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89">
        <f>D17/D15</f>
        <v/>
      </c>
    </row>
    <row r="25" ht="37.5" customHeight="1" s="292">
      <c r="B25" s="173" t="n"/>
      <c r="C25" s="174" t="n"/>
      <c r="D25" s="174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  <row r="31" ht="15.75" customHeight="1" s="292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4"/>
  <sheetViews>
    <sheetView view="pageBreakPreview" zoomScale="60" zoomScaleNormal="70" workbookViewId="0">
      <selection activeCell="C19" sqref="C19"/>
    </sheetView>
  </sheetViews>
  <sheetFormatPr baseColWidth="8" defaultRowHeight="15"/>
  <cols>
    <col width="5.5703125" customWidth="1" style="292" min="1" max="1"/>
    <col width="43.85546875" customWidth="1" style="292" min="3" max="3"/>
    <col width="13.85546875" customWidth="1" style="292" min="4" max="4"/>
    <col width="17.42578125" customWidth="1" style="292" min="5" max="5"/>
    <col width="12.710937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</cols>
  <sheetData>
    <row r="3" ht="15.75" customHeight="1" s="292">
      <c r="B3" s="326" t="inlineStr">
        <is>
          <t>Приложение № 2</t>
        </is>
      </c>
    </row>
    <row r="4" ht="15.75" customHeight="1" s="292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2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2">
      <c r="B6" s="325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7" ht="15.75" customHeight="1" s="292">
      <c r="B7" s="325">
        <f>'Прил.1 Сравнит табл'!B9</f>
        <v/>
      </c>
    </row>
    <row r="8" ht="18.75" customHeight="1" s="292">
      <c r="B8" s="187" t="n"/>
    </row>
    <row r="9" ht="15.75" customHeight="1" s="292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1 кв. 2013г., тыс. руб.</t>
        </is>
      </c>
      <c r="G10" s="419" t="n"/>
      <c r="H10" s="419" t="n"/>
      <c r="I10" s="419" t="n"/>
      <c r="J10" s="420" t="n"/>
    </row>
    <row r="11" ht="48.75" customHeight="1" s="292">
      <c r="B11" s="422" t="n"/>
      <c r="C11" s="422" t="n"/>
      <c r="D11" s="422" t="n"/>
      <c r="E11" s="422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2">
      <c r="B12" s="332" t="n"/>
      <c r="C12" s="332">
        <f>'Прил.1 Сравнит табл'!D16</f>
        <v/>
      </c>
      <c r="D12" s="332" t="n"/>
      <c r="E12" s="332" t="n"/>
      <c r="F12" s="332" t="n">
        <v>2285.2873476</v>
      </c>
      <c r="G12" s="420" t="n"/>
      <c r="H12" s="332" t="n">
        <v>0</v>
      </c>
      <c r="I12" s="332" t="n"/>
      <c r="J12" s="332">
        <f>F12</f>
        <v/>
      </c>
    </row>
    <row r="13" ht="15.75" customHeight="1" s="292">
      <c r="B13" s="335" t="inlineStr">
        <is>
          <t>Всего по объекту:</t>
        </is>
      </c>
      <c r="C13" s="419" t="n"/>
      <c r="D13" s="419" t="n"/>
      <c r="E13" s="420" t="n"/>
      <c r="F13" s="261" t="n"/>
      <c r="G13" s="261" t="n"/>
      <c r="H13" s="261" t="n"/>
      <c r="I13" s="261" t="n"/>
      <c r="J13" s="261" t="n"/>
    </row>
    <row r="14" ht="15.75" customHeight="1" s="292">
      <c r="B14" s="335" t="inlineStr">
        <is>
          <t>Всего по объекту в сопоставимом уровне цен 1кв. 2013г:</t>
        </is>
      </c>
      <c r="C14" s="419" t="n"/>
      <c r="D14" s="419" t="n"/>
      <c r="E14" s="420" t="n"/>
      <c r="F14" s="423">
        <f>F12</f>
        <v/>
      </c>
      <c r="G14" s="420" t="n"/>
      <c r="H14" s="261">
        <f>H12</f>
        <v/>
      </c>
      <c r="I14" s="261" t="n"/>
      <c r="J14" s="261">
        <f>J12</f>
        <v/>
      </c>
    </row>
    <row r="15" ht="15.75" customHeight="1" s="292">
      <c r="B15" s="315" t="n"/>
      <c r="C15" s="315" t="n"/>
      <c r="D15" s="315" t="n"/>
      <c r="E15" s="315" t="n"/>
      <c r="F15" s="315" t="n"/>
      <c r="G15" s="315" t="n"/>
      <c r="H15" s="315" t="n"/>
      <c r="I15" s="315" t="n"/>
      <c r="J15" s="315" t="n"/>
    </row>
    <row r="16" ht="28.5" customHeight="1" s="292"/>
    <row r="17" ht="18.75" customHeight="1" s="292">
      <c r="B17" s="187" t="n"/>
    </row>
    <row r="18"/>
    <row r="19"/>
    <row r="20">
      <c r="C20" s="279" t="inlineStr">
        <is>
          <t>Составил ______________________    Е. М. Добровольская</t>
        </is>
      </c>
      <c r="D20" s="286" t="n"/>
    </row>
    <row r="21">
      <c r="C21" s="287" t="inlineStr">
        <is>
          <t xml:space="preserve">                         (подпись, инициалы, фамилия)</t>
        </is>
      </c>
      <c r="D21" s="286" t="n"/>
    </row>
    <row r="22">
      <c r="C22" s="279" t="n"/>
      <c r="D22" s="286" t="n"/>
    </row>
    <row r="23">
      <c r="C23" s="279" t="inlineStr">
        <is>
          <t>Проверил ______________________        А.В. Костянецкая</t>
        </is>
      </c>
      <c r="D23" s="286" t="n"/>
    </row>
    <row r="24">
      <c r="C24" s="287" t="inlineStr">
        <is>
          <t xml:space="preserve">                        (подпись, инициалы, фамилия)</t>
        </is>
      </c>
      <c r="D24" s="286" t="n"/>
    </row>
    <row r="25"/>
    <row r="26"/>
    <row r="27"/>
    <row r="28"/>
    <row r="29"/>
    <row r="30"/>
    <row r="31"/>
    <row r="32"/>
    <row r="33"/>
    <row r="34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5" min="1" max="1"/>
    <col width="12.5703125" customWidth="1" style="292" min="2" max="2"/>
    <col width="17" customWidth="1" style="292" min="3" max="3"/>
    <col width="49.7109375" customWidth="1" style="292" min="4" max="4"/>
    <col width="16.28515625" customWidth="1" style="292" min="5" max="5"/>
    <col width="20.7109375" customWidth="1" style="292" min="6" max="6"/>
    <col width="16.140625" customWidth="1" style="292" min="7" max="7"/>
    <col width="16.7109375" customWidth="1" style="292" min="8" max="8"/>
    <col width="13.85546875" customWidth="1" style="292" min="9" max="9"/>
  </cols>
  <sheetData>
    <row r="2" ht="15.75" customHeight="1" s="292">
      <c r="A2" s="326" t="inlineStr">
        <is>
          <t xml:space="preserve">Приложение № 3 </t>
        </is>
      </c>
    </row>
    <row r="3" ht="18.75" customHeight="1" s="292">
      <c r="A3" s="327" t="inlineStr">
        <is>
          <t>Объектная ресурсная ведомость</t>
        </is>
      </c>
    </row>
    <row r="4" ht="18.75" customHeight="1" s="292">
      <c r="A4" s="327" t="n"/>
      <c r="B4" s="327" t="n"/>
      <c r="C4" s="327" t="n"/>
      <c r="D4" s="327" t="n"/>
      <c r="E4" s="327" t="n"/>
      <c r="F4" s="327" t="n"/>
      <c r="G4" s="327" t="n"/>
      <c r="H4" s="327" t="n"/>
    </row>
    <row r="5" ht="18.75" customHeight="1" s="292">
      <c r="A5" s="266" t="n"/>
    </row>
    <row r="6" ht="15.75" customHeight="1" s="292">
      <c r="A6" s="340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7" ht="15.75" customHeight="1" s="292">
      <c r="A7" s="340" t="n"/>
      <c r="B7" s="340" t="n"/>
      <c r="C7" s="340" t="n"/>
      <c r="D7" s="340" t="n"/>
      <c r="E7" s="340" t="n"/>
      <c r="F7" s="340" t="n"/>
      <c r="G7" s="340" t="n"/>
      <c r="H7" s="340" t="n"/>
    </row>
    <row r="8" ht="15.75" customHeight="1" s="292">
      <c r="A8" s="267" t="n"/>
      <c r="B8" s="340" t="n"/>
      <c r="C8" s="340" t="n"/>
      <c r="D8" s="340" t="n"/>
      <c r="E8" s="340" t="n"/>
      <c r="F8" s="340" t="n"/>
      <c r="G8" s="340" t="n"/>
      <c r="H8" s="340" t="n"/>
    </row>
    <row r="9" ht="38.25" customHeight="1" s="292">
      <c r="A9" s="337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20" t="n"/>
    </row>
    <row r="10" ht="40.7" customHeight="1" s="292">
      <c r="A10" s="422" t="n"/>
      <c r="B10" s="422" t="n"/>
      <c r="C10" s="422" t="n"/>
      <c r="D10" s="422" t="n"/>
      <c r="E10" s="422" t="n"/>
      <c r="F10" s="422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2">
      <c r="A11" s="337" t="n">
        <v>1</v>
      </c>
      <c r="B11" s="201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01" t="n">
        <v>6</v>
      </c>
      <c r="H11" s="201" t="n">
        <v>7</v>
      </c>
      <c r="I11" s="424" t="n"/>
    </row>
    <row r="12" ht="15" customHeight="1" s="292">
      <c r="A12" s="338" t="inlineStr">
        <is>
          <t>Затраты труда рабочих</t>
        </is>
      </c>
      <c r="B12" s="419" t="n"/>
      <c r="C12" s="419" t="n"/>
      <c r="D12" s="419" t="n"/>
      <c r="E12" s="419" t="n"/>
      <c r="F12" s="425" t="n">
        <v>1088.95</v>
      </c>
      <c r="G12" s="203" t="n"/>
      <c r="H12" s="204">
        <f>SUM(H13:H18)</f>
        <v/>
      </c>
    </row>
    <row r="13">
      <c r="A13" s="195" t="n">
        <v>1</v>
      </c>
      <c r="B13" s="205" t="n"/>
      <c r="C13" s="196" t="inlineStr">
        <is>
          <t>1-4-5</t>
        </is>
      </c>
      <c r="D13" s="197" t="inlineStr">
        <is>
          <t>Затраты труда рабочих (ср 4,5)</t>
        </is>
      </c>
      <c r="E13" s="361" t="inlineStr">
        <is>
          <t>чел.-ч</t>
        </is>
      </c>
      <c r="F13" s="361" t="n">
        <v>592.17</v>
      </c>
      <c r="G13" s="194" t="n">
        <v>10.35</v>
      </c>
      <c r="H13" s="194">
        <f>ROUND(F13*G13,2)</f>
        <v/>
      </c>
    </row>
    <row r="14">
      <c r="A14" s="361" t="n">
        <v>2</v>
      </c>
      <c r="B14" s="205" t="n"/>
      <c r="C14" s="196" t="inlineStr">
        <is>
          <t>1-4-3</t>
        </is>
      </c>
      <c r="D14" s="197" t="inlineStr">
        <is>
          <t>Затраты труда рабочих (ср 4,3)</t>
        </is>
      </c>
      <c r="E14" s="361" t="inlineStr">
        <is>
          <t>чел.-ч</t>
        </is>
      </c>
      <c r="F14" s="361" t="n">
        <v>274.42</v>
      </c>
      <c r="G14" s="194" t="n">
        <v>10.06</v>
      </c>
      <c r="H14" s="194">
        <f>ROUND(F14*G14,2)</f>
        <v/>
      </c>
    </row>
    <row r="15">
      <c r="A15" s="361" t="n">
        <v>3</v>
      </c>
      <c r="B15" s="205" t="n"/>
      <c r="C15" s="196" t="inlineStr">
        <is>
          <t>1-3-0</t>
        </is>
      </c>
      <c r="D15" s="197" t="inlineStr">
        <is>
          <t>Затраты труда рабочих (ср 3)</t>
        </is>
      </c>
      <c r="E15" s="361" t="inlineStr">
        <is>
          <t>чел.-ч</t>
        </is>
      </c>
      <c r="F15" s="361" t="n">
        <v>144</v>
      </c>
      <c r="G15" s="194" t="n">
        <v>8.529999999999999</v>
      </c>
      <c r="H15" s="194">
        <f>ROUND(F15*G15,2)</f>
        <v/>
      </c>
    </row>
    <row r="16">
      <c r="A16" s="361" t="n">
        <v>4</v>
      </c>
      <c r="B16" s="205" t="n"/>
      <c r="C16" s="196" t="inlineStr">
        <is>
          <t>1-2-9</t>
        </is>
      </c>
      <c r="D16" s="197" t="inlineStr">
        <is>
          <t>Затраты труда рабочих (ср 2,9)</t>
        </is>
      </c>
      <c r="E16" s="361" t="inlineStr">
        <is>
          <t>чел.-ч</t>
        </is>
      </c>
      <c r="F16" s="361" t="n">
        <v>48</v>
      </c>
      <c r="G16" s="194" t="n">
        <v>8.460000000000001</v>
      </c>
      <c r="H16" s="194">
        <f>ROUND(F16*G16,2)</f>
        <v/>
      </c>
    </row>
    <row r="17">
      <c r="A17" s="361" t="n">
        <v>5</v>
      </c>
      <c r="B17" s="205" t="n"/>
      <c r="C17" s="196" t="inlineStr">
        <is>
          <t>10-3-1</t>
        </is>
      </c>
      <c r="D17" s="197" t="inlineStr">
        <is>
          <t>Инженер I категории</t>
        </is>
      </c>
      <c r="E17" s="361" t="inlineStr">
        <is>
          <t>чел.-ч</t>
        </is>
      </c>
      <c r="F17" s="361" t="n">
        <v>14.85</v>
      </c>
      <c r="G17" s="194" t="n">
        <v>15.49</v>
      </c>
      <c r="H17" s="194">
        <f>ROUND(F17*G17,2)</f>
        <v/>
      </c>
    </row>
    <row r="18">
      <c r="A18" s="361" t="n">
        <v>6</v>
      </c>
      <c r="B18" s="205" t="n"/>
      <c r="C18" s="196" t="inlineStr">
        <is>
          <t>1-6-0</t>
        </is>
      </c>
      <c r="D18" s="197" t="inlineStr">
        <is>
          <t>Затраты труда рабочих (ср 6)</t>
        </is>
      </c>
      <c r="E18" s="361" t="inlineStr">
        <is>
          <t>чел.-ч</t>
        </is>
      </c>
      <c r="F18" s="361" t="n">
        <v>15.51</v>
      </c>
      <c r="G18" s="194" t="n">
        <v>12.92</v>
      </c>
      <c r="H18" s="194">
        <f>ROUND(F18*G18,2)</f>
        <v/>
      </c>
    </row>
    <row r="19" ht="15" customHeight="1" s="292">
      <c r="A19" s="336" t="inlineStr">
        <is>
          <t>Затраты труда машинистов</t>
        </is>
      </c>
      <c r="B19" s="419" t="n"/>
      <c r="C19" s="419" t="n"/>
      <c r="D19" s="419" t="n"/>
      <c r="E19" s="420" t="n"/>
      <c r="F19" s="203" t="n"/>
      <c r="G19" s="203" t="n"/>
      <c r="H19" s="425">
        <f>H20</f>
        <v/>
      </c>
    </row>
    <row r="20">
      <c r="A20" s="195" t="n">
        <v>7</v>
      </c>
      <c r="B20" s="205" t="n"/>
      <c r="C20" s="196" t="n">
        <v>2</v>
      </c>
      <c r="D20" s="197" t="inlineStr">
        <is>
          <t>Затраты труда машинистов</t>
        </is>
      </c>
      <c r="E20" s="361" t="inlineStr">
        <is>
          <t>чел.-ч</t>
        </is>
      </c>
      <c r="F20" s="361" t="n">
        <v>569.03</v>
      </c>
      <c r="G20" s="194" t="n"/>
      <c r="H20" s="426" t="n">
        <v>7139.11</v>
      </c>
      <c r="J20" s="424" t="n"/>
      <c r="L20" s="183" t="n"/>
    </row>
    <row r="21" ht="15" customHeight="1" s="292">
      <c r="A21" s="336" t="inlineStr">
        <is>
          <t>Машины и механизмы</t>
        </is>
      </c>
      <c r="B21" s="419" t="n"/>
      <c r="C21" s="419" t="n"/>
      <c r="D21" s="419" t="n"/>
      <c r="E21" s="420" t="n"/>
      <c r="F21" s="203" t="n"/>
      <c r="G21" s="203" t="n"/>
      <c r="H21" s="425">
        <f>SUM(H22:H29)</f>
        <v/>
      </c>
    </row>
    <row r="22" ht="25.5" customHeight="1" s="292">
      <c r="A22" s="361" t="n">
        <v>8</v>
      </c>
      <c r="B22" s="205" t="n"/>
      <c r="C22" s="196" t="inlineStr">
        <is>
          <t>91.11.01-005</t>
        </is>
      </c>
      <c r="D22" s="197" t="inlineStr">
        <is>
          <t>Кабелеукладчики навесные вибрационные для прокладки оптического кабеля</t>
        </is>
      </c>
      <c r="E22" s="361" t="inlineStr">
        <is>
          <t>маш.час</t>
        </is>
      </c>
      <c r="F22" s="361" t="n">
        <v>108.32</v>
      </c>
      <c r="G22" s="199" t="n">
        <v>1056.99</v>
      </c>
      <c r="H22" s="194">
        <f>ROUND(F22*G22,2)</f>
        <v/>
      </c>
      <c r="I22" s="255" t="n"/>
    </row>
    <row r="23" ht="25.5" customHeight="1" s="292">
      <c r="A23" s="361" t="n">
        <v>9</v>
      </c>
      <c r="B23" s="205" t="n"/>
      <c r="C23" s="196" t="inlineStr">
        <is>
          <t>91.05.05-002</t>
        </is>
      </c>
      <c r="D23" s="197" t="inlineStr">
        <is>
          <t>Краны на автомобильном ходу в составе кабелеукладочной колонны, грузоподъемность 10 т</t>
        </is>
      </c>
      <c r="E23" s="361" t="inlineStr">
        <is>
          <t>маш.час</t>
        </is>
      </c>
      <c r="F23" s="361" t="n">
        <v>108.32</v>
      </c>
      <c r="G23" s="199" t="n">
        <v>332.29</v>
      </c>
      <c r="H23" s="194">
        <f>ROUND(F23*G23,2)</f>
        <v/>
      </c>
      <c r="I23" s="255" t="n"/>
    </row>
    <row r="24" ht="25.5" customHeight="1" s="292">
      <c r="A24" s="361" t="n">
        <v>10</v>
      </c>
      <c r="B24" s="205" t="n"/>
      <c r="C24" s="196" t="inlineStr">
        <is>
          <t>91.11.01-012</t>
        </is>
      </c>
      <c r="D24" s="197" t="inlineStr">
        <is>
          <t>Машины монтажные для выполнения работ при прокладке и монтаже кабеля на базе автомобиля</t>
        </is>
      </c>
      <c r="E24" s="361" t="inlineStr">
        <is>
          <t>маш.час</t>
        </is>
      </c>
      <c r="F24" s="361" t="n">
        <v>177.29</v>
      </c>
      <c r="G24" s="199" t="n">
        <v>110.86</v>
      </c>
      <c r="H24" s="194">
        <f>ROUND(F24*G24,2)</f>
        <v/>
      </c>
      <c r="I24" s="255" t="n"/>
    </row>
    <row r="25" ht="25.5" customHeight="1" s="292">
      <c r="A25" s="361" t="n">
        <v>11</v>
      </c>
      <c r="B25" s="205" t="n"/>
      <c r="C25" s="196" t="inlineStr">
        <is>
          <t>91.01.01-001</t>
        </is>
      </c>
      <c r="D25" s="197" t="inlineStr">
        <is>
          <t>Бульдозеры в составе кабелеукладочной колонны, мощность 128,7 кВт (175 л.с.)</t>
        </is>
      </c>
      <c r="E25" s="361" t="inlineStr">
        <is>
          <t>маш.час</t>
        </is>
      </c>
      <c r="F25" s="361" t="n">
        <v>57.77</v>
      </c>
      <c r="G25" s="199" t="n">
        <v>332.31</v>
      </c>
      <c r="H25" s="194">
        <f>ROUND(F25*G25,2)</f>
        <v/>
      </c>
    </row>
    <row r="26" ht="25.5" customHeight="1" s="292">
      <c r="A26" s="361" t="n">
        <v>12</v>
      </c>
      <c r="B26" s="205" t="n"/>
      <c r="C26" s="196" t="inlineStr">
        <is>
          <t>91.14.05-041</t>
        </is>
      </c>
      <c r="D26" s="197" t="inlineStr">
        <is>
          <t>Транспортеры прицепные кабельные, грузоподъемность до 7 т</t>
        </is>
      </c>
      <c r="E26" s="361" t="inlineStr">
        <is>
          <t>маш.час</t>
        </is>
      </c>
      <c r="F26" s="361" t="n">
        <v>57.77</v>
      </c>
      <c r="G26" s="199" t="n">
        <v>58.03</v>
      </c>
      <c r="H26" s="194">
        <f>ROUND(F26*G26,2)</f>
        <v/>
      </c>
    </row>
    <row r="27">
      <c r="A27" s="361" t="n">
        <v>13</v>
      </c>
      <c r="B27" s="205" t="n"/>
      <c r="C27" s="196" t="inlineStr">
        <is>
          <t>91.21.22-341</t>
        </is>
      </c>
      <c r="D27" s="197" t="inlineStr">
        <is>
          <t>Рефлектометры</t>
        </is>
      </c>
      <c r="E27" s="361" t="inlineStr">
        <is>
          <t>маш.час</t>
        </is>
      </c>
      <c r="F27" s="361" t="n">
        <v>272</v>
      </c>
      <c r="G27" s="199" t="n">
        <v>10.62</v>
      </c>
      <c r="H27" s="194">
        <f>ROUND(F27*G27,2)</f>
        <v/>
      </c>
    </row>
    <row r="28">
      <c r="A28" s="361" t="n">
        <v>14</v>
      </c>
      <c r="B28" s="205" t="n"/>
      <c r="C28" s="196" t="inlineStr">
        <is>
          <t>91.05.05-015</t>
        </is>
      </c>
      <c r="D28" s="197" t="inlineStr">
        <is>
          <t>Краны на автомобильном ходу, грузоподъемность 16 т</t>
        </is>
      </c>
      <c r="E28" s="361" t="inlineStr">
        <is>
          <t>маш.час</t>
        </is>
      </c>
      <c r="F28" s="361" t="n">
        <v>9</v>
      </c>
      <c r="G28" s="199" t="n">
        <v>115.4</v>
      </c>
      <c r="H28" s="194">
        <f>ROUND(F28*G28,2)</f>
        <v/>
      </c>
    </row>
    <row r="29">
      <c r="A29" s="361" t="n">
        <v>15</v>
      </c>
      <c r="B29" s="205" t="n"/>
      <c r="C29" s="196" t="inlineStr">
        <is>
          <t>91.12.08-161</t>
        </is>
      </c>
      <c r="D29" s="197" t="inlineStr">
        <is>
          <t>Ямокопатели</t>
        </is>
      </c>
      <c r="E29" s="361" t="inlineStr">
        <is>
          <t>маш.час</t>
        </is>
      </c>
      <c r="F29" s="361" t="n">
        <v>5.25</v>
      </c>
      <c r="G29" s="199" t="n">
        <v>6.51</v>
      </c>
      <c r="H29" s="194">
        <f>ROUND(F29*G29,2)</f>
        <v/>
      </c>
    </row>
    <row r="30" ht="15" customHeight="1" s="292">
      <c r="A30" s="336" t="inlineStr">
        <is>
          <t>Оборудование</t>
        </is>
      </c>
      <c r="B30" s="419" t="n"/>
      <c r="C30" s="419" t="n"/>
      <c r="D30" s="419" t="n"/>
      <c r="E30" s="420" t="n"/>
      <c r="F30" s="203" t="n"/>
      <c r="G30" s="203" t="n"/>
      <c r="H30" s="425" t="n">
        <v>0</v>
      </c>
    </row>
    <row r="31" ht="15" customHeight="1" s="292">
      <c r="A31" s="336" t="inlineStr">
        <is>
          <t>Материалы</t>
        </is>
      </c>
      <c r="B31" s="419" t="n"/>
      <c r="C31" s="419" t="n"/>
      <c r="D31" s="419" t="n"/>
      <c r="E31" s="420" t="n"/>
      <c r="F31" s="203" t="n"/>
      <c r="G31" s="203" t="n"/>
      <c r="H31" s="425">
        <f>SUM(H32:H52)</f>
        <v/>
      </c>
    </row>
    <row r="32">
      <c r="A32" s="195" t="n">
        <v>16</v>
      </c>
      <c r="B32" s="205" t="n"/>
      <c r="C32" s="196" t="inlineStr">
        <is>
          <t>Прайс из СД ОП</t>
        </is>
      </c>
      <c r="D32" s="197" t="inlineStr">
        <is>
          <t>ВОК диэлектрический 32 волокон  МДРН 4 кН</t>
        </is>
      </c>
      <c r="E32" s="361" t="inlineStr">
        <is>
          <t>1000 м</t>
        </is>
      </c>
      <c r="F32" s="361" t="n">
        <v>14.4431</v>
      </c>
      <c r="G32" s="361" t="n">
        <v>8021.77</v>
      </c>
      <c r="H32" s="194">
        <f>ROUND(F32*G32,2)</f>
        <v/>
      </c>
      <c r="I32" s="255" t="n"/>
    </row>
    <row r="33">
      <c r="A33" s="195" t="n">
        <v>17</v>
      </c>
      <c r="B33" s="205" t="n"/>
      <c r="C33" s="196" t="inlineStr">
        <is>
          <t>20.1.02.23-0171</t>
        </is>
      </c>
      <c r="D33" s="197" t="inlineStr">
        <is>
          <t>Столбик замерный железобетонный СЗК</t>
        </is>
      </c>
      <c r="E33" s="361" t="inlineStr">
        <is>
          <t>шт</t>
        </is>
      </c>
      <c r="F33" s="196" t="n">
        <v>75</v>
      </c>
      <c r="G33" s="194" t="n">
        <v>238.7</v>
      </c>
      <c r="H33" s="194">
        <f>ROUND(F33*G33,2)</f>
        <v/>
      </c>
      <c r="I33" s="255" t="n"/>
    </row>
    <row r="34" ht="51" customHeight="1" s="292">
      <c r="A34" s="195" t="n">
        <v>18</v>
      </c>
      <c r="B34" s="205" t="n"/>
      <c r="C34" s="196" t="inlineStr">
        <is>
          <t>20.2.09.09-0006</t>
        </is>
      </c>
      <c r="D34" s="19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1" t="inlineStr">
        <is>
          <t>компл</t>
        </is>
      </c>
      <c r="F34" s="196" t="n">
        <v>4</v>
      </c>
      <c r="G34" s="194" t="n">
        <v>1194.89</v>
      </c>
      <c r="H34" s="194">
        <f>ROUND(F34*G34,2)</f>
        <v/>
      </c>
      <c r="I34" s="255" t="n"/>
    </row>
    <row r="35">
      <c r="A35" s="195" t="n">
        <v>19</v>
      </c>
      <c r="B35" s="205" t="n"/>
      <c r="C35" s="196" t="inlineStr">
        <is>
          <t>20.2.09.10-0041</t>
        </is>
      </c>
      <c r="D35" s="197" t="inlineStr">
        <is>
          <t>Муфта защитная чугунная МЧЗ</t>
        </is>
      </c>
      <c r="E35" s="361" t="inlineStr">
        <is>
          <t>шт</t>
        </is>
      </c>
      <c r="F35" s="196" t="n">
        <v>2</v>
      </c>
      <c r="G35" s="194" t="n">
        <v>806.5</v>
      </c>
      <c r="H35" s="194">
        <f>ROUND(F35*G35,2)</f>
        <v/>
      </c>
      <c r="I35" s="255" t="n"/>
    </row>
    <row r="36" ht="25.5" customHeight="1" s="292">
      <c r="A36" s="195" t="n">
        <v>20</v>
      </c>
      <c r="B36" s="205" t="n"/>
      <c r="C36" s="196" t="inlineStr">
        <is>
          <t>01.7.06.08-0003</t>
        </is>
      </c>
      <c r="D36" s="197" t="inlineStr">
        <is>
          <t>Лента полиэтиленовая сигнальная, ширина 200 мм, толщина 50 мкм</t>
        </is>
      </c>
      <c r="E36" s="361" t="inlineStr">
        <is>
          <t>100 м</t>
        </is>
      </c>
      <c r="F36" s="196" t="n">
        <v>14.4431</v>
      </c>
      <c r="G36" s="194" t="n">
        <v>108</v>
      </c>
      <c r="H36" s="194">
        <f>ROUND(F36*G36,2)</f>
        <v/>
      </c>
      <c r="I36" s="255" t="n"/>
    </row>
    <row r="37">
      <c r="A37" s="195" t="n">
        <v>21</v>
      </c>
      <c r="B37" s="205" t="n"/>
      <c r="C37" s="361" t="inlineStr">
        <is>
          <t>Прайс из СД ОП</t>
        </is>
      </c>
      <c r="D37" s="197" t="inlineStr">
        <is>
          <t>Комплект №4 для ввода ОК</t>
        </is>
      </c>
      <c r="E37" s="361" t="inlineStr">
        <is>
          <t>шт.</t>
        </is>
      </c>
      <c r="F37" s="361" t="n">
        <v>8</v>
      </c>
      <c r="G37" s="194" t="n">
        <v>174.11</v>
      </c>
      <c r="H37" s="194">
        <f>ROUND(F37*G37,2)</f>
        <v/>
      </c>
      <c r="I37" s="255" t="n"/>
    </row>
    <row r="38">
      <c r="A38" s="195" t="n">
        <v>22</v>
      </c>
      <c r="B38" s="205" t="n"/>
      <c r="C38" s="196" t="inlineStr">
        <is>
          <t>Прайс из СД ОП</t>
        </is>
      </c>
      <c r="D38" s="197" t="inlineStr">
        <is>
          <t>Муфта МПЗ</t>
        </is>
      </c>
      <c r="E38" s="361" t="inlineStr">
        <is>
          <t>шт.</t>
        </is>
      </c>
      <c r="F38" s="196" t="n">
        <v>2</v>
      </c>
      <c r="G38" s="194" t="n">
        <v>170.7</v>
      </c>
      <c r="H38" s="194">
        <f>ROUND(F38*G38,2)</f>
        <v/>
      </c>
      <c r="I38" s="255" t="n"/>
    </row>
    <row r="39">
      <c r="A39" s="195" t="n">
        <v>23</v>
      </c>
      <c r="B39" s="205" t="n"/>
      <c r="C39" s="196" t="inlineStr">
        <is>
          <t>14.4.02.07-0002</t>
        </is>
      </c>
      <c r="D39" s="197" t="inlineStr">
        <is>
          <t>Эмаль перхлорвиниловая фасадная ХВ-161</t>
        </is>
      </c>
      <c r="E39" s="361" t="inlineStr">
        <is>
          <t>т</t>
        </is>
      </c>
      <c r="F39" s="196" t="n">
        <v>0.02088</v>
      </c>
      <c r="G39" s="194" t="n">
        <v>15989</v>
      </c>
      <c r="H39" s="194">
        <f>ROUND(F39*G39,2)</f>
        <v/>
      </c>
      <c r="I39" s="255" t="n"/>
    </row>
    <row r="40" ht="25.5" customHeight="1" s="292">
      <c r="A40" s="195" t="n">
        <v>24</v>
      </c>
      <c r="B40" s="205" t="n"/>
      <c r="C40" s="196" t="inlineStr">
        <is>
          <t>999-9950</t>
        </is>
      </c>
      <c r="D40" s="197" t="inlineStr">
        <is>
          <t>Вспомогательные ненормируемые ресурсы (2% от Оплаты труда рабочих)</t>
        </is>
      </c>
      <c r="E40" s="361" t="inlineStr">
        <is>
          <t>руб</t>
        </is>
      </c>
      <c r="F40" s="196" t="inlineStr">
        <is>
          <t>210,934561</t>
        </is>
      </c>
      <c r="G40" s="194" t="n">
        <v>1</v>
      </c>
      <c r="H40" s="194">
        <f>ROUND(F40*G40,2)</f>
        <v/>
      </c>
      <c r="I40" s="255" t="n"/>
    </row>
    <row r="41" ht="25.5" customHeight="1" s="292">
      <c r="A41" s="195" t="n">
        <v>25</v>
      </c>
      <c r="B41" s="205" t="n"/>
      <c r="C41" s="196" t="inlineStr">
        <is>
          <t>10.3.02.03-0036</t>
        </is>
      </c>
      <c r="D41" s="197" t="inlineStr">
        <is>
          <t>Припои оловянно-свинцовые сурьмянистые, марка ПОССу 30-2</t>
        </is>
      </c>
      <c r="E41" s="361" t="inlineStr">
        <is>
          <t>т</t>
        </is>
      </c>
      <c r="F41" s="196" t="n">
        <v>0.00272</v>
      </c>
      <c r="G41" s="194" t="n">
        <v>63598.66</v>
      </c>
      <c r="H41" s="194">
        <f>ROUND(F41*G41,2)</f>
        <v/>
      </c>
    </row>
    <row r="42">
      <c r="A42" s="195" t="n">
        <v>26</v>
      </c>
      <c r="B42" s="205" t="n"/>
      <c r="C42" s="196" t="inlineStr">
        <is>
          <t>14.2.04.03-0015</t>
        </is>
      </c>
      <c r="D42" s="197" t="inlineStr">
        <is>
          <t>Смола эпоксидная ЭД-20</t>
        </is>
      </c>
      <c r="E42" s="361" t="inlineStr">
        <is>
          <t>т</t>
        </is>
      </c>
      <c r="F42" s="196" t="n">
        <v>0.0027</v>
      </c>
      <c r="G42" s="194" t="n">
        <v>53562</v>
      </c>
      <c r="H42" s="194">
        <f>ROUND(F42*G42,2)</f>
        <v/>
      </c>
    </row>
    <row r="43">
      <c r="A43" s="195" t="n">
        <v>27</v>
      </c>
      <c r="B43" s="205" t="n"/>
      <c r="C43" s="196" t="inlineStr">
        <is>
          <t>Прайс из СД ОП</t>
        </is>
      </c>
      <c r="D43" s="197" t="inlineStr">
        <is>
          <t>Комплект герметика для муфт МПЗ и МЧЗ</t>
        </is>
      </c>
      <c r="E43" s="361" t="inlineStr">
        <is>
          <t>компл.</t>
        </is>
      </c>
      <c r="F43" s="196" t="n">
        <v>2</v>
      </c>
      <c r="G43" s="194" t="n">
        <v>55.14</v>
      </c>
      <c r="H43" s="194">
        <f>ROUND(F43*G43,2)</f>
        <v/>
      </c>
    </row>
    <row r="44">
      <c r="A44" s="195" t="n">
        <v>28</v>
      </c>
      <c r="B44" s="205" t="n"/>
      <c r="C44" s="196" t="inlineStr">
        <is>
          <t>14.4.01.01-0003</t>
        </is>
      </c>
      <c r="D44" s="197" t="inlineStr">
        <is>
          <t>Грунтовка ГФ-021</t>
        </is>
      </c>
      <c r="E44" s="361" t="inlineStr">
        <is>
          <t>т</t>
        </is>
      </c>
      <c r="F44" s="196" t="n">
        <v>0.00609</v>
      </c>
      <c r="G44" s="194" t="n">
        <v>15620</v>
      </c>
      <c r="H44" s="194">
        <f>ROUND(F44*G44,2)</f>
        <v/>
      </c>
    </row>
    <row r="45">
      <c r="A45" s="195" t="n">
        <v>29</v>
      </c>
      <c r="B45" s="205" t="n"/>
      <c r="C45" s="196" t="inlineStr">
        <is>
          <t>01.3.01.01-0001</t>
        </is>
      </c>
      <c r="D45" s="197" t="inlineStr">
        <is>
          <t>Бензин авиационный Б-70</t>
        </is>
      </c>
      <c r="E45" s="361" t="inlineStr">
        <is>
          <t>т</t>
        </is>
      </c>
      <c r="F45" s="196" t="n">
        <v>0.0048</v>
      </c>
      <c r="G45" s="194" t="n">
        <v>4488.4</v>
      </c>
      <c r="H45" s="194">
        <f>ROUND(F45*G45,2)</f>
        <v/>
      </c>
    </row>
    <row r="46" ht="25.5" customHeight="1" s="292">
      <c r="A46" s="195" t="n">
        <v>30</v>
      </c>
      <c r="B46" s="205" t="n"/>
      <c r="C46" s="196" t="inlineStr">
        <is>
          <t>12.2.03.12-0002</t>
        </is>
      </c>
      <c r="D46" s="197" t="inlineStr">
        <is>
          <t>Фольга алюминиевая для технических целей мягкая, рулонная, толщина 0,1 мм</t>
        </is>
      </c>
      <c r="E46" s="361" t="inlineStr">
        <is>
          <t>кг</t>
        </is>
      </c>
      <c r="F46" s="196" t="n">
        <v>0.4125</v>
      </c>
      <c r="G46" s="194" t="n">
        <v>35.49</v>
      </c>
      <c r="H46" s="194">
        <f>ROUND(F46*G46,2)</f>
        <v/>
      </c>
    </row>
    <row r="47" ht="25.5" customHeight="1" s="292">
      <c r="A47" s="195" t="n">
        <v>31</v>
      </c>
      <c r="B47" s="205" t="n"/>
      <c r="C47" s="196" t="inlineStr">
        <is>
          <t>01.7.06.03-0004</t>
        </is>
      </c>
      <c r="D47" s="197" t="inlineStr">
        <is>
          <t>Лента поливинилхлоридная техническая с липким слоем, толщина 0,4 мм</t>
        </is>
      </c>
      <c r="E47" s="361" t="inlineStr">
        <is>
          <t>кг</t>
        </is>
      </c>
      <c r="F47" s="196" t="n">
        <v>0.624</v>
      </c>
      <c r="G47" s="194" t="n">
        <v>21.3</v>
      </c>
      <c r="H47" s="194">
        <f>ROUND(F47*G47,2)</f>
        <v/>
      </c>
    </row>
    <row r="48">
      <c r="A48" s="195" t="n">
        <v>32</v>
      </c>
      <c r="B48" s="205" t="n"/>
      <c r="C48" s="196" t="inlineStr">
        <is>
          <t>01.3.05.38-0371</t>
        </is>
      </c>
      <c r="D48" s="197" t="inlineStr">
        <is>
          <t>Кислота стеариновая техническая</t>
        </is>
      </c>
      <c r="E48" s="361" t="inlineStr">
        <is>
          <t>кг</t>
        </is>
      </c>
      <c r="F48" s="196" t="n">
        <v>0.2</v>
      </c>
      <c r="G48" s="194" t="n">
        <v>16.8</v>
      </c>
      <c r="H48" s="194">
        <f>ROUND(F48*G48,2)</f>
        <v/>
      </c>
    </row>
    <row r="49">
      <c r="A49" s="195" t="n">
        <v>33</v>
      </c>
      <c r="B49" s="205" t="n"/>
      <c r="C49" s="196" t="inlineStr">
        <is>
          <t>01.7.02.04-0001</t>
        </is>
      </c>
      <c r="D49" s="197" t="inlineStr">
        <is>
          <t>Бумага кабельная электроизоляционная, двухслойная</t>
        </is>
      </c>
      <c r="E49" s="361" t="inlineStr">
        <is>
          <t>кг</t>
        </is>
      </c>
      <c r="F49" s="196" t="n">
        <v>0.112</v>
      </c>
      <c r="G49" s="194" t="n">
        <v>21.32</v>
      </c>
      <c r="H49" s="194">
        <f>ROUND(F49*G49,2)</f>
        <v/>
      </c>
    </row>
    <row r="50" ht="25.5" customHeight="1" s="292">
      <c r="A50" s="195" t="n">
        <v>34</v>
      </c>
      <c r="B50" s="205" t="n"/>
      <c r="C50" s="196" t="inlineStr">
        <is>
          <t>22.2.02.05-0001</t>
        </is>
      </c>
      <c r="D50" s="197" t="inlineStr">
        <is>
          <t>Кольца групповые полиэтиленовые, длина 8 мм, внутренний диаметр 4,6 мм</t>
        </is>
      </c>
      <c r="E50" s="361" t="inlineStr">
        <is>
          <t>1000 шт</t>
        </is>
      </c>
      <c r="F50" s="196" t="n">
        <v>0.07199999999999999</v>
      </c>
      <c r="G50" s="194" t="n">
        <v>30.1</v>
      </c>
      <c r="H50" s="194">
        <f>ROUND(F50*G50,2)</f>
        <v/>
      </c>
    </row>
    <row r="51">
      <c r="A51" s="195" t="n">
        <v>35</v>
      </c>
      <c r="B51" s="205" t="n"/>
      <c r="C51" s="196" t="inlineStr">
        <is>
          <t>14.4.03.03-0102</t>
        </is>
      </c>
      <c r="D51" s="197" t="inlineStr">
        <is>
          <t>Лак битумный БТ-577</t>
        </is>
      </c>
      <c r="E51" s="361" t="inlineStr">
        <is>
          <t>т</t>
        </is>
      </c>
      <c r="F51" s="196" t="n">
        <v>0.00016</v>
      </c>
      <c r="G51" s="194" t="n">
        <v>9550.01</v>
      </c>
      <c r="H51" s="194">
        <f>ROUND(F51*G51,2)</f>
        <v/>
      </c>
    </row>
    <row r="52">
      <c r="A52" s="195" t="n">
        <v>36</v>
      </c>
      <c r="B52" s="205" t="n"/>
      <c r="C52" s="196" t="inlineStr">
        <is>
          <t>01.3.05.17-0002</t>
        </is>
      </c>
      <c r="D52" s="197" t="inlineStr">
        <is>
          <t>Канифоль сосновая</t>
        </is>
      </c>
      <c r="E52" s="361" t="inlineStr">
        <is>
          <t>кг</t>
        </is>
      </c>
      <c r="F52" s="196" t="n">
        <v>0.024</v>
      </c>
      <c r="G52" s="194" t="n">
        <v>27.74</v>
      </c>
      <c r="H52" s="194">
        <f>ROUND(F52*G52,2)</f>
        <v/>
      </c>
    </row>
    <row r="53">
      <c r="A53" s="265" t="n"/>
      <c r="I53" s="424" t="n"/>
    </row>
    <row r="55">
      <c r="B55" s="279" t="inlineStr">
        <is>
          <t>Составил ______________________        Е. М. Добровольская</t>
        </is>
      </c>
      <c r="C55" s="286" t="n"/>
    </row>
    <row r="56">
      <c r="B56" s="287" t="inlineStr">
        <is>
          <t xml:space="preserve">                         (подпись, инициалы, фамилия)</t>
        </is>
      </c>
      <c r="C56" s="286" t="n"/>
    </row>
    <row r="57">
      <c r="B57" s="279" t="n"/>
      <c r="C57" s="286" t="n"/>
    </row>
    <row r="58">
      <c r="B58" s="279" t="inlineStr">
        <is>
          <t>Проверил ______________________        А.В. Костянецкая</t>
        </is>
      </c>
      <c r="C58" s="286" t="n"/>
    </row>
    <row r="59">
      <c r="B59" s="287" t="inlineStr">
        <is>
          <t xml:space="preserve">                        (подпись, инициалы, фамилия)</t>
        </is>
      </c>
      <c r="C59" s="286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43" workbookViewId="0">
      <selection activeCell="B43" sqref="B43"/>
    </sheetView>
  </sheetViews>
  <sheetFormatPr baseColWidth="8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9.140625" customWidth="1" style="292" min="6" max="10"/>
    <col width="13.5703125" customWidth="1" style="292" min="11" max="11"/>
    <col width="9.140625" customWidth="1" style="292" min="12" max="12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60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18" t="inlineStr">
        <is>
          <t>Ресурсная модель</t>
        </is>
      </c>
    </row>
    <row r="6">
      <c r="B6" s="168" t="n"/>
      <c r="C6" s="279" t="n"/>
      <c r="D6" s="279" t="n"/>
      <c r="E6" s="279" t="n"/>
    </row>
    <row r="7" ht="34.5" customHeight="1" s="292">
      <c r="B7" s="341" t="inlineStr">
        <is>
          <t>Наименование разрабатываемого показателя УНЦ - ВОК в трубе в земле количество волокон 32 шт., максимально-допустимая растягивающая нагрузка 4 кН</t>
        </is>
      </c>
    </row>
    <row r="8">
      <c r="B8" s="342">
        <f>'Прил.1 Сравнит табл'!B9</f>
        <v/>
      </c>
    </row>
    <row r="9">
      <c r="B9" s="168" t="n"/>
      <c r="C9" s="279" t="n"/>
      <c r="D9" s="279" t="n"/>
      <c r="E9" s="279" t="n"/>
    </row>
    <row r="10" ht="51" customHeight="1" s="292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81">
        <f>'Прил.5 Расчет СМР и ОБ'!J15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81">
        <f>'Прил.5 Расчет СМР и ОБ'!J23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81">
        <f>'Прил.5 Расчет СМР и ОБ'!J29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81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81">
        <f>'Прил.5 Расчет СМР и ОБ'!J17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81">
        <f>'Прил.5 Расчет СМР и ОБ'!J41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81">
        <f>'Прил.5 Расчет СМР и ОБ'!J61</f>
        <v/>
      </c>
      <c r="D17" s="210">
        <f>C17/$C$24</f>
        <v/>
      </c>
      <c r="E17" s="210">
        <f>C17/$C$40</f>
        <v/>
      </c>
    </row>
    <row r="18">
      <c r="B18" s="208" t="inlineStr">
        <is>
          <t>МАТЕРИАЛЫ, ВСЕГО:</t>
        </is>
      </c>
      <c r="C18" s="281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81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81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ОБ'!E65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81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ОБ'!E64</f>
        <v/>
      </c>
      <c r="D23" s="210" t="n"/>
      <c r="E23" s="208" t="n"/>
    </row>
    <row r="24">
      <c r="B24" s="208" t="inlineStr">
        <is>
          <t>ВСЕГО СМР с НР и СП</t>
        </is>
      </c>
      <c r="C24" s="281">
        <f>C19+C20+C22</f>
        <v/>
      </c>
      <c r="D24" s="210">
        <f>C24/$C$24</f>
        <v/>
      </c>
      <c r="E24" s="210">
        <f>C24/$C$40</f>
        <v/>
      </c>
    </row>
    <row r="25" ht="25.5" customHeight="1" s="292">
      <c r="B25" s="208" t="inlineStr">
        <is>
          <t>ВСЕГО стоимость оборудования, в том числе</t>
        </is>
      </c>
      <c r="C25" s="281">
        <f>'Прил.5 Расчет СМР и ОБ'!J36</f>
        <v/>
      </c>
      <c r="D25" s="210" t="n"/>
      <c r="E25" s="210">
        <f>C25/$C$40</f>
        <v/>
      </c>
    </row>
    <row r="26" ht="25.5" customHeight="1" s="292">
      <c r="B26" s="208" t="inlineStr">
        <is>
          <t>стоимость оборудования технологического</t>
        </is>
      </c>
      <c r="C26" s="281">
        <f>C25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09">
        <f>C24+C25</f>
        <v/>
      </c>
      <c r="D27" s="210" t="n"/>
      <c r="E27" s="210">
        <f>C27/$C$40</f>
        <v/>
      </c>
    </row>
    <row r="28" ht="33" customHeight="1" s="292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292">
      <c r="B29" s="208" t="inlineStr">
        <is>
          <t>Временные здания и сооружения - 3,9%</t>
        </is>
      </c>
      <c r="C29" s="209">
        <f>ROUND(C24*3.9%,2)</f>
        <v/>
      </c>
      <c r="D29" s="208" t="n"/>
      <c r="E29" s="210">
        <f>C29/$C$40</f>
        <v/>
      </c>
    </row>
    <row r="30" ht="38.25" customHeight="1" s="292">
      <c r="B30" s="208" t="inlineStr">
        <is>
          <t>Дополнительные затраты при производстве строительно-монтажных работ в зимнее время - 2,1%</t>
        </is>
      </c>
      <c r="C30" s="209">
        <f>ROUND((C24+C29)*2.1%,2)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09">
        <f>ROUND(C25*7%*0.8,2)</f>
        <v/>
      </c>
      <c r="D31" s="208" t="n"/>
      <c r="E31" s="210">
        <f>C31/$C$40</f>
        <v/>
      </c>
    </row>
    <row r="32" ht="25.5" customHeight="1" s="292">
      <c r="B32" s="208" t="inlineStr">
        <is>
          <t>Затраты по перевозке работников к месту работы и обратно</t>
        </is>
      </c>
      <c r="C32" s="209" t="n">
        <v>0</v>
      </c>
      <c r="D32" s="208" t="n"/>
      <c r="E32" s="210">
        <f>C32/$C$40</f>
        <v/>
      </c>
    </row>
    <row r="33" ht="25.5" customHeight="1" s="292">
      <c r="B33" s="208" t="inlineStr">
        <is>
          <t>Затраты, связанные с осуществлением работ вахтовым методом</t>
        </is>
      </c>
      <c r="C33" s="209" t="n">
        <v>0</v>
      </c>
      <c r="D33" s="208" t="n"/>
      <c r="E33" s="210">
        <f>C33/$C$40</f>
        <v/>
      </c>
    </row>
    <row r="34" ht="51" customHeight="1" s="292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9" t="n">
        <v>0</v>
      </c>
      <c r="D34" s="208" t="n"/>
      <c r="E34" s="210">
        <f>C34/$C$40</f>
        <v/>
      </c>
    </row>
    <row r="35" ht="76.7" customHeight="1" s="292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9" t="n">
        <v>0</v>
      </c>
      <c r="D35" s="208" t="n"/>
      <c r="E35" s="210">
        <f>C35/$C$40</f>
        <v/>
      </c>
    </row>
    <row r="36" ht="25.5" customHeight="1" s="292">
      <c r="B36" s="208" t="inlineStr">
        <is>
          <t>Строительный контроль и содержание службы заказчика - 2,14%</t>
        </is>
      </c>
      <c r="C36" s="209">
        <f>ROUND((C27+C29+C31+C30)*2.14%,2)</f>
        <v/>
      </c>
      <c r="D36" s="208" t="n"/>
      <c r="E36" s="210">
        <f>C36/$C$40</f>
        <v/>
      </c>
      <c r="K36" s="169" t="n"/>
    </row>
    <row r="37">
      <c r="B37" s="208" t="inlineStr">
        <is>
          <t>Авторский надзор - 0,2%</t>
        </is>
      </c>
      <c r="C37" s="209">
        <f>ROUND((C27+C29+C30+C31)*0.2%,2)</f>
        <v/>
      </c>
      <c r="D37" s="208" t="n"/>
      <c r="E37" s="210">
        <f>C37/$C$40</f>
        <v/>
      </c>
      <c r="K37" s="169" t="n"/>
    </row>
    <row r="38" ht="38.25" customHeight="1" s="292">
      <c r="B38" s="208" t="inlineStr">
        <is>
          <t>ИТОГО (СМР+ОБОРУДОВАНИЕ+ПРОЧ. ЗАТР., УЧТЕННЫЕ ПОКАЗАТЕЛЕМ)</t>
        </is>
      </c>
      <c r="C38" s="281">
        <f>C36+C30+C27+C29+C31+C37</f>
        <v/>
      </c>
      <c r="D38" s="208" t="n"/>
      <c r="E38" s="210">
        <f>C38/$C$40</f>
        <v/>
      </c>
    </row>
    <row r="39" ht="13.7" customHeight="1" s="292">
      <c r="B39" s="208" t="inlineStr">
        <is>
          <t>Непредвиденные расходы</t>
        </is>
      </c>
      <c r="C39" s="281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81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81">
        <f>C40/'Прил.5 Расчет СМР и ОБ'!E68</f>
        <v/>
      </c>
      <c r="D41" s="208" t="n"/>
      <c r="E41" s="208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Е. М. Добровольская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42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2" workbookViewId="0">
      <selection activeCell="B71" sqref="B71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4.5703125" customWidth="1" style="286" min="9" max="9"/>
    <col width="15.140625" customWidth="1" style="286" min="10" max="10"/>
    <col width="22.42578125" customWidth="1" style="286" min="11" max="11"/>
    <col width="16.28515625" customWidth="1" style="286" min="12" max="12"/>
    <col width="10.85546875" customWidth="1" style="286" min="13" max="13"/>
    <col width="9.140625" customWidth="1" style="286" min="14" max="14"/>
    <col width="9.140625" customWidth="1" style="292" min="15" max="15"/>
  </cols>
  <sheetData>
    <row r="2" ht="15.75" customHeight="1" s="292">
      <c r="H2" s="343" t="inlineStr">
        <is>
          <t>Приложение №5</t>
        </is>
      </c>
    </row>
    <row r="4" ht="12.75" customFormat="1" customHeight="1" s="279">
      <c r="A4" s="318" t="inlineStr">
        <is>
          <t>Расчет стоимости СМР и оборудования</t>
        </is>
      </c>
      <c r="I4" s="318" t="n"/>
      <c r="J4" s="318" t="n"/>
    </row>
    <row r="5" ht="12.75" customFormat="1" customHeight="1" s="279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</row>
    <row r="6" ht="30.75" customFormat="1" customHeight="1" s="279">
      <c r="A6" s="321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32 шт., максимально-допустимая растягивающая нагрузка 4 кН</t>
        </is>
      </c>
    </row>
    <row r="7" ht="12.75" customFormat="1" customHeight="1" s="279">
      <c r="A7" s="321">
        <f>'Прил.1 Сравнит табл'!B9</f>
        <v/>
      </c>
      <c r="I7" s="341" t="n"/>
      <c r="J7" s="341" t="n"/>
    </row>
    <row r="8" ht="12.75" customFormat="1" customHeight="1" s="279"/>
    <row r="9" ht="27" customHeight="1" s="292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20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20" t="n"/>
    </row>
    <row r="10" ht="28.5" customHeight="1" s="292">
      <c r="A10" s="422" t="n"/>
      <c r="B10" s="422" t="n"/>
      <c r="C10" s="422" t="n"/>
      <c r="D10" s="422" t="n"/>
      <c r="E10" s="422" t="n"/>
      <c r="F10" s="344" t="inlineStr">
        <is>
          <t>на ед. изм.</t>
        </is>
      </c>
      <c r="G10" s="344" t="inlineStr">
        <is>
          <t>общая</t>
        </is>
      </c>
      <c r="H10" s="422" t="n"/>
      <c r="I10" s="344" t="inlineStr">
        <is>
          <t>на ед. изм.</t>
        </is>
      </c>
      <c r="J10" s="344" t="inlineStr">
        <is>
          <t>общая</t>
        </is>
      </c>
    </row>
    <row r="11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4" t="n">
        <v>9</v>
      </c>
      <c r="J11" s="344" t="n">
        <v>10</v>
      </c>
    </row>
    <row r="12">
      <c r="A12" s="344" t="n"/>
      <c r="B12" s="336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25" t="n"/>
      <c r="J12" s="225" t="n"/>
    </row>
    <row r="13" ht="25.5" customHeight="1" s="292">
      <c r="A13" s="344" t="n">
        <v>1</v>
      </c>
      <c r="B13" s="253" t="inlineStr">
        <is>
          <t>1-4-2</t>
        </is>
      </c>
      <c r="C13" s="350" t="inlineStr">
        <is>
          <t>Затраты труда рабочих-строителей среднего разряда (4,2)</t>
        </is>
      </c>
      <c r="D13" s="344" t="inlineStr">
        <is>
          <t>чел.-ч.</t>
        </is>
      </c>
      <c r="E13" s="229">
        <f>G13/F13</f>
        <v/>
      </c>
      <c r="F13" s="257" t="n">
        <v>9.92</v>
      </c>
      <c r="G13" s="257">
        <f>'Прил. 3'!H12-'Прил. 3'!H17</f>
        <v/>
      </c>
      <c r="H13" s="354">
        <f>G13/G15</f>
        <v/>
      </c>
      <c r="I13" s="257">
        <f>ФОТр.тек.!E13</f>
        <v/>
      </c>
      <c r="J13" s="257">
        <f>ROUND(I13*E13,2)</f>
        <v/>
      </c>
    </row>
    <row r="14">
      <c r="A14" s="344" t="n">
        <v>2</v>
      </c>
      <c r="B14" s="253" t="inlineStr">
        <is>
          <t>10-3-1</t>
        </is>
      </c>
      <c r="C14" s="350" t="inlineStr">
        <is>
          <t>Инженер I категории</t>
        </is>
      </c>
      <c r="D14" s="344" t="inlineStr">
        <is>
          <t>чел.-ч.</t>
        </is>
      </c>
      <c r="E14" s="229">
        <f>'Прил. 3'!F17</f>
        <v/>
      </c>
      <c r="F14" s="257">
        <f>'Прил. 3'!G17</f>
        <v/>
      </c>
      <c r="G14" s="257">
        <f>'Прил. 3'!H17</f>
        <v/>
      </c>
      <c r="H14" s="354">
        <f>G14/G15</f>
        <v/>
      </c>
      <c r="I14" s="257">
        <f>ФОТр.тек.!E21</f>
        <v/>
      </c>
      <c r="J14" s="257">
        <f>ROUND(I14*E14,2)</f>
        <v/>
      </c>
    </row>
    <row r="15" ht="25.5" customFormat="1" customHeight="1" s="286">
      <c r="A15" s="344" t="n"/>
      <c r="B15" s="344" t="n"/>
      <c r="C15" s="336" t="inlineStr">
        <is>
          <t>Итого по разделу "Затраты труда рабочих-строителей"</t>
        </is>
      </c>
      <c r="D15" s="344" t="inlineStr">
        <is>
          <t>чел.-ч.</t>
        </is>
      </c>
      <c r="E15" s="229">
        <f>SUM(E13:E13)+E14</f>
        <v/>
      </c>
      <c r="F15" s="257" t="n"/>
      <c r="G15" s="257">
        <f>G13+G14</f>
        <v/>
      </c>
      <c r="H15" s="354" t="n">
        <v>1</v>
      </c>
      <c r="I15" s="257" t="n"/>
      <c r="J15" s="257">
        <f>SUM(J13:J13)+J14</f>
        <v/>
      </c>
      <c r="K15" s="427" t="n"/>
    </row>
    <row r="16" ht="14.25" customFormat="1" customHeight="1" s="286">
      <c r="A16" s="344" t="n"/>
      <c r="B16" s="350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25" t="n"/>
      <c r="J16" s="225" t="n"/>
    </row>
    <row r="17" ht="14.25" customFormat="1" customHeight="1" s="286">
      <c r="A17" s="344" t="n">
        <v>3</v>
      </c>
      <c r="B17" s="344" t="n">
        <v>2</v>
      </c>
      <c r="C17" s="350" t="inlineStr">
        <is>
          <t>Затраты труда машинистов</t>
        </is>
      </c>
      <c r="D17" s="344" t="inlineStr">
        <is>
          <t>чел.-ч.</t>
        </is>
      </c>
      <c r="E17" s="229">
        <f>'Прил. 3'!F20</f>
        <v/>
      </c>
      <c r="F17" s="257">
        <f>G17/E17</f>
        <v/>
      </c>
      <c r="G17" s="257">
        <f>'Прил. 3'!H20</f>
        <v/>
      </c>
      <c r="H17" s="354" t="n">
        <v>1</v>
      </c>
      <c r="I17" s="257">
        <f>ROUND(F17*'Прил. 10'!D10,2)</f>
        <v/>
      </c>
      <c r="J17" s="257">
        <f>ROUND(I17*E17,2)</f>
        <v/>
      </c>
      <c r="K17" s="427" t="n"/>
    </row>
    <row r="18" ht="14.25" customFormat="1" customHeight="1" s="286">
      <c r="A18" s="344" t="n"/>
      <c r="B18" s="336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354" t="n"/>
      <c r="J18" s="354" t="n"/>
    </row>
    <row r="19" ht="14.25" customFormat="1" customHeight="1" s="286">
      <c r="A19" s="344" t="n"/>
      <c r="B19" s="350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25" t="n"/>
      <c r="J19" s="225" t="n"/>
    </row>
    <row r="20" ht="25.5" customFormat="1" customHeight="1" s="286">
      <c r="A20" s="344" t="n">
        <v>4</v>
      </c>
      <c r="B20" s="196" t="inlineStr">
        <is>
          <t>91.11.01-005</t>
        </is>
      </c>
      <c r="C20" s="197" t="inlineStr">
        <is>
          <t>Кабелеукладчики навесные вибрационные для прокладки оптического кабеля</t>
        </is>
      </c>
      <c r="D20" s="361" t="inlineStr">
        <is>
          <t>маш.час</t>
        </is>
      </c>
      <c r="E20" s="196" t="n">
        <v>108.32</v>
      </c>
      <c r="F20" s="199" t="n">
        <v>1056.99</v>
      </c>
      <c r="G20" s="257">
        <f>ROUND(E20*F20,2)</f>
        <v/>
      </c>
      <c r="H20" s="354">
        <f>G20/$G$30</f>
        <v/>
      </c>
      <c r="I20" s="359">
        <f>ROUND(F20*'Прил. 10'!$D$11,2)</f>
        <v/>
      </c>
      <c r="J20" s="257">
        <f>ROUND(I20*E20,2)</f>
        <v/>
      </c>
    </row>
    <row r="21" ht="38.25" customFormat="1" customHeight="1" s="286">
      <c r="A21" s="344" t="n">
        <v>5</v>
      </c>
      <c r="B21" s="196" t="inlineStr">
        <is>
          <t>91.05.05-002</t>
        </is>
      </c>
      <c r="C21" s="197" t="inlineStr">
        <is>
          <t>Краны на автомобильном ходу в составе кабелеукладочной колонны, грузоподъемность 10 т</t>
        </is>
      </c>
      <c r="D21" s="361" t="inlineStr">
        <is>
          <t>маш.час</t>
        </is>
      </c>
      <c r="E21" s="196" t="n">
        <v>108.32</v>
      </c>
      <c r="F21" s="199" t="n">
        <v>332.29</v>
      </c>
      <c r="G21" s="257">
        <f>ROUND(E21*F21,2)</f>
        <v/>
      </c>
      <c r="H21" s="354">
        <f>G21/$G$30</f>
        <v/>
      </c>
      <c r="I21" s="359">
        <f>ROUND(F21*'Прил. 10'!$D$11,2)</f>
        <v/>
      </c>
      <c r="J21" s="257">
        <f>ROUND(I21*E21,2)</f>
        <v/>
      </c>
    </row>
    <row r="22" ht="38.25" customFormat="1" customHeight="1" s="286">
      <c r="A22" s="344" t="n">
        <v>6</v>
      </c>
      <c r="B22" s="196" t="inlineStr">
        <is>
          <t>91.11.01-012</t>
        </is>
      </c>
      <c r="C22" s="197" t="inlineStr">
        <is>
          <t>Машины монтажные для выполнения работ при прокладке и монтаже кабеля на базе автомобиля</t>
        </is>
      </c>
      <c r="D22" s="361" t="inlineStr">
        <is>
          <t>маш.час</t>
        </is>
      </c>
      <c r="E22" s="196" t="n">
        <v>177.29</v>
      </c>
      <c r="F22" s="199" t="n">
        <v>110.86</v>
      </c>
      <c r="G22" s="257">
        <f>ROUND(E22*F22,2)</f>
        <v/>
      </c>
      <c r="H22" s="354">
        <f>G22/$G$30</f>
        <v/>
      </c>
      <c r="I22" s="359">
        <f>ROUND(F22*'Прил. 10'!$D$11,2)</f>
        <v/>
      </c>
      <c r="J22" s="257">
        <f>ROUND(I22*E22,2)</f>
        <v/>
      </c>
    </row>
    <row r="23" ht="14.25" customFormat="1" customHeight="1" s="286">
      <c r="A23" s="344" t="n"/>
      <c r="B23" s="344" t="n"/>
      <c r="C23" s="350" t="inlineStr">
        <is>
          <t>Итого основные машины и механизмы</t>
        </is>
      </c>
      <c r="D23" s="344" t="n"/>
      <c r="E23" s="233" t="n"/>
      <c r="F23" s="257" t="n"/>
      <c r="G23" s="257">
        <f>SUM(G20:G22)</f>
        <v/>
      </c>
      <c r="H23" s="354">
        <f>G23/G30</f>
        <v/>
      </c>
      <c r="I23" s="257" t="n"/>
      <c r="J23" s="257">
        <f>SUM(J20:J22)</f>
        <v/>
      </c>
      <c r="L23" s="427" t="n"/>
    </row>
    <row r="24" hidden="1" outlineLevel="1" ht="25.5" customFormat="1" customHeight="1" s="286">
      <c r="A24" s="344" t="n">
        <v>7</v>
      </c>
      <c r="B24" s="196" t="inlineStr">
        <is>
          <t>91.01.01-001</t>
        </is>
      </c>
      <c r="C24" s="197" t="inlineStr">
        <is>
          <t>Бульдозеры в составе кабелеукладочной колонны, мощность 128,7 кВт (175 л.с.)</t>
        </is>
      </c>
      <c r="D24" s="361" t="inlineStr">
        <is>
          <t>маш.час</t>
        </is>
      </c>
      <c r="E24" s="196" t="n">
        <v>57.77</v>
      </c>
      <c r="F24" s="199" t="n">
        <v>332.31</v>
      </c>
      <c r="G24" s="257">
        <f>ROUND(E24*F24,2)</f>
        <v/>
      </c>
      <c r="H24" s="354">
        <f>G24/$G$30</f>
        <v/>
      </c>
      <c r="I24" s="359">
        <f>ROUND(F24*'Прил. 10'!$D$11,2)</f>
        <v/>
      </c>
      <c r="J24" s="257">
        <f>ROUND(I24*E24,2)</f>
        <v/>
      </c>
      <c r="L24" s="427" t="n"/>
    </row>
    <row r="25" hidden="1" outlineLevel="1" ht="32.25" customFormat="1" customHeight="1" s="286">
      <c r="A25" s="344" t="n">
        <v>8</v>
      </c>
      <c r="B25" s="196" t="inlineStr">
        <is>
          <t>91.14.05-041</t>
        </is>
      </c>
      <c r="C25" s="197" t="inlineStr">
        <is>
          <t>Транспортеры прицепные кабельные, грузоподъемность до 7 т</t>
        </is>
      </c>
      <c r="D25" s="361" t="inlineStr">
        <is>
          <t>маш.час</t>
        </is>
      </c>
      <c r="E25" s="196" t="n">
        <v>57.77</v>
      </c>
      <c r="F25" s="199" t="n">
        <v>58.03</v>
      </c>
      <c r="G25" s="257">
        <f>ROUND(E25*F25,2)</f>
        <v/>
      </c>
      <c r="H25" s="354">
        <f>G25/$G$30</f>
        <v/>
      </c>
      <c r="I25" s="359">
        <f>ROUND(F25*'Прил. 10'!$D$11,2)</f>
        <v/>
      </c>
      <c r="J25" s="257">
        <f>ROUND(I25*E25,2)</f>
        <v/>
      </c>
      <c r="L25" s="427" t="n"/>
    </row>
    <row r="26" hidden="1" outlineLevel="1" ht="14.25" customFormat="1" customHeight="1" s="286">
      <c r="A26" s="344" t="n">
        <v>9</v>
      </c>
      <c r="B26" s="196" t="inlineStr">
        <is>
          <t>91.21.22-341</t>
        </is>
      </c>
      <c r="C26" s="197" t="inlineStr">
        <is>
          <t>Рефлектометры</t>
        </is>
      </c>
      <c r="D26" s="361" t="inlineStr">
        <is>
          <t>маш.час</t>
        </is>
      </c>
      <c r="E26" s="196" t="n">
        <v>272</v>
      </c>
      <c r="F26" s="199" t="n">
        <v>10.62</v>
      </c>
      <c r="G26" s="257">
        <f>ROUND(E26*F26,2)</f>
        <v/>
      </c>
      <c r="H26" s="354">
        <f>G26/$G$30</f>
        <v/>
      </c>
      <c r="I26" s="359">
        <f>ROUND(F26*'Прил. 10'!$D$11,2)</f>
        <v/>
      </c>
      <c r="J26" s="257">
        <f>ROUND(I26*E26,2)</f>
        <v/>
      </c>
      <c r="L26" s="427" t="n"/>
    </row>
    <row r="27" hidden="1" outlineLevel="1" ht="25.5" customFormat="1" customHeight="1" s="286">
      <c r="A27" s="344" t="n">
        <v>10</v>
      </c>
      <c r="B27" s="196" t="inlineStr">
        <is>
          <t>91.05.05-015</t>
        </is>
      </c>
      <c r="C27" s="197" t="inlineStr">
        <is>
          <t>Краны на автомобильном ходу, грузоподъемность 16 т</t>
        </is>
      </c>
      <c r="D27" s="361" t="inlineStr">
        <is>
          <t>маш.час</t>
        </is>
      </c>
      <c r="E27" s="196" t="n">
        <v>9</v>
      </c>
      <c r="F27" s="199" t="n">
        <v>115.4</v>
      </c>
      <c r="G27" s="257">
        <f>ROUND(E27*F27,2)</f>
        <v/>
      </c>
      <c r="H27" s="354">
        <f>G27/$G$30</f>
        <v/>
      </c>
      <c r="I27" s="359">
        <f>ROUND(F27*'Прил. 10'!$D$11,2)</f>
        <v/>
      </c>
      <c r="J27" s="257">
        <f>ROUND(I27*E27,2)</f>
        <v/>
      </c>
      <c r="L27" s="427" t="n"/>
    </row>
    <row r="28" hidden="1" outlineLevel="1" ht="14.25" customFormat="1" customHeight="1" s="286">
      <c r="A28" s="344" t="n">
        <v>11</v>
      </c>
      <c r="B28" s="196" t="inlineStr">
        <is>
          <t>91.12.08-161</t>
        </is>
      </c>
      <c r="C28" s="197" t="inlineStr">
        <is>
          <t>Ямокопатели</t>
        </is>
      </c>
      <c r="D28" s="361" t="inlineStr">
        <is>
          <t>маш.час</t>
        </is>
      </c>
      <c r="E28" s="196" t="n">
        <v>5.25</v>
      </c>
      <c r="F28" s="199" t="n">
        <v>6.51</v>
      </c>
      <c r="G28" s="257">
        <f>ROUND(E28*F28,2)</f>
        <v/>
      </c>
      <c r="H28" s="354">
        <f>G28/$G$30</f>
        <v/>
      </c>
      <c r="I28" s="359">
        <f>ROUND(F28*'Прил. 10'!$D$11,2)</f>
        <v/>
      </c>
      <c r="J28" s="257">
        <f>ROUND(I28*E28,2)</f>
        <v/>
      </c>
      <c r="L28" s="427" t="n"/>
    </row>
    <row r="29" collapsed="1" ht="14.25" customFormat="1" customHeight="1" s="286">
      <c r="A29" s="344" t="n"/>
      <c r="B29" s="344" t="n"/>
      <c r="C29" s="350" t="inlineStr">
        <is>
          <t>Итого прочие машины и механизмы</t>
        </is>
      </c>
      <c r="D29" s="344" t="n"/>
      <c r="E29" s="351" t="n"/>
      <c r="F29" s="257" t="n"/>
      <c r="G29" s="257">
        <f>SUM(G24:G28)</f>
        <v/>
      </c>
      <c r="H29" s="354">
        <f>G29/G30</f>
        <v/>
      </c>
      <c r="I29" s="257" t="n"/>
      <c r="J29" s="257">
        <f>SUM(J24:J28)</f>
        <v/>
      </c>
      <c r="K29" s="427" t="n"/>
      <c r="L29" s="427" t="n"/>
    </row>
    <row r="30" ht="25.5" customFormat="1" customHeight="1" s="286">
      <c r="A30" s="344" t="n"/>
      <c r="B30" s="345" t="n"/>
      <c r="C30" s="234" t="inlineStr">
        <is>
          <t>Итого по разделу «Машины и механизмы»</t>
        </is>
      </c>
      <c r="D30" s="345" t="n"/>
      <c r="E30" s="235" t="n"/>
      <c r="F30" s="236" t="n"/>
      <c r="G30" s="236">
        <f>G23+G29</f>
        <v/>
      </c>
      <c r="H30" s="237" t="n">
        <v>1</v>
      </c>
      <c r="I30" s="236" t="n"/>
      <c r="J30" s="236">
        <f>J23+J29</f>
        <v/>
      </c>
      <c r="K30" s="427" t="n"/>
    </row>
    <row r="31" s="292">
      <c r="A31" s="347" t="n"/>
      <c r="B31" s="336" t="inlineStr">
        <is>
          <t>Оборудование</t>
        </is>
      </c>
      <c r="C31" s="419" t="n"/>
      <c r="D31" s="419" t="n"/>
      <c r="E31" s="419" t="n"/>
      <c r="F31" s="419" t="n"/>
      <c r="G31" s="419" t="n"/>
      <c r="H31" s="419" t="n"/>
      <c r="I31" s="419" t="n"/>
      <c r="J31" s="420" t="n"/>
      <c r="K31" s="286" t="n"/>
      <c r="L31" s="286" t="n"/>
      <c r="M31" s="286" t="n"/>
      <c r="N31" s="286" t="n"/>
    </row>
    <row r="32" ht="15" customHeight="1" s="292">
      <c r="A32" s="344" t="n"/>
      <c r="B32" s="355" t="inlineStr">
        <is>
          <t>Основное оборудование</t>
        </is>
      </c>
      <c r="K32" s="286" t="n"/>
      <c r="L32" s="286" t="n"/>
      <c r="M32" s="286" t="n"/>
      <c r="N32" s="286" t="n"/>
    </row>
    <row r="33" s="292">
      <c r="A33" s="344" t="n"/>
      <c r="B33" s="344" t="n"/>
      <c r="C33" s="350" t="inlineStr">
        <is>
          <t>Итого основное оборудование</t>
        </is>
      </c>
      <c r="D33" s="344" t="n"/>
      <c r="E33" s="229" t="n"/>
      <c r="F33" s="352" t="n"/>
      <c r="G33" s="257" t="n">
        <v>0</v>
      </c>
      <c r="H33" s="354" t="n"/>
      <c r="I33" s="352" t="n"/>
      <c r="J33" s="257" t="n">
        <v>0</v>
      </c>
      <c r="K33" s="427" t="n"/>
      <c r="L33" s="286" t="n"/>
      <c r="M33" s="286" t="n"/>
      <c r="N33" s="286" t="n"/>
    </row>
    <row r="34" s="292">
      <c r="A34" s="344" t="n"/>
      <c r="B34" s="344" t="n"/>
      <c r="C34" s="350" t="inlineStr">
        <is>
          <t>Итого прочее оборудование</t>
        </is>
      </c>
      <c r="D34" s="344" t="n"/>
      <c r="E34" s="351" t="n"/>
      <c r="F34" s="352" t="n"/>
      <c r="G34" s="257" t="n">
        <v>0</v>
      </c>
      <c r="H34" s="354" t="n"/>
      <c r="I34" s="352" t="n"/>
      <c r="J34" s="257" t="n">
        <v>0</v>
      </c>
      <c r="K34" s="427" t="n"/>
      <c r="L34" s="286" t="n"/>
      <c r="M34" s="286" t="n"/>
      <c r="N34" s="286" t="n"/>
    </row>
    <row r="35" s="292">
      <c r="A35" s="344" t="n"/>
      <c r="B35" s="344" t="n"/>
      <c r="C35" s="336" t="inlineStr">
        <is>
          <t>Итого по разделу «Оборудование»</t>
        </is>
      </c>
      <c r="D35" s="344" t="n"/>
      <c r="E35" s="351" t="n"/>
      <c r="F35" s="352" t="n"/>
      <c r="G35" s="257">
        <f>G34+G33</f>
        <v/>
      </c>
      <c r="H35" s="354" t="n"/>
      <c r="I35" s="352" t="n"/>
      <c r="J35" s="257" t="n">
        <v>0</v>
      </c>
      <c r="K35" s="427" t="n"/>
      <c r="L35" s="286" t="n"/>
      <c r="M35" s="286" t="n"/>
      <c r="N35" s="286" t="n"/>
    </row>
    <row r="36" ht="25.5" customHeight="1" s="292">
      <c r="A36" s="344" t="n"/>
      <c r="B36" s="344" t="n"/>
      <c r="C36" s="350" t="inlineStr">
        <is>
          <t>в том числе технологическое оборудование</t>
        </is>
      </c>
      <c r="D36" s="344" t="n"/>
      <c r="E36" s="351" t="n"/>
      <c r="F36" s="352" t="n"/>
      <c r="G36" s="257">
        <f>G35</f>
        <v/>
      </c>
      <c r="H36" s="354" t="n"/>
      <c r="I36" s="246" t="n"/>
      <c r="J36" s="236">
        <f>J35</f>
        <v/>
      </c>
      <c r="K36" s="427" t="n"/>
      <c r="L36" s="286" t="n"/>
      <c r="M36" s="286" t="n"/>
      <c r="N36" s="286" t="n"/>
    </row>
    <row r="37" ht="14.25" customFormat="1" customHeight="1" s="286">
      <c r="A37" s="344" t="n"/>
      <c r="B37" s="336" t="inlineStr">
        <is>
          <t>Материалы</t>
        </is>
      </c>
      <c r="C37" s="419" t="n"/>
      <c r="D37" s="419" t="n"/>
      <c r="E37" s="419" t="n"/>
      <c r="F37" s="419" t="n"/>
      <c r="G37" s="419" t="n"/>
      <c r="H37" s="420" t="n"/>
      <c r="I37" s="354" t="n"/>
      <c r="J37" s="354" t="n"/>
      <c r="K37" s="427" t="n"/>
    </row>
    <row r="38" ht="14.25" customFormat="1" customHeight="1" s="286">
      <c r="A38" s="344" t="n"/>
      <c r="B38" s="350" t="inlineStr">
        <is>
          <t>Основные материалы</t>
        </is>
      </c>
      <c r="C38" s="419" t="n"/>
      <c r="D38" s="419" t="n"/>
      <c r="E38" s="419" t="n"/>
      <c r="F38" s="419" t="n"/>
      <c r="G38" s="419" t="n"/>
      <c r="H38" s="420" t="n"/>
      <c r="I38" s="354" t="n"/>
      <c r="J38" s="354" t="n"/>
    </row>
    <row r="39" ht="25.5" customFormat="1" customHeight="1" s="286">
      <c r="A39" s="344" t="n">
        <v>12</v>
      </c>
      <c r="B39" s="344" t="inlineStr">
        <is>
          <t>БЦ.88.24</t>
        </is>
      </c>
      <c r="C39" s="350" t="inlineStr">
        <is>
          <t>ВОК диэлектрический 32 волокон  МДРН 4 кН</t>
        </is>
      </c>
      <c r="D39" s="344" t="inlineStr">
        <is>
          <t>1000 м</t>
        </is>
      </c>
      <c r="E39" s="229" t="n">
        <v>14.4431</v>
      </c>
      <c r="F39" s="257">
        <f>ROUND(I39/'Прил. 10'!D12,2)</f>
        <v/>
      </c>
      <c r="G39" s="257">
        <f>ROUND(E39*F39,2)</f>
        <v/>
      </c>
      <c r="H39" s="354">
        <f>G39/$G$62</f>
        <v/>
      </c>
      <c r="I39" s="359" t="n">
        <v>60844.36</v>
      </c>
      <c r="J39" s="257">
        <f>ROUND(I39*E39,2)</f>
        <v/>
      </c>
    </row>
    <row r="40" ht="14.25" customFormat="1" customHeight="1" s="286">
      <c r="A40" s="344" t="n">
        <v>13</v>
      </c>
      <c r="B40" s="196" t="inlineStr">
        <is>
          <t>20.1.02.23-0171</t>
        </is>
      </c>
      <c r="C40" s="350" t="inlineStr">
        <is>
          <t>Столбик замерный железобетонный СЗК</t>
        </is>
      </c>
      <c r="D40" s="344" t="inlineStr">
        <is>
          <t>шт</t>
        </is>
      </c>
      <c r="E40" s="229" t="n">
        <v>75</v>
      </c>
      <c r="F40" s="257" t="n">
        <v>238.7</v>
      </c>
      <c r="G40" s="257">
        <f>ROUND(E40*F40,2)</f>
        <v/>
      </c>
      <c r="H40" s="354">
        <f>G40/$G$62</f>
        <v/>
      </c>
      <c r="I40" s="359">
        <f>ROUND(F40*'Прил. 10'!$D$12,2)</f>
        <v/>
      </c>
      <c r="J40" s="257">
        <f>ROUND(I40*E40,2)</f>
        <v/>
      </c>
    </row>
    <row r="41" ht="14.25" customFormat="1" customHeight="1" s="286">
      <c r="A41" s="344" t="n"/>
      <c r="B41" s="344" t="n"/>
      <c r="C41" s="350" t="inlineStr">
        <is>
          <t>Итого основные материалы</t>
        </is>
      </c>
      <c r="D41" s="344" t="n"/>
      <c r="E41" s="229" t="n"/>
      <c r="F41" s="352" t="n"/>
      <c r="G41" s="257">
        <f>SUM(G39:G40)</f>
        <v/>
      </c>
      <c r="H41" s="354">
        <f>G41/$G$62</f>
        <v/>
      </c>
      <c r="I41" s="352" t="n"/>
      <c r="J41" s="257">
        <f>SUM(J39:J40)</f>
        <v/>
      </c>
      <c r="K41" s="427" t="n"/>
    </row>
    <row r="42" hidden="1" outlineLevel="1" ht="63.75" customFormat="1" customHeight="1" s="286">
      <c r="A42" s="344" t="n">
        <v>14</v>
      </c>
      <c r="B42" s="196" t="inlineStr">
        <is>
          <t>20.2.09.09-0006</t>
        </is>
      </c>
      <c r="C42" s="35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4" t="inlineStr">
        <is>
          <t>компл</t>
        </is>
      </c>
      <c r="E42" s="229" t="n">
        <v>4</v>
      </c>
      <c r="F42" s="257" t="n">
        <v>1194.89</v>
      </c>
      <c r="G42" s="257">
        <f>ROUND(F42*E42,2)</f>
        <v/>
      </c>
      <c r="H42" s="354">
        <f>G42/$G$62</f>
        <v/>
      </c>
      <c r="I42" s="359">
        <f>ROUND(F42*'Прил. 10'!$D$12,2)</f>
        <v/>
      </c>
      <c r="J42" s="257">
        <f>ROUND(I42*E42,2)</f>
        <v/>
      </c>
    </row>
    <row r="43" hidden="1" outlineLevel="1" ht="14.25" customFormat="1" customHeight="1" s="286">
      <c r="A43" s="344" t="n">
        <v>15</v>
      </c>
      <c r="B43" s="196" t="inlineStr">
        <is>
          <t>20.2.09.10-0041</t>
        </is>
      </c>
      <c r="C43" s="350" t="inlineStr">
        <is>
          <t>Муфта защитная чугунная МЧЗ</t>
        </is>
      </c>
      <c r="D43" s="344" t="inlineStr">
        <is>
          <t>шт</t>
        </is>
      </c>
      <c r="E43" s="229" t="n">
        <v>2</v>
      </c>
      <c r="F43" s="257" t="n">
        <v>806.5</v>
      </c>
      <c r="G43" s="257">
        <f>ROUND(F43*E43,2)</f>
        <v/>
      </c>
      <c r="H43" s="354">
        <f>G43/$G$62</f>
        <v/>
      </c>
      <c r="I43" s="359">
        <f>ROUND(F43*'Прил. 10'!$D$12,2)</f>
        <v/>
      </c>
      <c r="J43" s="257">
        <f>ROUND(I43*E43,2)</f>
        <v/>
      </c>
    </row>
    <row r="44" hidden="1" outlineLevel="1" ht="25.5" customFormat="1" customHeight="1" s="286">
      <c r="A44" s="344" t="n">
        <v>16</v>
      </c>
      <c r="B44" s="196" t="inlineStr">
        <is>
          <t>01.7.06.08-0003</t>
        </is>
      </c>
      <c r="C44" s="350" t="inlineStr">
        <is>
          <t>Лента полиэтиленовая сигнальная, ширина 200 мм, толщина 50 мкм</t>
        </is>
      </c>
      <c r="D44" s="344" t="inlineStr">
        <is>
          <t>100 м</t>
        </is>
      </c>
      <c r="E44" s="229" t="n">
        <v>14.4431</v>
      </c>
      <c r="F44" s="257" t="n">
        <v>108</v>
      </c>
      <c r="G44" s="257">
        <f>ROUND(F44*E44,2)</f>
        <v/>
      </c>
      <c r="H44" s="354">
        <f>G44/$G$62</f>
        <v/>
      </c>
      <c r="I44" s="359">
        <f>ROUND(F44*'Прил. 10'!$D$12,2)</f>
        <v/>
      </c>
      <c r="J44" s="257">
        <f>ROUND(I44*E44,2)</f>
        <v/>
      </c>
    </row>
    <row r="45" hidden="1" outlineLevel="1" ht="14.25" customFormat="1" customHeight="1" s="286">
      <c r="A45" s="344" t="n">
        <v>17</v>
      </c>
      <c r="B45" s="344" t="inlineStr">
        <is>
          <t>БЦ.93.15</t>
        </is>
      </c>
      <c r="C45" s="350" t="inlineStr">
        <is>
          <t>Комплект №4 для ввода ОК</t>
        </is>
      </c>
      <c r="D45" s="344" t="inlineStr">
        <is>
          <t>шт.</t>
        </is>
      </c>
      <c r="E45" s="229" t="n">
        <v>8</v>
      </c>
      <c r="F45" s="257">
        <f>ROUND(I45/'Прил. 10'!D12,2)</f>
        <v/>
      </c>
      <c r="G45" s="257">
        <f>ROUND(F45*E45,2)</f>
        <v/>
      </c>
      <c r="H45" s="354">
        <f>G45/$G$62</f>
        <v/>
      </c>
      <c r="I45" s="257" t="n">
        <v>1320.61</v>
      </c>
      <c r="J45" s="257">
        <f>ROUND(I45*E45,2)</f>
        <v/>
      </c>
    </row>
    <row r="46" hidden="1" outlineLevel="1" ht="14.25" customFormat="1" customHeight="1" s="286">
      <c r="A46" s="344" t="n">
        <v>18</v>
      </c>
      <c r="B46" s="196" t="inlineStr">
        <is>
          <t>Прайс из СД ОП</t>
        </is>
      </c>
      <c r="C46" s="350" t="inlineStr">
        <is>
          <t>Муфта МПЗ</t>
        </is>
      </c>
      <c r="D46" s="344" t="inlineStr">
        <is>
          <t>шт.</t>
        </is>
      </c>
      <c r="E46" s="229" t="n">
        <v>2</v>
      </c>
      <c r="F46" s="257" t="n">
        <v>170.7</v>
      </c>
      <c r="G46" s="257">
        <f>ROUND(F46*E46,2)</f>
        <v/>
      </c>
      <c r="H46" s="354">
        <f>G46/$G$62</f>
        <v/>
      </c>
      <c r="I46" s="359">
        <f>ROUND(F46*'Прил. 10'!$D$12,2)</f>
        <v/>
      </c>
      <c r="J46" s="257">
        <f>ROUND(I46*E46,2)</f>
        <v/>
      </c>
    </row>
    <row r="47" hidden="1" outlineLevel="1" ht="25.5" customFormat="1" customHeight="1" s="286">
      <c r="A47" s="344" t="n">
        <v>19</v>
      </c>
      <c r="B47" s="196" t="inlineStr">
        <is>
          <t>14.4.02.07-0002</t>
        </is>
      </c>
      <c r="C47" s="350" t="inlineStr">
        <is>
          <t>Эмаль перхлорвиниловая фасадная ХВ-161</t>
        </is>
      </c>
      <c r="D47" s="344" t="inlineStr">
        <is>
          <t>т</t>
        </is>
      </c>
      <c r="E47" s="229" t="n">
        <v>0.02088</v>
      </c>
      <c r="F47" s="257" t="n">
        <v>15989</v>
      </c>
      <c r="G47" s="257">
        <f>ROUND(F47*E47,2)</f>
        <v/>
      </c>
      <c r="H47" s="354">
        <f>G47/$G$62</f>
        <v/>
      </c>
      <c r="I47" s="359">
        <f>ROUND(F47*'Прил. 10'!$D$12,2)</f>
        <v/>
      </c>
      <c r="J47" s="257">
        <f>ROUND(I47*E47,2)</f>
        <v/>
      </c>
    </row>
    <row r="48" hidden="1" outlineLevel="1" ht="25.5" customFormat="1" customHeight="1" s="286">
      <c r="A48" s="344" t="n">
        <v>20</v>
      </c>
      <c r="B48" s="196" t="inlineStr">
        <is>
          <t>999-9950</t>
        </is>
      </c>
      <c r="C48" s="350" t="inlineStr">
        <is>
          <t>Вспомогательные ненормируемые ресурсы (2% от Оплаты труда рабочих)</t>
        </is>
      </c>
      <c r="D48" s="344" t="inlineStr">
        <is>
          <t>руб</t>
        </is>
      </c>
      <c r="E48" s="344" t="n">
        <v>210.934561</v>
      </c>
      <c r="F48" s="257" t="n">
        <v>1</v>
      </c>
      <c r="G48" s="257">
        <f>ROUND(F48*E48,2)</f>
        <v/>
      </c>
      <c r="H48" s="354">
        <f>G48/$G$62</f>
        <v/>
      </c>
      <c r="I48" s="359">
        <f>ROUND(F48*'Прил. 10'!$D$12,2)</f>
        <v/>
      </c>
      <c r="J48" s="257">
        <f>ROUND(I48*E48,2)</f>
        <v/>
      </c>
    </row>
    <row r="49" hidden="1" outlineLevel="1" ht="25.5" customFormat="1" customHeight="1" s="286">
      <c r="A49" s="344" t="n">
        <v>21</v>
      </c>
      <c r="B49" s="196" t="inlineStr">
        <is>
          <t>10.3.02.03-0036</t>
        </is>
      </c>
      <c r="C49" s="350" t="inlineStr">
        <is>
          <t>Припои оловянно-свинцовые сурьмянистые, марка ПОССу 30-2</t>
        </is>
      </c>
      <c r="D49" s="344" t="inlineStr">
        <is>
          <t>т</t>
        </is>
      </c>
      <c r="E49" s="229" t="n">
        <v>0.00272</v>
      </c>
      <c r="F49" s="257" t="n">
        <v>63598.66</v>
      </c>
      <c r="G49" s="257">
        <f>ROUND(F49*E49,2)</f>
        <v/>
      </c>
      <c r="H49" s="354">
        <f>G49/$G$62</f>
        <v/>
      </c>
      <c r="I49" s="359">
        <f>ROUND(F49*'Прил. 10'!$D$12,2)</f>
        <v/>
      </c>
      <c r="J49" s="257">
        <f>ROUND(I49*E49,2)</f>
        <v/>
      </c>
    </row>
    <row r="50" hidden="1" outlineLevel="1" ht="14.25" customFormat="1" customHeight="1" s="286">
      <c r="A50" s="344" t="n">
        <v>22</v>
      </c>
      <c r="B50" s="196" t="inlineStr">
        <is>
          <t>14.2.04.03-0015</t>
        </is>
      </c>
      <c r="C50" s="350" t="inlineStr">
        <is>
          <t>Смола эпоксидная ЭД-20</t>
        </is>
      </c>
      <c r="D50" s="344" t="inlineStr">
        <is>
          <t>т</t>
        </is>
      </c>
      <c r="E50" s="229" t="n">
        <v>0.0027</v>
      </c>
      <c r="F50" s="257" t="n">
        <v>53562</v>
      </c>
      <c r="G50" s="257">
        <f>ROUND(F50*E50,2)</f>
        <v/>
      </c>
      <c r="H50" s="354">
        <f>G50/$G$62</f>
        <v/>
      </c>
      <c r="I50" s="359">
        <f>ROUND(F50*'Прил. 10'!$D$12,2)</f>
        <v/>
      </c>
      <c r="J50" s="257">
        <f>ROUND(I50*E50,2)</f>
        <v/>
      </c>
    </row>
    <row r="51" hidden="1" outlineLevel="1" ht="14.25" customFormat="1" customHeight="1" s="286">
      <c r="A51" s="344" t="n">
        <v>23</v>
      </c>
      <c r="B51" s="196" t="inlineStr">
        <is>
          <t>Прайс из СД ОП</t>
        </is>
      </c>
      <c r="C51" s="350" t="inlineStr">
        <is>
          <t>Комплект герметика для муфт МПЗ и МЧЗ</t>
        </is>
      </c>
      <c r="D51" s="344" t="inlineStr">
        <is>
          <t>компл.</t>
        </is>
      </c>
      <c r="E51" s="229" t="n">
        <v>2</v>
      </c>
      <c r="F51" s="257" t="n">
        <v>55.14</v>
      </c>
      <c r="G51" s="257">
        <f>ROUND(F51*E51,2)</f>
        <v/>
      </c>
      <c r="H51" s="354">
        <f>G51/$G$62</f>
        <v/>
      </c>
      <c r="I51" s="359">
        <f>ROUND(F51*'Прил. 10'!$D$12,2)</f>
        <v/>
      </c>
      <c r="J51" s="257">
        <f>ROUND(I51*E51,2)</f>
        <v/>
      </c>
    </row>
    <row r="52" hidden="1" outlineLevel="1" ht="14.25" customFormat="1" customHeight="1" s="286">
      <c r="A52" s="344" t="n">
        <v>24</v>
      </c>
      <c r="B52" s="196" t="inlineStr">
        <is>
          <t>14.4.01.01-0003</t>
        </is>
      </c>
      <c r="C52" s="350" t="inlineStr">
        <is>
          <t>Грунтовка ГФ-021</t>
        </is>
      </c>
      <c r="D52" s="344" t="inlineStr">
        <is>
          <t>т</t>
        </is>
      </c>
      <c r="E52" s="229" t="n">
        <v>0.00609</v>
      </c>
      <c r="F52" s="257" t="n">
        <v>15620</v>
      </c>
      <c r="G52" s="257">
        <f>ROUND(F52*E52,2)</f>
        <v/>
      </c>
      <c r="H52" s="354">
        <f>G52/$G$62</f>
        <v/>
      </c>
      <c r="I52" s="359">
        <f>ROUND(F52*'Прил. 10'!$D$12,2)</f>
        <v/>
      </c>
      <c r="J52" s="257">
        <f>ROUND(I52*E52,2)</f>
        <v/>
      </c>
    </row>
    <row r="53" hidden="1" outlineLevel="1" ht="14.25" customFormat="1" customHeight="1" s="286">
      <c r="A53" s="344" t="n">
        <v>25</v>
      </c>
      <c r="B53" s="196" t="inlineStr">
        <is>
          <t>01.3.01.01-0001</t>
        </is>
      </c>
      <c r="C53" s="350" t="inlineStr">
        <is>
          <t>Бензин авиационный Б-70</t>
        </is>
      </c>
      <c r="D53" s="344" t="inlineStr">
        <is>
          <t>т</t>
        </is>
      </c>
      <c r="E53" s="229" t="n">
        <v>0.0048</v>
      </c>
      <c r="F53" s="257" t="n">
        <v>4488.4</v>
      </c>
      <c r="G53" s="257">
        <f>ROUND(F53*E53,2)</f>
        <v/>
      </c>
      <c r="H53" s="354">
        <f>G53/$G$62</f>
        <v/>
      </c>
      <c r="I53" s="359">
        <f>ROUND(F53*'Прил. 10'!$D$12,2)</f>
        <v/>
      </c>
      <c r="J53" s="257">
        <f>ROUND(I53*E53,2)</f>
        <v/>
      </c>
    </row>
    <row r="54" hidden="1" outlineLevel="1" ht="25.5" customFormat="1" customHeight="1" s="286">
      <c r="A54" s="344" t="n">
        <v>26</v>
      </c>
      <c r="B54" s="196" t="inlineStr">
        <is>
          <t>12.2.03.12-0002</t>
        </is>
      </c>
      <c r="C54" s="350" t="inlineStr">
        <is>
          <t>Фольга алюминиевая для технических целей мягкая, рулонная, толщина 0,1 мм</t>
        </is>
      </c>
      <c r="D54" s="344" t="inlineStr">
        <is>
          <t>кг</t>
        </is>
      </c>
      <c r="E54" s="229" t="n">
        <v>0.4125</v>
      </c>
      <c r="F54" s="257" t="n">
        <v>35.49</v>
      </c>
      <c r="G54" s="257">
        <f>ROUND(F54*E54,2)</f>
        <v/>
      </c>
      <c r="H54" s="354">
        <f>G54/$G$62</f>
        <v/>
      </c>
      <c r="I54" s="359">
        <f>ROUND(F54*'Прил. 10'!$D$12,2)</f>
        <v/>
      </c>
      <c r="J54" s="257">
        <f>ROUND(I54*E54,2)</f>
        <v/>
      </c>
    </row>
    <row r="55" hidden="1" outlineLevel="1" ht="25.5" customFormat="1" customHeight="1" s="286">
      <c r="A55" s="344" t="n">
        <v>27</v>
      </c>
      <c r="B55" s="196" t="inlineStr">
        <is>
          <t>01.7.06.03-0004</t>
        </is>
      </c>
      <c r="C55" s="350" t="inlineStr">
        <is>
          <t>Лента поливинилхлоридная техническая с липким слоем, толщина 0,4 мм</t>
        </is>
      </c>
      <c r="D55" s="344" t="inlineStr">
        <is>
          <t>кг</t>
        </is>
      </c>
      <c r="E55" s="229" t="n">
        <v>0.624</v>
      </c>
      <c r="F55" s="257" t="n">
        <v>21.3</v>
      </c>
      <c r="G55" s="257">
        <f>ROUND(F55*E55,2)</f>
        <v/>
      </c>
      <c r="H55" s="354">
        <f>G55/$G$62</f>
        <v/>
      </c>
      <c r="I55" s="359">
        <f>ROUND(F55*'Прил. 10'!$D$12,2)</f>
        <v/>
      </c>
      <c r="J55" s="257">
        <f>ROUND(I55*E55,2)</f>
        <v/>
      </c>
    </row>
    <row r="56" hidden="1" outlineLevel="1" ht="14.25" customFormat="1" customHeight="1" s="286">
      <c r="A56" s="344" t="n">
        <v>28</v>
      </c>
      <c r="B56" s="196" t="inlineStr">
        <is>
          <t>01.3.05.38-0371</t>
        </is>
      </c>
      <c r="C56" s="350" t="inlineStr">
        <is>
          <t>Кислота стеариновая техническая</t>
        </is>
      </c>
      <c r="D56" s="344" t="inlineStr">
        <is>
          <t>кг</t>
        </is>
      </c>
      <c r="E56" s="229" t="n">
        <v>0.2</v>
      </c>
      <c r="F56" s="257" t="n">
        <v>16.8</v>
      </c>
      <c r="G56" s="257">
        <f>ROUND(F56*E56,2)</f>
        <v/>
      </c>
      <c r="H56" s="354">
        <f>G56/$G$62</f>
        <v/>
      </c>
      <c r="I56" s="359">
        <f>ROUND(F56*'Прил. 10'!$D$12,2)</f>
        <v/>
      </c>
      <c r="J56" s="257">
        <f>ROUND(I56*E56,2)</f>
        <v/>
      </c>
    </row>
    <row r="57" hidden="1" outlineLevel="1" ht="25.5" customFormat="1" customHeight="1" s="286">
      <c r="A57" s="344" t="n">
        <v>29</v>
      </c>
      <c r="B57" s="196" t="inlineStr">
        <is>
          <t>01.7.02.04-0001</t>
        </is>
      </c>
      <c r="C57" s="350" t="inlineStr">
        <is>
          <t>Бумага кабельная электроизоляционная, двухслойная</t>
        </is>
      </c>
      <c r="D57" s="344" t="inlineStr">
        <is>
          <t>кг</t>
        </is>
      </c>
      <c r="E57" s="229" t="n">
        <v>0.112</v>
      </c>
      <c r="F57" s="257" t="n">
        <v>21.32</v>
      </c>
      <c r="G57" s="257">
        <f>ROUND(F57*E57,2)</f>
        <v/>
      </c>
      <c r="H57" s="354">
        <f>G57/$G$62</f>
        <v/>
      </c>
      <c r="I57" s="359">
        <f>ROUND(F57*'Прил. 10'!$D$12,2)</f>
        <v/>
      </c>
      <c r="J57" s="257">
        <f>ROUND(I57*E57,2)</f>
        <v/>
      </c>
    </row>
    <row r="58" hidden="1" outlineLevel="1" ht="25.5" customFormat="1" customHeight="1" s="286">
      <c r="A58" s="344" t="n">
        <v>30</v>
      </c>
      <c r="B58" s="196" t="inlineStr">
        <is>
          <t>22.2.02.05-0001</t>
        </is>
      </c>
      <c r="C58" s="350" t="inlineStr">
        <is>
          <t>Кольца групповые полиэтиленовые, длина 8 мм, внутренний диаметр 4,6 мм</t>
        </is>
      </c>
      <c r="D58" s="344" t="inlineStr">
        <is>
          <t>1000 шт</t>
        </is>
      </c>
      <c r="E58" s="229" t="n">
        <v>0.07199999999999999</v>
      </c>
      <c r="F58" s="257" t="n">
        <v>30.1</v>
      </c>
      <c r="G58" s="257">
        <f>ROUND(F58*E58,2)</f>
        <v/>
      </c>
      <c r="H58" s="354">
        <f>G58/$G$62</f>
        <v/>
      </c>
      <c r="I58" s="359">
        <f>ROUND(F58*'Прил. 10'!$D$12,2)</f>
        <v/>
      </c>
      <c r="J58" s="257">
        <f>ROUND(I58*E58,2)</f>
        <v/>
      </c>
    </row>
    <row r="59" hidden="1" outlineLevel="1" ht="14.25" customFormat="1" customHeight="1" s="286">
      <c r="A59" s="344" t="n">
        <v>31</v>
      </c>
      <c r="B59" s="196" t="inlineStr">
        <is>
          <t>14.4.03.03-0102</t>
        </is>
      </c>
      <c r="C59" s="350" t="inlineStr">
        <is>
          <t>Лак битумный БТ-577</t>
        </is>
      </c>
      <c r="D59" s="344" t="inlineStr">
        <is>
          <t>т</t>
        </is>
      </c>
      <c r="E59" s="229" t="n">
        <v>0.00016</v>
      </c>
      <c r="F59" s="257" t="n">
        <v>9550.01</v>
      </c>
      <c r="G59" s="257">
        <f>ROUND(F59*E59,2)</f>
        <v/>
      </c>
      <c r="H59" s="354">
        <f>G59/$G$62</f>
        <v/>
      </c>
      <c r="I59" s="359">
        <f>ROUND(F59*'Прил. 10'!$D$12,2)</f>
        <v/>
      </c>
      <c r="J59" s="257">
        <f>ROUND(I59*E59,2)</f>
        <v/>
      </c>
    </row>
    <row r="60" hidden="1" outlineLevel="1" ht="14.25" customFormat="1" customHeight="1" s="286">
      <c r="A60" s="344" t="n">
        <v>32</v>
      </c>
      <c r="B60" s="196" t="inlineStr">
        <is>
          <t>01.3.05.17-0002</t>
        </is>
      </c>
      <c r="C60" s="350" t="inlineStr">
        <is>
          <t>Канифоль сосновая</t>
        </is>
      </c>
      <c r="D60" s="344" t="inlineStr">
        <is>
          <t>кг</t>
        </is>
      </c>
      <c r="E60" s="229" t="n">
        <v>0.024</v>
      </c>
      <c r="F60" s="257" t="n">
        <v>27.74</v>
      </c>
      <c r="G60" s="257">
        <f>ROUND(F60*E60,2)</f>
        <v/>
      </c>
      <c r="H60" s="354">
        <f>G60/$G$62</f>
        <v/>
      </c>
      <c r="I60" s="359">
        <f>ROUND(F60*'Прил. 10'!$D$12,2)</f>
        <v/>
      </c>
      <c r="J60" s="257">
        <f>ROUND(I60*E60,2)</f>
        <v/>
      </c>
    </row>
    <row r="61" collapsed="1" ht="14.25" customFormat="1" customHeight="1" s="286">
      <c r="A61" s="344" t="n"/>
      <c r="B61" s="344" t="n"/>
      <c r="C61" s="350" t="inlineStr">
        <is>
          <t>Итого прочие материалы</t>
        </is>
      </c>
      <c r="D61" s="344" t="n"/>
      <c r="E61" s="351" t="n"/>
      <c r="F61" s="352" t="n"/>
      <c r="G61" s="257">
        <f>SUM(G42:G60)</f>
        <v/>
      </c>
      <c r="H61" s="354">
        <f>G61/G62</f>
        <v/>
      </c>
      <c r="I61" s="257" t="n"/>
      <c r="J61" s="257">
        <f>SUM(J42:J60)</f>
        <v/>
      </c>
    </row>
    <row r="62" ht="14.25" customFormat="1" customHeight="1" s="286">
      <c r="A62" s="344" t="n"/>
      <c r="B62" s="344" t="n"/>
      <c r="C62" s="336" t="inlineStr">
        <is>
          <t>Итого по разделу «Материалы»</t>
        </is>
      </c>
      <c r="D62" s="344" t="n"/>
      <c r="E62" s="351" t="n"/>
      <c r="F62" s="352" t="n"/>
      <c r="G62" s="257">
        <f>G41+G61</f>
        <v/>
      </c>
      <c r="H62" s="354" t="n">
        <v>1</v>
      </c>
      <c r="I62" s="352" t="n"/>
      <c r="J62" s="257">
        <f>J41+J61</f>
        <v/>
      </c>
      <c r="K62" s="427" t="n"/>
    </row>
    <row r="63" ht="14.25" customFormat="1" customHeight="1" s="286">
      <c r="A63" s="344" t="n"/>
      <c r="B63" s="344" t="n"/>
      <c r="C63" s="350" t="inlineStr">
        <is>
          <t>ИТОГО ПО РМ</t>
        </is>
      </c>
      <c r="D63" s="344" t="n"/>
      <c r="E63" s="351" t="n"/>
      <c r="F63" s="352" t="n"/>
      <c r="G63" s="257">
        <f>G15+G30+G62</f>
        <v/>
      </c>
      <c r="H63" s="354" t="n"/>
      <c r="I63" s="352" t="n"/>
      <c r="J63" s="257">
        <f>J15+J30+J62</f>
        <v/>
      </c>
    </row>
    <row r="64" ht="14.25" customFormat="1" customHeight="1" s="286">
      <c r="A64" s="344" t="n"/>
      <c r="B64" s="344" t="n"/>
      <c r="C64" s="350" t="inlineStr">
        <is>
          <t>Накладные расходы</t>
        </is>
      </c>
      <c r="D64" s="344" t="inlineStr">
        <is>
          <t>%</t>
        </is>
      </c>
      <c r="E64" s="248">
        <f>ROUND(G64/(G15+G17),2)</f>
        <v/>
      </c>
      <c r="F64" s="352" t="n"/>
      <c r="G64" s="257" t="n">
        <v>16870.33</v>
      </c>
      <c r="H64" s="354" t="n"/>
      <c r="I64" s="352" t="n"/>
      <c r="J64" s="257">
        <f>ROUND(E64*(J15+J17),2)</f>
        <v/>
      </c>
      <c r="K64" s="249" t="n"/>
    </row>
    <row r="65" ht="14.25" customFormat="1" customHeight="1" s="286">
      <c r="A65" s="344" t="n"/>
      <c r="B65" s="344" t="n"/>
      <c r="C65" s="350" t="inlineStr">
        <is>
          <t>Сметная прибыль</t>
        </is>
      </c>
      <c r="D65" s="344" t="inlineStr">
        <is>
          <t>%</t>
        </is>
      </c>
      <c r="E65" s="248">
        <f>ROUND(G65/(G15+G17),2)</f>
        <v/>
      </c>
      <c r="F65" s="352" t="n"/>
      <c r="G65" s="257" t="n">
        <v>8868.889999999999</v>
      </c>
      <c r="H65" s="354" t="n"/>
      <c r="I65" s="352" t="n"/>
      <c r="J65" s="257">
        <f>ROUND(E65*(J15+J17),2)</f>
        <v/>
      </c>
      <c r="K65" s="249" t="n"/>
    </row>
    <row r="66" ht="14.25" customFormat="1" customHeight="1" s="286">
      <c r="A66" s="344" t="n"/>
      <c r="B66" s="344" t="n"/>
      <c r="C66" s="350" t="inlineStr">
        <is>
          <t>Итого СМР (с НР и СП)</t>
        </is>
      </c>
      <c r="D66" s="344" t="n"/>
      <c r="E66" s="351" t="n"/>
      <c r="F66" s="352" t="n"/>
      <c r="G66" s="257">
        <f>G15+G30+G62+G64+G65</f>
        <v/>
      </c>
      <c r="H66" s="354" t="n"/>
      <c r="I66" s="352" t="n"/>
      <c r="J66" s="257">
        <f>J15+J30+J62+J64+J65</f>
        <v/>
      </c>
      <c r="L66" s="250" t="n"/>
    </row>
    <row r="67" ht="14.25" customFormat="1" customHeight="1" s="286">
      <c r="A67" s="344" t="n"/>
      <c r="B67" s="344" t="n"/>
      <c r="C67" s="350" t="inlineStr">
        <is>
          <t>ВСЕГО СМР + ОБОРУДОВАНИЕ</t>
        </is>
      </c>
      <c r="D67" s="344" t="n"/>
      <c r="E67" s="351" t="n"/>
      <c r="F67" s="352" t="n"/>
      <c r="G67" s="257">
        <f>G66+G35</f>
        <v/>
      </c>
      <c r="H67" s="354" t="n"/>
      <c r="I67" s="352" t="n"/>
      <c r="J67" s="257">
        <f>J66+J35</f>
        <v/>
      </c>
      <c r="L67" s="249" t="n"/>
    </row>
    <row r="68" ht="14.25" customFormat="1" customHeight="1" s="286">
      <c r="A68" s="344" t="n"/>
      <c r="B68" s="344" t="n"/>
      <c r="C68" s="350" t="inlineStr">
        <is>
          <t>ИТОГО ПОКАЗАТЕЛЬ НА ЕД. ИЗМ.</t>
        </is>
      </c>
      <c r="D68" s="344" t="inlineStr">
        <is>
          <t>ед.</t>
        </is>
      </c>
      <c r="E68" s="229">
        <f>'Прил.1 Сравнит табл'!D15</f>
        <v/>
      </c>
      <c r="F68" s="352" t="n"/>
      <c r="G68" s="257">
        <f>G67/E68</f>
        <v/>
      </c>
      <c r="H68" s="354" t="n"/>
      <c r="I68" s="352" t="n"/>
      <c r="J68" s="257">
        <f>J67/E68</f>
        <v/>
      </c>
      <c r="L68" s="249" t="n"/>
    </row>
    <row r="70" ht="14.25" customFormat="1" customHeight="1" s="286">
      <c r="A70" s="284" t="n"/>
    </row>
    <row r="71" ht="14.25" customFormat="1" customHeight="1" s="286">
      <c r="A71" s="279" t="inlineStr">
        <is>
          <t>Составил ______________________       Е. М. Добровольская</t>
        </is>
      </c>
    </row>
    <row r="72" ht="14.25" customFormat="1" customHeight="1" s="286">
      <c r="A72" s="287" t="inlineStr">
        <is>
          <t xml:space="preserve">                         (подпись, инициалы, фамилия)</t>
        </is>
      </c>
    </row>
    <row r="73" ht="14.25" customFormat="1" customHeight="1" s="286">
      <c r="A73" s="279" t="n"/>
    </row>
    <row r="74" ht="14.25" customFormat="1" customHeight="1" s="286">
      <c r="A74" s="279" t="inlineStr">
        <is>
          <t>Проверил ______________________        А.В. Костянецкая</t>
        </is>
      </c>
    </row>
    <row r="75" ht="14.25" customFormat="1" customHeight="1" s="286">
      <c r="A75" s="287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2" min="1" max="1"/>
    <col width="14.85546875" customWidth="1" style="292" min="2" max="2"/>
    <col width="39.140625" customWidth="1" style="292" min="3" max="3"/>
    <col width="8.28515625" customWidth="1" style="292" min="4" max="4"/>
    <col width="13.5703125" customWidth="1" style="292" min="5" max="5"/>
    <col width="12.42578125" customWidth="1" style="292" min="6" max="6"/>
    <col width="14.140625" customWidth="1" style="292" min="7" max="7"/>
  </cols>
  <sheetData>
    <row r="1">
      <c r="A1" s="360" t="inlineStr">
        <is>
          <t>Приложение №6</t>
        </is>
      </c>
    </row>
    <row r="2" ht="21.75" customHeight="1" s="292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 ht="25.5" customHeight="1" s="292">
      <c r="A4" s="321">
        <f>'Прил.1 Сравнит табл'!B7</f>
        <v/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292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44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92">
      <c r="A9" s="208" t="n"/>
      <c r="B9" s="350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44" t="n"/>
      <c r="B10" s="336" t="n"/>
      <c r="C10" s="350" t="inlineStr">
        <is>
          <t>ИТОГО ИНЖЕНЕРНОЕ ОБОРУДОВАНИЕ</t>
        </is>
      </c>
      <c r="D10" s="336" t="n"/>
      <c r="E10" s="142" t="n"/>
      <c r="F10" s="352" t="n"/>
      <c r="G10" s="352" t="n">
        <v>0</v>
      </c>
    </row>
    <row r="11">
      <c r="A11" s="344" t="n"/>
      <c r="B11" s="350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44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2" t="n"/>
      <c r="G12" s="257" t="n">
        <v>0</v>
      </c>
    </row>
    <row r="13" ht="19.5" customHeight="1" s="292">
      <c r="A13" s="344" t="n"/>
      <c r="B13" s="350" t="n"/>
      <c r="C13" s="350" t="inlineStr">
        <is>
          <t>Всего по разделу «Оборудование»</t>
        </is>
      </c>
      <c r="D13" s="350" t="n"/>
      <c r="E13" s="359" t="n"/>
      <c r="F13" s="352" t="n"/>
      <c r="G13" s="257">
        <f>G10+G12</f>
        <v/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 Е. М. Добровольская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292" min="1" max="1"/>
    <col width="29.5703125" customWidth="1" style="292" min="2" max="2"/>
    <col width="39.140625" customWidth="1" style="292" min="3" max="3"/>
    <col width="48.140625" customWidth="1" style="292" min="4" max="4"/>
    <col width="8.85546875" customWidth="1" style="292" min="5" max="5"/>
  </cols>
  <sheetData>
    <row r="1">
      <c r="B1" s="279" t="n"/>
      <c r="C1" s="279" t="n"/>
      <c r="D1" s="360" t="inlineStr">
        <is>
          <t>Приложение №7</t>
        </is>
      </c>
    </row>
    <row r="2">
      <c r="A2" s="360" t="n"/>
      <c r="B2" s="360" t="n"/>
      <c r="C2" s="360" t="n"/>
      <c r="D2" s="360" t="n"/>
    </row>
    <row r="3" ht="24.75" customHeight="1" s="292">
      <c r="A3" s="318" t="inlineStr">
        <is>
          <t>Расчет показателя УНЦ</t>
        </is>
      </c>
    </row>
    <row r="4" ht="24.75" customHeight="1" s="292">
      <c r="A4" s="318" t="n"/>
      <c r="B4" s="318" t="n"/>
      <c r="C4" s="318" t="n"/>
      <c r="D4" s="318" t="n"/>
    </row>
    <row r="5" ht="24.6" customHeight="1" s="292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" customHeight="1" s="292">
      <c r="A6" s="321" t="inlineStr">
        <is>
          <t>Единица измерения  — 1 км</t>
        </is>
      </c>
      <c r="D6" s="321" t="n"/>
    </row>
    <row r="7">
      <c r="A7" s="279" t="n"/>
      <c r="B7" s="279" t="n"/>
      <c r="C7" s="279" t="n"/>
      <c r="D7" s="279" t="n"/>
    </row>
    <row r="8" ht="14.45" customHeight="1" s="292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2">
      <c r="A9" s="422" t="n"/>
      <c r="B9" s="422" t="n"/>
      <c r="C9" s="422" t="n"/>
      <c r="D9" s="422" t="n"/>
    </row>
    <row r="10">
      <c r="A10" s="344" t="n">
        <v>1</v>
      </c>
      <c r="B10" s="344" t="n">
        <v>2</v>
      </c>
      <c r="C10" s="344" t="n">
        <v>3</v>
      </c>
      <c r="D10" s="344" t="n">
        <v>4</v>
      </c>
    </row>
    <row r="11" ht="41.45" customHeight="1" s="292">
      <c r="A11" s="344" t="inlineStr">
        <is>
          <t>О4-04-1</t>
        </is>
      </c>
      <c r="B11" s="344" t="inlineStr">
        <is>
          <t>УНЦ ВОК в трубе в земле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Е. М. Добровольская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0" zoomScale="60" zoomScaleNormal="100" workbookViewId="0">
      <selection activeCell="B26" sqref="B26"/>
    </sheetView>
  </sheetViews>
  <sheetFormatPr baseColWidth="8" defaultRowHeight="15"/>
  <cols>
    <col width="40.7109375" customWidth="1" style="292" min="2" max="2"/>
    <col width="37" customWidth="1" style="292" min="3" max="3"/>
    <col width="32" customWidth="1" style="292" min="4" max="4"/>
  </cols>
  <sheetData>
    <row r="4" ht="15.75" customHeight="1" s="292">
      <c r="B4" s="326" t="inlineStr">
        <is>
          <t>Приложение № 10</t>
        </is>
      </c>
    </row>
    <row r="5" ht="18.75" customHeight="1" s="292">
      <c r="B5" s="171" t="n"/>
    </row>
    <row r="6" ht="15.75" customHeight="1" s="292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2">
      <c r="B7" s="187" t="n"/>
    </row>
    <row r="8" ht="47.25" customHeight="1" s="292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2">
      <c r="B9" s="332" t="n">
        <v>1</v>
      </c>
      <c r="C9" s="332" t="n">
        <v>2</v>
      </c>
      <c r="D9" s="332" t="n">
        <v>3</v>
      </c>
    </row>
    <row r="10" ht="45" customHeight="1" s="292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2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2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2">
      <c r="B13" s="332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332" t="n">
        <v>6.26</v>
      </c>
    </row>
    <row r="14" ht="89.45" customHeight="1" s="292">
      <c r="B14" s="332" t="inlineStr">
        <is>
          <t>Временные здания и сооружения</t>
        </is>
      </c>
      <c r="C14" s="3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289" t="n">
        <v>0.039</v>
      </c>
    </row>
    <row r="15" ht="78.75" customHeight="1" s="292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89" t="n">
        <v>0.021</v>
      </c>
    </row>
    <row r="16" ht="15.75" customHeight="1" s="292">
      <c r="B16" s="332" t="inlineStr">
        <is>
          <t>Пусконаладочные работы</t>
        </is>
      </c>
      <c r="C16" s="332" t="n"/>
      <c r="D16" s="332" t="inlineStr">
        <is>
          <t>расчет</t>
        </is>
      </c>
    </row>
    <row r="17" ht="31.7" customHeight="1" s="292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89" t="n">
        <v>0.0214</v>
      </c>
    </row>
    <row r="18" ht="31.7" customHeight="1" s="292">
      <c r="B18" s="332" t="inlineStr">
        <is>
          <t>Авторский надзор</t>
        </is>
      </c>
      <c r="C18" s="332" t="inlineStr">
        <is>
          <t>Приказ от 4.08.2020 № 421/пр п.173</t>
        </is>
      </c>
      <c r="D18" s="289" t="n">
        <v>0.002</v>
      </c>
    </row>
    <row r="19" ht="24" customHeight="1" s="292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89" t="n">
        <v>0.03</v>
      </c>
    </row>
    <row r="20" ht="18.75" customHeight="1" s="292">
      <c r="B20" s="187" t="n"/>
    </row>
    <row r="21" ht="18.75" customHeight="1" s="292">
      <c r="B21" s="187" t="n"/>
    </row>
    <row r="22" ht="18.75" customHeight="1" s="292">
      <c r="B22" s="187" t="n"/>
    </row>
    <row r="23" ht="18.75" customHeight="1" s="292">
      <c r="B23" s="187" t="n"/>
    </row>
    <row r="26">
      <c r="B26" s="279" t="inlineStr">
        <is>
          <t>Составил ______________________        Е. М. Добровольская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53.7109375" bestFit="1" customWidth="1" style="292" min="6" max="6"/>
  </cols>
  <sheetData>
    <row r="1" s="292"/>
    <row r="2" ht="17.25" customHeight="1" s="292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315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315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2" t="n"/>
      <c r="D10" s="332" t="n"/>
      <c r="E10" s="304" t="n">
        <v>4.2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305" t="n">
        <v>1.38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292">
      <c r="A12" s="30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310" t="inlineStr">
        <is>
          <t>Кинф</t>
        </is>
      </c>
      <c r="D12" s="310" t="inlineStr">
        <is>
          <t>-</t>
        </is>
      </c>
      <c r="E12" s="407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412" t="inlineStr">
        <is>
          <t>1.7</t>
        </is>
      </c>
      <c r="B13" s="413" t="inlineStr">
        <is>
          <t>Размер средств на оплату труда рабочих-строителей в текущем уровне цен (ФОТр.тек.), руб/чел.-ч</t>
        </is>
      </c>
      <c r="C13" s="414" t="inlineStr">
        <is>
          <t>ФОТр.тек.</t>
        </is>
      </c>
      <c r="D13" s="414" t="inlineStr">
        <is>
          <t>(С1ср/tср*КТ*Т*Кув)*Кинф</t>
        </is>
      </c>
      <c r="E13" s="415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  <row r="14" ht="15.75" customHeight="1" s="292">
      <c r="A14" s="409" t="n"/>
      <c r="B14" s="410" t="inlineStr">
        <is>
          <t>Инженер I категории</t>
        </is>
      </c>
      <c r="C14" s="410" t="n"/>
      <c r="D14" s="410" t="n"/>
      <c r="E14" s="410" t="n"/>
      <c r="F14" s="411" t="n"/>
    </row>
    <row r="15" ht="110.25" customHeight="1" s="292">
      <c r="A15" s="296" t="inlineStr">
        <is>
          <t>1.1</t>
        </is>
      </c>
      <c r="B15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2" t="inlineStr">
        <is>
          <t>С1ср</t>
        </is>
      </c>
      <c r="D15" s="332" t="inlineStr">
        <is>
          <t>-</t>
        </is>
      </c>
      <c r="E15" s="299" t="n">
        <v>47872.94</v>
      </c>
      <c r="F15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15" t="n"/>
    </row>
    <row r="16" ht="31.5" customHeight="1" s="292">
      <c r="A16" s="296" t="inlineStr">
        <is>
          <t>1.2</t>
        </is>
      </c>
      <c r="B16" s="301" t="inlineStr">
        <is>
          <t>Среднегодовое нормативное число часов работы одного рабочего в месяц, часы (ч.)</t>
        </is>
      </c>
      <c r="C16" s="332" t="inlineStr">
        <is>
          <t>tср</t>
        </is>
      </c>
      <c r="D16" s="332" t="inlineStr">
        <is>
          <t>1973ч/12мес.</t>
        </is>
      </c>
      <c r="E16" s="300">
        <f>1973/12</f>
        <v/>
      </c>
      <c r="F16" s="301" t="inlineStr">
        <is>
          <t>Производственный календарь 2023 год
(40-часов.неделя)</t>
        </is>
      </c>
      <c r="G16" s="303" t="n"/>
    </row>
    <row r="17" ht="15.75" customHeight="1" s="292">
      <c r="A17" s="296" t="inlineStr">
        <is>
          <t>1.3</t>
        </is>
      </c>
      <c r="B17" s="301" t="inlineStr">
        <is>
          <t>Коэффициент увеличения</t>
        </is>
      </c>
      <c r="C17" s="332" t="inlineStr">
        <is>
          <t>Кув</t>
        </is>
      </c>
      <c r="D17" s="332" t="inlineStr">
        <is>
          <t>-</t>
        </is>
      </c>
      <c r="E17" s="300" t="n">
        <v>1</v>
      </c>
      <c r="F17" s="301" t="n"/>
      <c r="G17" s="303" t="n"/>
    </row>
    <row r="18" ht="15.75" customHeight="1" s="292">
      <c r="A18" s="296" t="inlineStr">
        <is>
          <t>1.4</t>
        </is>
      </c>
      <c r="B18" s="301" t="inlineStr">
        <is>
          <t>Средний разряд работ</t>
        </is>
      </c>
      <c r="C18" s="332" t="n"/>
      <c r="D18" s="332" t="n"/>
      <c r="E18" s="304" t="inlineStr">
        <is>
          <t>Инженер I категории</t>
        </is>
      </c>
      <c r="F18" s="301" t="inlineStr">
        <is>
          <t>РТМ</t>
        </is>
      </c>
      <c r="G18" s="303" t="n"/>
    </row>
    <row r="19" ht="78.75" customHeight="1" s="292">
      <c r="A19" s="309" t="inlineStr">
        <is>
          <t>1.5</t>
        </is>
      </c>
      <c r="B19" s="311" t="inlineStr">
        <is>
          <t>Тарифный коэффициент среднего разряда работ</t>
        </is>
      </c>
      <c r="C19" s="310" t="inlineStr">
        <is>
          <t>КТ</t>
        </is>
      </c>
      <c r="D19" s="310" t="inlineStr">
        <is>
          <t>-</t>
        </is>
      </c>
      <c r="E19" s="312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15" t="n"/>
    </row>
    <row r="20" ht="78.75" customHeight="1" s="292">
      <c r="A20" s="296" t="inlineStr">
        <is>
          <t>1.6</t>
        </is>
      </c>
      <c r="B20" s="306" t="inlineStr">
        <is>
          <t>Коэффициент инфляции, определяемый поквартально</t>
        </is>
      </c>
      <c r="C20" s="332" t="inlineStr">
        <is>
          <t>Кинф</t>
        </is>
      </c>
      <c r="D20" s="332" t="inlineStr">
        <is>
          <t>-</t>
        </is>
      </c>
      <c r="E20" s="307" t="n">
        <v>1.139</v>
      </c>
      <c r="F20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2">
      <c r="A21" s="296" t="inlineStr">
        <is>
          <t>1.7</t>
        </is>
      </c>
      <c r="B21" s="313" t="inlineStr">
        <is>
          <t>Размер средств на оплату труда рабочих-строителей в текущем уровне цен (ФОТр.тек.), руб/чел.-ч</t>
        </is>
      </c>
      <c r="C21" s="332" t="inlineStr">
        <is>
          <t>ФОТр.тек.</t>
        </is>
      </c>
      <c r="D21" s="332" t="inlineStr">
        <is>
          <t>(С1ср/tср*КТ*Т*Кув)*Кинф</t>
        </is>
      </c>
      <c r="E21" s="314">
        <f>((E15*E17/E16)*E19)*E20</f>
        <v/>
      </c>
      <c r="F21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2025-01-24T12:13:09Z</dcterms:modified>
  <cp:lastModifiedBy>User1</cp:lastModifiedBy>
  <cp:lastPrinted>2023-11-30T12:47:15Z</cp:lastPrinted>
</cp:coreProperties>
</file>