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85" yWindow="3285" windowWidth="16020" windowHeight="11325" tabRatio="891" firstSheet="2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qs2">#REF!</definedName>
    <definedName name="__qs3">#REF!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'Прил. 3'!$A$2</definedName>
    <definedName name="_xlnm.Print_Titles" localSheetId="2">'Прил. 3'!$9:$11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Titles" localSheetId="8">'ФОТр.тек.'!$5:$6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.00_-;\-* #,##0.00_-;_-* &quot;-&quot;??_-;_-@_-"/>
    <numFmt numFmtId="165" formatCode="#,##0.0"/>
    <numFmt numFmtId="166" formatCode="#,##0.000"/>
    <numFmt numFmtId="167" formatCode="#,##0.0000"/>
    <numFmt numFmtId="168" formatCode="#,##0.00000"/>
    <numFmt numFmtId="169" formatCode="0.0000"/>
    <numFmt numFmtId="170" formatCode="0.000"/>
    <numFmt numFmtId="171" formatCode="0.0"/>
  </numFmts>
  <fonts count="22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Calibri"/>
      <b val="1"/>
      <color rgb="FF000000"/>
      <sz val="12"/>
    </font>
    <font>
      <name val="Arial"/>
      <color rgb="FFFF0000"/>
      <sz val="11"/>
    </font>
    <font>
      <name val="Arial"/>
      <b val="1"/>
      <color rgb="FF000000"/>
      <sz val="11"/>
    </font>
    <font>
      <name val="Arial"/>
      <color rgb="FFC00000"/>
      <sz val="11"/>
    </font>
    <font>
      <name val="Calibri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7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8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/>
    </xf>
    <xf numFmtId="0" fontId="9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0" fillId="0" borderId="0" applyAlignment="1" pivotButton="0" quotePrefix="0" xfId="0">
      <alignment vertical="center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9" fontId="1" fillId="0" borderId="0" pivotButton="0" quotePrefix="0" xfId="0"/>
    <xf numFmtId="0" fontId="11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" fontId="9" fillId="0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wrapText="1"/>
    </xf>
    <xf numFmtId="49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 wrapText="1"/>
    </xf>
    <xf numFmtId="0" fontId="9" fillId="0" borderId="5" applyAlignment="1" pivotButton="0" quotePrefix="0" xfId="0">
      <alignment horizontal="justify" vertical="center" wrapText="1"/>
    </xf>
    <xf numFmtId="2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top"/>
    </xf>
    <xf numFmtId="0" fontId="13" fillId="0" borderId="0" pivotButton="0" quotePrefix="0" xfId="0"/>
    <xf numFmtId="0" fontId="9" fillId="0" borderId="1" applyAlignment="1" pivotButton="0" quotePrefix="0" xfId="0">
      <alignment vertical="top"/>
    </xf>
    <xf numFmtId="49" fontId="9" fillId="0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vertical="top" wrapText="1"/>
    </xf>
    <xf numFmtId="4" fontId="9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14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horizontal="center" vertical="top" wrapText="1"/>
    </xf>
    <xf numFmtId="4" fontId="9" fillId="0" borderId="0" applyAlignment="1" pivotButton="0" quotePrefix="0" xfId="0">
      <alignment horizontal="left"/>
    </xf>
    <xf numFmtId="0" fontId="9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70" fontId="9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2" fontId="9" fillId="0" borderId="1" applyAlignment="1" pivotButton="0" quotePrefix="0" xfId="0">
      <alignment horizontal="center" vertical="center" wrapText="1"/>
    </xf>
    <xf numFmtId="14" fontId="9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4" fontId="9" fillId="0" borderId="1" applyAlignment="1" pivotButton="0" quotePrefix="1" xfId="0">
      <alignment horizontal="center" vertical="center"/>
    </xf>
    <xf numFmtId="171" fontId="9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" fontId="9" fillId="0" borderId="0" pivotButton="0" quotePrefix="0" xfId="0"/>
    <xf numFmtId="4" fontId="16" fillId="0" borderId="0" pivotButton="0" quotePrefix="0" xfId="0"/>
    <xf numFmtId="4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top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10" fillId="0" borderId="0" applyAlignment="1" pivotButton="0" quotePrefix="0" xfId="0">
      <alignment vertical="center"/>
    </xf>
    <xf numFmtId="0" fontId="9" fillId="0" borderId="1" applyAlignment="1" pivotButton="0" quotePrefix="0" xfId="0">
      <alignment vertical="top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49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 wrapText="1"/>
    </xf>
    <xf numFmtId="0" fontId="0" fillId="0" borderId="3" applyAlignment="1" pivotButton="0" quotePrefix="0" xfId="0">
      <alignment horizontal="center" vertical="center" wrapText="1"/>
    </xf>
    <xf numFmtId="169" fontId="0" fillId="2" borderId="3" applyAlignment="1" pivotButton="0" quotePrefix="0" xfId="0">
      <alignment horizontal="center" vertical="center"/>
    </xf>
    <xf numFmtId="0" fontId="0" fillId="0" borderId="3" applyAlignment="1" pivotButton="0" quotePrefix="0" xfId="0">
      <alignment wrapText="1"/>
    </xf>
    <xf numFmtId="49" fontId="0" fillId="0" borderId="15" applyAlignment="1" pivotButton="0" quotePrefix="0" xfId="0">
      <alignment horizontal="center" vertical="center"/>
    </xf>
    <xf numFmtId="0" fontId="7" fillId="0" borderId="15" applyAlignment="1" pivotButton="0" quotePrefix="0" xfId="0">
      <alignment vertical="center" wrapText="1"/>
    </xf>
    <xf numFmtId="0" fontId="0" fillId="0" borderId="15" applyAlignment="1" pivotButton="0" quotePrefix="0" xfId="0">
      <alignment horizontal="center" vertical="center" wrapText="1"/>
    </xf>
    <xf numFmtId="4" fontId="7" fillId="0" borderId="15" applyAlignment="1" pivotButton="0" quotePrefix="0" xfId="0">
      <alignment horizontal="center" vertical="center"/>
    </xf>
    <xf numFmtId="0" fontId="0" fillId="0" borderId="1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center" vertical="center" wrapText="1"/>
    </xf>
    <xf numFmtId="0" fontId="19" fillId="0" borderId="6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19" fillId="0" borderId="8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19" fillId="0" borderId="9" applyAlignment="1" pivotButton="0" quotePrefix="0" xfId="0">
      <alignment horizontal="center" vertical="center" wrapText="1"/>
    </xf>
    <xf numFmtId="0" fontId="19" fillId="0" borderId="10" applyAlignment="1" pivotButton="0" quotePrefix="0" xfId="0">
      <alignment horizontal="center" vertical="center" wrapText="1"/>
    </xf>
    <xf numFmtId="0" fontId="19" fillId="0" borderId="11" applyAlignment="1" pivotButton="0" quotePrefix="0" xfId="0">
      <alignment horizontal="center" vertical="center" wrapText="1"/>
    </xf>
    <xf numFmtId="0" fontId="19" fillId="0" borderId="12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170" fontId="9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6" pivotButton="0" quotePrefix="0" xfId="0"/>
    <xf numFmtId="0" fontId="0" fillId="0" borderId="2" pivotButton="0" quotePrefix="0" xfId="0"/>
    <xf numFmtId="0" fontId="19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171" fontId="9" fillId="0" borderId="0" pivotButton="0" quotePrefix="0" xfId="0"/>
    <xf numFmtId="164" fontId="0" fillId="0" borderId="0" pivotButton="0" quotePrefix="0" xfId="0"/>
    <xf numFmtId="164" fontId="1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169" fontId="1" fillId="0" borderId="0" pivotButton="0" quotePrefix="0" xfId="0"/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9" fontId="0" fillId="2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I35"/>
  <sheetViews>
    <sheetView view="pageBreakPreview" topLeftCell="A11" zoomScale="60" zoomScaleNormal="85" workbookViewId="0">
      <selection activeCell="D29" sqref="D29"/>
    </sheetView>
  </sheetViews>
  <sheetFormatPr baseColWidth="8" defaultRowHeight="15.75"/>
  <cols>
    <col width="9.140625" customWidth="1" style="121" min="1" max="2"/>
    <col width="36.85546875" customWidth="1" style="121" min="3" max="3"/>
    <col width="36.5703125" customWidth="1" style="121" min="4" max="4"/>
    <col width="14.28515625" customWidth="1" style="183" min="5" max="5"/>
    <col width="12.140625" customWidth="1" style="183" min="6" max="6"/>
    <col width="12.28515625" customWidth="1" style="183" min="7" max="7"/>
    <col width="15" customWidth="1" style="183" min="8" max="8"/>
    <col width="9.140625" customWidth="1" style="183" min="9" max="9"/>
  </cols>
  <sheetData>
    <row r="1">
      <c r="E1" s="121" t="n"/>
      <c r="F1" s="121" t="n"/>
      <c r="G1" s="121" t="n"/>
      <c r="H1" s="121" t="n"/>
      <c r="I1" s="121" t="n"/>
    </row>
    <row r="2">
      <c r="E2" s="121" t="n"/>
      <c r="F2" s="121" t="n"/>
      <c r="G2" s="121" t="n"/>
      <c r="H2" s="121" t="n"/>
      <c r="I2" s="121" t="n"/>
    </row>
    <row r="3">
      <c r="B3" s="215" t="inlineStr">
        <is>
          <t>Приложение № 1</t>
        </is>
      </c>
      <c r="E3" s="121" t="n"/>
      <c r="F3" s="121" t="n"/>
      <c r="G3" s="121" t="n"/>
      <c r="H3" s="121" t="n"/>
      <c r="I3" s="121" t="n"/>
    </row>
    <row r="4">
      <c r="B4" s="216" t="inlineStr">
        <is>
          <t>Сравнительная таблица отбора объекта-представителя</t>
        </is>
      </c>
      <c r="E4" s="121" t="n"/>
      <c r="F4" s="121" t="n"/>
      <c r="G4" s="121" t="n"/>
      <c r="H4" s="121" t="n"/>
      <c r="I4" s="121" t="n"/>
    </row>
    <row r="5" ht="66.2" customHeight="1" s="183">
      <c r="B5" s="2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121" t="n"/>
      <c r="F5" s="121" t="n"/>
      <c r="G5" s="121" t="n"/>
      <c r="H5" s="121" t="n"/>
      <c r="I5" s="121" t="n"/>
    </row>
    <row r="6">
      <c r="B6" s="122" t="n"/>
      <c r="C6" s="122" t="n"/>
      <c r="D6" s="122" t="n"/>
      <c r="E6" s="121" t="n"/>
      <c r="F6" s="121" t="n"/>
      <c r="G6" s="121" t="n"/>
      <c r="H6" s="121" t="n"/>
      <c r="I6" s="121" t="n"/>
    </row>
    <row r="7" ht="57.2" customHeight="1" s="183">
      <c r="B7" s="214">
        <f>_xlfn.CONCAT(TEXT('Прил.5 Расчет СМР и ОБ'!A6,0)," - ",TEXT('Прил.5 Расчет СМР и ОБ'!D6,0))</f>
        <v/>
      </c>
      <c r="E7" s="123" t="n"/>
      <c r="F7" s="121" t="n"/>
      <c r="G7" s="121" t="n"/>
      <c r="H7" s="121" t="n"/>
      <c r="I7" s="121" t="n"/>
    </row>
    <row r="8" ht="15.75" customHeight="1" s="183">
      <c r="B8" s="120" t="inlineStr">
        <is>
          <t xml:space="preserve">Сопоставимый уровень цен: </t>
        </is>
      </c>
      <c r="C8" s="120" t="n"/>
      <c r="D8" s="219" t="n"/>
      <c r="E8" s="121" t="n"/>
      <c r="F8" s="121" t="n"/>
      <c r="G8" s="121" t="n"/>
      <c r="H8" s="121" t="n"/>
      <c r="I8" s="121" t="n"/>
    </row>
    <row r="9" ht="15.75" customHeight="1" s="183">
      <c r="B9" s="214" t="inlineStr">
        <is>
          <t>Единица измерения  — 1 км</t>
        </is>
      </c>
      <c r="E9" s="123" t="n"/>
      <c r="F9" s="121" t="n"/>
      <c r="G9" s="121" t="n"/>
      <c r="H9" s="121" t="n"/>
      <c r="I9" s="121" t="n"/>
    </row>
    <row r="10">
      <c r="B10" s="214" t="n"/>
      <c r="E10" s="121" t="n"/>
      <c r="F10" s="121" t="n"/>
      <c r="G10" s="121" t="n"/>
      <c r="H10" s="121" t="n"/>
      <c r="I10" s="121" t="n"/>
    </row>
    <row r="11">
      <c r="B11" s="220" t="inlineStr">
        <is>
          <t>№ п/п</t>
        </is>
      </c>
      <c r="C11" s="220" t="inlineStr">
        <is>
          <t>Параметр</t>
        </is>
      </c>
      <c r="D11" s="220" t="inlineStr">
        <is>
          <t>Объект-представитель 1</t>
        </is>
      </c>
      <c r="E11" s="123" t="n"/>
      <c r="F11" s="121" t="n"/>
      <c r="G11" s="121" t="n"/>
      <c r="H11" s="121" t="n"/>
      <c r="I11" s="121" t="n"/>
    </row>
    <row r="12" ht="85.7" customHeight="1" s="183">
      <c r="B12" s="220" t="n">
        <v>1</v>
      </c>
      <c r="C12" s="124" t="inlineStr">
        <is>
          <t>Наименование объекта-представителя</t>
        </is>
      </c>
      <c r="D12" s="220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  <c r="E12" s="121" t="n"/>
      <c r="F12" s="121" t="n"/>
      <c r="G12" s="121" t="n"/>
      <c r="H12" s="121" t="n"/>
      <c r="I12" s="121" t="n"/>
    </row>
    <row r="13" ht="31.7" customHeight="1" s="183">
      <c r="B13" s="220" t="n">
        <v>2</v>
      </c>
      <c r="C13" s="124" t="inlineStr">
        <is>
          <t>Наименование субъекта Российской Федерации</t>
        </is>
      </c>
      <c r="D13" s="220" t="inlineStr">
        <is>
          <t>Забайкальский край, Газимуро-Заводский район</t>
        </is>
      </c>
      <c r="E13" s="121" t="n"/>
      <c r="F13" s="121" t="n"/>
      <c r="G13" s="121" t="n"/>
      <c r="H13" s="121" t="n"/>
      <c r="I13" s="121" t="n"/>
    </row>
    <row r="14">
      <c r="B14" s="220" t="n">
        <v>3</v>
      </c>
      <c r="C14" s="124" t="inlineStr">
        <is>
          <t>Климатический район и подрайон</t>
        </is>
      </c>
      <c r="D14" s="220" t="inlineStr">
        <is>
          <t>I / I В</t>
        </is>
      </c>
      <c r="E14" s="121" t="n"/>
      <c r="F14" s="121" t="n"/>
      <c r="G14" s="121" t="n"/>
      <c r="H14" s="121" t="n"/>
      <c r="I14" s="121" t="n"/>
    </row>
    <row r="15">
      <c r="B15" s="220" t="n">
        <v>4</v>
      </c>
      <c r="C15" s="124" t="inlineStr">
        <is>
          <t>Мощность объекта</t>
        </is>
      </c>
      <c r="D15" s="220" t="n">
        <v>1</v>
      </c>
      <c r="E15" s="121" t="n"/>
      <c r="F15" s="121" t="n"/>
      <c r="G15" s="121" t="n"/>
      <c r="H15" s="121" t="n"/>
      <c r="I15" s="121" t="n"/>
    </row>
    <row r="16" ht="100.5" customHeight="1" s="183">
      <c r="B16" s="220" t="n">
        <v>5</v>
      </c>
      <c r="C16" s="12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0" t="inlineStr">
        <is>
          <t>Труба для прокладки ВОК в земле, 1000 м
Плита композитная защитная</t>
        </is>
      </c>
      <c r="E16" s="121" t="n"/>
      <c r="F16" s="121" t="n"/>
      <c r="G16" s="121" t="n"/>
      <c r="H16" s="121" t="n"/>
      <c r="I16" s="121" t="n"/>
    </row>
    <row r="17" ht="82.5" customHeight="1" s="183">
      <c r="B17" s="220" t="n">
        <v>6</v>
      </c>
      <c r="C17" s="12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6" t="n"/>
      <c r="E17" s="127" t="n"/>
      <c r="F17" s="121" t="n"/>
      <c r="G17" s="121" t="n"/>
      <c r="H17" s="121" t="n"/>
      <c r="I17" s="121" t="n"/>
    </row>
    <row r="18">
      <c r="B18" s="128" t="inlineStr">
        <is>
          <t>6.1</t>
        </is>
      </c>
      <c r="C18" s="124" t="inlineStr">
        <is>
          <t>строительно-монтажные работы</t>
        </is>
      </c>
      <c r="D18" s="126" t="n"/>
      <c r="E18" s="121" t="n"/>
      <c r="F18" s="121" t="n"/>
      <c r="G18" s="121" t="n"/>
      <c r="H18" s="121" t="n"/>
      <c r="I18" s="121" t="n"/>
    </row>
    <row r="19">
      <c r="B19" s="128" t="inlineStr">
        <is>
          <t>6.2</t>
        </is>
      </c>
      <c r="C19" s="124" t="inlineStr">
        <is>
          <t>оборудование и инвентарь</t>
        </is>
      </c>
      <c r="D19" s="126" t="n"/>
      <c r="E19" s="121" t="n"/>
      <c r="F19" s="121" t="n"/>
      <c r="G19" s="121" t="n"/>
      <c r="H19" s="121" t="n"/>
      <c r="I19" s="121" t="n"/>
    </row>
    <row r="20">
      <c r="B20" s="128" t="inlineStr">
        <is>
          <t>6.3</t>
        </is>
      </c>
      <c r="C20" s="124" t="inlineStr">
        <is>
          <t>пусконаладочные работы</t>
        </is>
      </c>
      <c r="D20" s="126" t="n"/>
      <c r="E20" s="121" t="n"/>
      <c r="F20" s="121" t="n"/>
      <c r="G20" s="121" t="n"/>
      <c r="H20" s="121" t="n"/>
      <c r="I20" s="121" t="n"/>
    </row>
    <row r="21" ht="31.5" customHeight="1" s="183">
      <c r="B21" s="128" t="inlineStr">
        <is>
          <t>6.4</t>
        </is>
      </c>
      <c r="C21" s="129" t="inlineStr">
        <is>
          <t>прочие и лимитированные затраты</t>
        </is>
      </c>
      <c r="D21" s="260" t="n"/>
      <c r="E21" s="121" t="n"/>
      <c r="F21" s="121" t="n"/>
      <c r="G21" s="121" t="n"/>
      <c r="H21" s="121" t="n"/>
      <c r="I21" s="121" t="n"/>
    </row>
    <row r="22">
      <c r="B22" s="220" t="n">
        <v>7</v>
      </c>
      <c r="C22" s="129" t="inlineStr">
        <is>
          <t>Сопоставимый уровень цен</t>
        </is>
      </c>
      <c r="D22" s="220" t="n"/>
      <c r="E22" s="127" t="n"/>
      <c r="F22" s="121" t="n"/>
      <c r="G22" s="121" t="n"/>
      <c r="H22" s="121" t="n"/>
      <c r="I22" s="121" t="n"/>
    </row>
    <row r="23" ht="119.25" customHeight="1" s="183">
      <c r="B23" s="220" t="n">
        <v>8</v>
      </c>
      <c r="C23" s="1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7" t="n"/>
      <c r="E23" s="121" t="n"/>
      <c r="F23" s="121" t="n"/>
      <c r="G23" s="121" t="n"/>
      <c r="H23" s="121" t="n"/>
      <c r="I23" s="121" t="n"/>
    </row>
    <row r="24" ht="47.25" customHeight="1" s="183">
      <c r="B24" s="220" t="n">
        <v>9</v>
      </c>
      <c r="C24" s="125" t="inlineStr">
        <is>
          <t>Приведенная сметная стоимость на единицу мощности, тыс. руб. (строка 8/строку 4)</t>
        </is>
      </c>
      <c r="D24" s="157" t="n"/>
      <c r="E24" s="127" t="n"/>
      <c r="F24" s="121" t="n"/>
      <c r="G24" s="121" t="n"/>
      <c r="H24" s="121" t="n"/>
      <c r="I24" s="121" t="n"/>
    </row>
    <row r="25">
      <c r="B25" s="220" t="n">
        <v>10</v>
      </c>
      <c r="C25" s="124" t="inlineStr">
        <is>
          <t>Примечание</t>
        </is>
      </c>
      <c r="D25" s="124" t="n"/>
      <c r="E25" s="121" t="n"/>
      <c r="F25" s="121" t="n"/>
      <c r="G25" s="121" t="n"/>
      <c r="H25" s="121" t="n"/>
      <c r="I25" s="121" t="n"/>
    </row>
    <row r="26">
      <c r="B26" s="217" t="n"/>
      <c r="C26" s="133" t="n"/>
      <c r="D26" s="133" t="n"/>
      <c r="E26" s="121" t="n"/>
      <c r="F26" s="121" t="n"/>
      <c r="G26" s="121" t="n"/>
      <c r="H26" s="121" t="n"/>
      <c r="I26" s="121" t="n"/>
    </row>
    <row r="27">
      <c r="B27" s="120" t="n"/>
      <c r="E27" s="121" t="n"/>
      <c r="F27" s="121" t="n"/>
      <c r="G27" s="121" t="n"/>
      <c r="H27" s="121" t="n"/>
      <c r="I27" s="121" t="n"/>
    </row>
    <row r="28">
      <c r="B28" s="121" t="inlineStr">
        <is>
          <t>Составил ______________________        Е.А. Князева</t>
        </is>
      </c>
      <c r="E28" s="121" t="n"/>
      <c r="F28" s="121" t="n"/>
      <c r="G28" s="121" t="n"/>
      <c r="H28" s="121" t="n"/>
      <c r="I28" s="121" t="n"/>
    </row>
    <row r="29" ht="22.7" customHeight="1" s="183">
      <c r="B29" s="144" t="inlineStr">
        <is>
          <t xml:space="preserve">                         (подпись, инициалы, фамилия)</t>
        </is>
      </c>
      <c r="E29" s="121" t="n"/>
      <c r="F29" s="121" t="n"/>
      <c r="G29" s="121" t="n"/>
      <c r="H29" s="121" t="n"/>
      <c r="I29" s="121" t="n"/>
    </row>
    <row r="30">
      <c r="E30" s="121" t="n"/>
      <c r="F30" s="121" t="n"/>
      <c r="G30" s="121" t="n"/>
      <c r="H30" s="121" t="n"/>
      <c r="I30" s="121" t="n"/>
    </row>
    <row r="31">
      <c r="B31" s="121" t="inlineStr">
        <is>
          <t>Проверил ______________________        А.В. Костянецкая</t>
        </is>
      </c>
      <c r="E31" s="121" t="n"/>
      <c r="F31" s="121" t="n"/>
      <c r="G31" s="121" t="n"/>
      <c r="H31" s="121" t="n"/>
      <c r="I31" s="121" t="n"/>
    </row>
    <row r="32" ht="22.7" customHeight="1" s="183">
      <c r="B32" s="144" t="inlineStr">
        <is>
          <t xml:space="preserve">                        (подпись, инициалы, фамилия)</t>
        </is>
      </c>
      <c r="E32" s="121" t="n"/>
      <c r="F32" s="121" t="n"/>
      <c r="G32" s="121" t="n"/>
      <c r="H32" s="121" t="n"/>
      <c r="I32" s="121" t="n"/>
    </row>
    <row r="33">
      <c r="E33" s="121" t="n"/>
      <c r="F33" s="121" t="n"/>
      <c r="G33" s="121" t="n"/>
      <c r="H33" s="121" t="n"/>
      <c r="I33" s="121" t="n"/>
    </row>
    <row r="34">
      <c r="E34" s="121" t="n"/>
      <c r="F34" s="121" t="n"/>
      <c r="G34" s="121" t="n"/>
      <c r="H34" s="121" t="n"/>
      <c r="I34" s="121" t="n"/>
    </row>
    <row r="35">
      <c r="E35" s="121" t="n"/>
      <c r="F35" s="121" t="n"/>
      <c r="G35" s="121" t="n"/>
      <c r="H35" s="121" t="n"/>
      <c r="I35" s="121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J23"/>
  <sheetViews>
    <sheetView view="pageBreakPreview" zoomScale="115" zoomScaleNormal="100" zoomScaleSheetLayoutView="115" workbookViewId="0">
      <selection activeCell="E20" sqref="E20"/>
    </sheetView>
  </sheetViews>
  <sheetFormatPr baseColWidth="8" defaultRowHeight="15"/>
  <cols>
    <col width="5.5703125" customWidth="1" style="183" min="1" max="1"/>
    <col width="9.140625" customWidth="1" style="183" min="2" max="2"/>
    <col width="35.28515625" customWidth="1" style="183" min="3" max="3"/>
    <col width="13.85546875" customWidth="1" style="183" min="4" max="4"/>
    <col width="24.85546875" customWidth="1" style="183" min="5" max="5"/>
    <col width="12.7109375" customWidth="1" style="183" min="6" max="6"/>
    <col width="14.85546875" customWidth="1" style="183" min="7" max="7"/>
    <col width="16.7109375" customWidth="1" style="183" min="8" max="8"/>
    <col width="13" customWidth="1" style="183" min="9" max="10"/>
    <col width="9.140625" customWidth="1" style="183" min="11" max="11"/>
  </cols>
  <sheetData>
    <row r="1" ht="15.75" customHeight="1" s="183">
      <c r="A1" s="121" t="n"/>
      <c r="B1" s="121" t="n"/>
      <c r="C1" s="121" t="n"/>
      <c r="D1" s="121" t="n"/>
      <c r="E1" s="121" t="n"/>
      <c r="F1" s="121" t="n"/>
      <c r="G1" s="121" t="n"/>
      <c r="H1" s="121" t="n"/>
      <c r="I1" s="121" t="n"/>
      <c r="J1" s="121" t="n"/>
    </row>
    <row r="2" ht="15.75" customHeight="1" s="183">
      <c r="A2" s="121" t="n"/>
      <c r="B2" s="121" t="n"/>
      <c r="C2" s="121" t="n"/>
      <c r="D2" s="121" t="n"/>
      <c r="E2" s="121" t="n"/>
      <c r="F2" s="121" t="n"/>
      <c r="G2" s="121" t="n"/>
      <c r="H2" s="121" t="n"/>
      <c r="I2" s="121" t="n"/>
      <c r="J2" s="121" t="n"/>
    </row>
    <row r="3" ht="15.75" customHeight="1" s="183">
      <c r="A3" s="121" t="n"/>
      <c r="B3" s="215" t="inlineStr">
        <is>
          <t>Приложение № 2</t>
        </is>
      </c>
    </row>
    <row r="4" ht="15.75" customHeight="1" s="183">
      <c r="A4" s="121" t="n"/>
      <c r="B4" s="216" t="inlineStr">
        <is>
          <t>Расчет стоимости основных видов работ для выбора объекта-представителя</t>
        </is>
      </c>
    </row>
    <row r="5" ht="15.75" customHeight="1" s="183">
      <c r="A5" s="121" t="n"/>
      <c r="B5" s="122" t="n"/>
      <c r="C5" s="122" t="n"/>
      <c r="D5" s="122" t="n"/>
      <c r="E5" s="122" t="n"/>
      <c r="F5" s="122" t="n"/>
      <c r="G5" s="122" t="n"/>
      <c r="H5" s="122" t="n"/>
      <c r="I5" s="122" t="n"/>
      <c r="J5" s="122" t="n"/>
    </row>
    <row r="6" ht="15.75" customHeight="1" s="183">
      <c r="A6" s="121" t="n"/>
      <c r="B6" s="219">
        <f>'Прил.1 Сравнит табл'!B7</f>
        <v/>
      </c>
    </row>
    <row r="7" ht="15.75" customHeight="1" s="183">
      <c r="A7" s="121" t="n"/>
      <c r="B7" s="214">
        <f>'Прил.1 Сравнит табл'!B9</f>
        <v/>
      </c>
    </row>
    <row r="8" ht="15.75" customHeight="1" s="183">
      <c r="A8" s="121" t="n"/>
      <c r="B8" s="214" t="n"/>
      <c r="C8" s="121" t="n"/>
      <c r="D8" s="121" t="n"/>
      <c r="E8" s="121" t="n"/>
      <c r="F8" s="121" t="n"/>
      <c r="G8" s="121" t="n"/>
      <c r="H8" s="121" t="n"/>
      <c r="I8" s="121" t="n"/>
      <c r="J8" s="121" t="n"/>
    </row>
    <row r="9" ht="15.75" customHeight="1" s="183">
      <c r="A9" s="121" t="n"/>
      <c r="B9" s="220" t="inlineStr">
        <is>
          <t>№ п/п</t>
        </is>
      </c>
      <c r="C9" s="2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0" t="inlineStr">
        <is>
          <t>Объект-представитель 1</t>
        </is>
      </c>
      <c r="E9" s="261" t="n"/>
      <c r="F9" s="261" t="n"/>
      <c r="G9" s="261" t="n"/>
      <c r="H9" s="261" t="n"/>
      <c r="I9" s="261" t="n"/>
      <c r="J9" s="262" t="n"/>
    </row>
    <row r="10" ht="15.75" customHeight="1" s="183">
      <c r="A10" s="121" t="n"/>
      <c r="B10" s="263" t="n"/>
      <c r="C10" s="263" t="n"/>
      <c r="D10" s="220" t="inlineStr">
        <is>
          <t>Номер сметы</t>
        </is>
      </c>
      <c r="E10" s="220" t="inlineStr">
        <is>
          <t>Наименование сметы</t>
        </is>
      </c>
      <c r="F10" s="220" t="inlineStr">
        <is>
          <t>Сметная стоимость в уровне цен __ кв. 20__г., тыс. руб.</t>
        </is>
      </c>
      <c r="G10" s="261" t="n"/>
      <c r="H10" s="261" t="n"/>
      <c r="I10" s="261" t="n"/>
      <c r="J10" s="262" t="n"/>
    </row>
    <row r="11" ht="31.7" customHeight="1" s="183">
      <c r="A11" s="121" t="n"/>
      <c r="B11" s="264" t="n"/>
      <c r="C11" s="264" t="n"/>
      <c r="D11" s="264" t="n"/>
      <c r="E11" s="264" t="n"/>
      <c r="F11" s="220" t="inlineStr">
        <is>
          <t>Строительные работы</t>
        </is>
      </c>
      <c r="G11" s="220" t="inlineStr">
        <is>
          <t>Монтажные работы</t>
        </is>
      </c>
      <c r="H11" s="220" t="inlineStr">
        <is>
          <t>Оборудование</t>
        </is>
      </c>
      <c r="I11" s="220" t="inlineStr">
        <is>
          <t>Прочее</t>
        </is>
      </c>
      <c r="J11" s="220" t="inlineStr">
        <is>
          <t>Всего</t>
        </is>
      </c>
    </row>
    <row r="12" ht="15.75" customHeight="1" s="183">
      <c r="A12" s="121" t="n"/>
      <c r="B12" s="2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266" t="n"/>
      <c r="D12" s="266" t="n"/>
      <c r="E12" s="266" t="n"/>
      <c r="F12" s="266" t="n"/>
      <c r="G12" s="266" t="n"/>
      <c r="H12" s="266" t="n"/>
      <c r="I12" s="266" t="n"/>
      <c r="J12" s="267" t="n"/>
    </row>
    <row r="13" ht="15" customHeight="1" s="183">
      <c r="A13" s="121" t="n"/>
      <c r="B13" s="268" t="n"/>
      <c r="J13" s="269" t="n"/>
    </row>
    <row r="14" ht="15.75" customHeight="1" s="183">
      <c r="A14" s="121" t="n"/>
      <c r="B14" s="270" t="n"/>
      <c r="C14" s="271" t="n"/>
      <c r="D14" s="271" t="n"/>
      <c r="E14" s="271" t="n"/>
      <c r="F14" s="271" t="n"/>
      <c r="G14" s="271" t="n"/>
      <c r="H14" s="271" t="n"/>
      <c r="I14" s="271" t="n"/>
      <c r="J14" s="272" t="n"/>
    </row>
    <row r="15" ht="15.75" customHeight="1" s="183">
      <c r="A15" s="121" t="n"/>
      <c r="B15" s="218" t="inlineStr">
        <is>
          <t>Всего по объекту:</t>
        </is>
      </c>
      <c r="C15" s="261" t="n"/>
      <c r="D15" s="261" t="n"/>
      <c r="E15" s="262" t="n"/>
      <c r="F15" s="161" t="n"/>
      <c r="G15" s="161" t="n"/>
      <c r="H15" s="161" t="n"/>
      <c r="I15" s="161" t="n"/>
      <c r="J15" s="161" t="n"/>
    </row>
    <row r="16" ht="15.75" customHeight="1" s="183">
      <c r="A16" s="121" t="n"/>
      <c r="B16" s="218" t="inlineStr">
        <is>
          <t>Всего по объекту в сопоставимом уровне цен __кв. 20__г:</t>
        </is>
      </c>
      <c r="C16" s="261" t="n"/>
      <c r="D16" s="261" t="n"/>
      <c r="E16" s="262" t="n"/>
      <c r="F16" s="161" t="n"/>
      <c r="G16" s="161" t="n"/>
      <c r="H16" s="161" t="n"/>
      <c r="I16" s="161" t="n"/>
      <c r="J16" s="161" t="n"/>
    </row>
    <row r="17" ht="15.75" customHeight="1" s="183">
      <c r="A17" s="121" t="n"/>
      <c r="B17" s="121" t="n"/>
      <c r="C17" s="121" t="n"/>
      <c r="D17" s="121" t="n"/>
      <c r="E17" s="121" t="n"/>
      <c r="F17" s="121" t="n"/>
      <c r="G17" s="121" t="n"/>
      <c r="H17" s="121" t="n"/>
      <c r="I17" s="121" t="n"/>
      <c r="J17" s="121" t="n"/>
    </row>
    <row r="19" ht="15.75" customHeight="1" s="183">
      <c r="B19" s="121" t="inlineStr">
        <is>
          <t>Составил ______________________        Е.А. Князева</t>
        </is>
      </c>
      <c r="C19" s="121" t="n"/>
      <c r="D19" s="121" t="n"/>
    </row>
    <row r="20" ht="22.7" customHeight="1" s="183">
      <c r="B20" s="144" t="inlineStr">
        <is>
          <t xml:space="preserve">                         (подпись, инициалы, фамилия)</t>
        </is>
      </c>
      <c r="C20" s="121" t="n"/>
      <c r="D20" s="121" t="n"/>
    </row>
    <row r="21" ht="15.75" customHeight="1" s="183">
      <c r="B21" s="121" t="n"/>
      <c r="C21" s="121" t="n"/>
      <c r="D21" s="121" t="n"/>
    </row>
    <row r="22" ht="15.75" customHeight="1" s="183">
      <c r="B22" s="121" t="inlineStr">
        <is>
          <t>Проверил ______________________        А.В. Костянецкая</t>
        </is>
      </c>
      <c r="C22" s="121" t="n"/>
      <c r="D22" s="121" t="n"/>
    </row>
    <row r="23" ht="22.7" customHeight="1" s="183">
      <c r="B23" s="144" t="inlineStr">
        <is>
          <t xml:space="preserve">                        (подпись, инициалы, фамилия)</t>
        </is>
      </c>
      <c r="C23" s="121" t="n"/>
      <c r="D23" s="121" t="n"/>
    </row>
  </sheetData>
  <mergeCells count="13">
    <mergeCell ref="B7:J7"/>
    <mergeCell ref="B3:J3"/>
    <mergeCell ref="D10:D11"/>
    <mergeCell ref="D9:J9"/>
    <mergeCell ref="F10:J10"/>
    <mergeCell ref="B16:E16"/>
    <mergeCell ref="B15:E15"/>
    <mergeCell ref="B6:J6"/>
    <mergeCell ref="B9:B11"/>
    <mergeCell ref="B4:J4"/>
    <mergeCell ref="E10:E11"/>
    <mergeCell ref="C9:C11"/>
    <mergeCell ref="B12:J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35"/>
  <sheetViews>
    <sheetView view="pageBreakPreview" topLeftCell="A8" workbookViewId="0">
      <selection activeCell="D31" sqref="D31"/>
    </sheetView>
  </sheetViews>
  <sheetFormatPr baseColWidth="8" defaultRowHeight="15.75"/>
  <cols>
    <col width="9.140625" customWidth="1" style="121" min="1" max="1"/>
    <col width="12.5703125" customWidth="1" style="121" min="2" max="2"/>
    <col width="22.42578125" customWidth="1" style="121" min="3" max="3"/>
    <col width="49.7109375" customWidth="1" style="121" min="4" max="4"/>
    <col width="10.140625" customWidth="1" style="121" min="5" max="5"/>
    <col width="20.7109375" customWidth="1" style="121" min="6" max="6"/>
    <col width="16.140625" customWidth="1" style="121" min="7" max="7"/>
    <col width="16.7109375" customWidth="1" style="121" min="8" max="8"/>
    <col width="4.85546875" customWidth="1" style="121" min="9" max="9"/>
    <col width="14.140625" customWidth="1" style="121" min="10" max="10"/>
    <col width="13" customWidth="1" style="183" min="11" max="11"/>
    <col width="9.140625" customWidth="1" style="183" min="12" max="13"/>
  </cols>
  <sheetData>
    <row r="1">
      <c r="K1" s="121" t="n"/>
    </row>
    <row r="2">
      <c r="A2" s="215" t="inlineStr">
        <is>
          <t xml:space="preserve">Приложение № 3 </t>
        </is>
      </c>
      <c r="K2" s="121" t="n"/>
    </row>
    <row r="3">
      <c r="A3" s="216" t="inlineStr">
        <is>
          <t>Объектная ресурсная ведомость</t>
        </is>
      </c>
      <c r="K3" s="121" t="n"/>
    </row>
    <row r="4" ht="6.75" customHeight="1" s="183">
      <c r="A4" s="216" t="n"/>
      <c r="B4" s="216" t="n"/>
      <c r="C4" s="216" t="n"/>
      <c r="D4" s="216" t="n"/>
      <c r="E4" s="216" t="n"/>
      <c r="F4" s="216" t="n"/>
      <c r="G4" s="216" t="n"/>
      <c r="H4" s="216" t="n"/>
      <c r="I4" s="121" t="n"/>
      <c r="J4" s="121" t="n"/>
      <c r="K4" s="121" t="n"/>
    </row>
    <row r="5" ht="11.25" customHeight="1" s="183">
      <c r="A5" s="214" t="n"/>
      <c r="K5" s="121" t="n"/>
    </row>
    <row r="6">
      <c r="A6" s="219">
        <f>'Прил.1 Сравнит табл'!B7</f>
        <v/>
      </c>
      <c r="K6" s="121" t="n"/>
    </row>
    <row r="7" ht="6.75" customHeight="1" s="183">
      <c r="A7" s="219" t="n"/>
      <c r="B7" s="219" t="n"/>
      <c r="C7" s="219" t="n"/>
      <c r="D7" s="219" t="n"/>
      <c r="E7" s="219" t="n"/>
      <c r="F7" s="219" t="n"/>
      <c r="G7" s="219" t="n"/>
      <c r="H7" s="219" t="n"/>
      <c r="I7" s="121" t="n"/>
      <c r="J7" s="121" t="n"/>
      <c r="K7" s="121" t="n"/>
    </row>
    <row r="8" ht="7.5" customHeight="1" s="183">
      <c r="A8" s="219" t="n"/>
      <c r="B8" s="219" t="n"/>
      <c r="C8" s="219" t="n"/>
      <c r="D8" s="219" t="n"/>
      <c r="E8" s="219" t="n"/>
      <c r="F8" s="219" t="n"/>
      <c r="G8" s="219" t="n"/>
      <c r="H8" s="219" t="n"/>
      <c r="K8" s="121" t="n"/>
    </row>
    <row r="9" ht="27.75" customHeight="1" s="183">
      <c r="A9" s="220" t="inlineStr">
        <is>
          <t>п/п</t>
        </is>
      </c>
      <c r="B9" s="220" t="inlineStr">
        <is>
          <t>№ЛСР</t>
        </is>
      </c>
      <c r="C9" s="220" t="inlineStr">
        <is>
          <t>Код ресурса</t>
        </is>
      </c>
      <c r="D9" s="220" t="inlineStr">
        <is>
          <t>Наименование ресурса</t>
        </is>
      </c>
      <c r="E9" s="220" t="inlineStr">
        <is>
          <t>Ед. изм.</t>
        </is>
      </c>
      <c r="F9" s="220" t="inlineStr">
        <is>
          <t>Кол-во единиц по данным объекта-представителя</t>
        </is>
      </c>
      <c r="G9" s="220" t="inlineStr">
        <is>
          <t>Сметная стоимость в ценах на 01.01.2000 (руб.)</t>
        </is>
      </c>
      <c r="H9" s="262" t="n"/>
      <c r="K9" s="121" t="n"/>
    </row>
    <row r="10">
      <c r="A10" s="264" t="n"/>
      <c r="B10" s="264" t="n"/>
      <c r="C10" s="264" t="n"/>
      <c r="D10" s="264" t="n"/>
      <c r="E10" s="264" t="n"/>
      <c r="F10" s="264" t="n"/>
      <c r="G10" s="220" t="inlineStr">
        <is>
          <t>на ед.изм.</t>
        </is>
      </c>
      <c r="H10" s="220" t="inlineStr">
        <is>
          <t>общая</t>
        </is>
      </c>
      <c r="K10" s="121" t="n"/>
    </row>
    <row r="11">
      <c r="A11" s="136" t="n">
        <v>1</v>
      </c>
      <c r="B11" s="136" t="n"/>
      <c r="C11" s="136" t="n">
        <v>2</v>
      </c>
      <c r="D11" s="136" t="inlineStr">
        <is>
          <t>З</t>
        </is>
      </c>
      <c r="E11" s="136" t="n">
        <v>4</v>
      </c>
      <c r="F11" s="136" t="n">
        <v>5</v>
      </c>
      <c r="G11" s="136" t="n">
        <v>6</v>
      </c>
      <c r="H11" s="136" t="n">
        <v>7</v>
      </c>
      <c r="I11" s="273" t="n"/>
      <c r="K11" s="121" t="n"/>
    </row>
    <row r="12">
      <c r="A12" s="230" t="inlineStr">
        <is>
          <t>Затраты труда рабочих</t>
        </is>
      </c>
      <c r="B12" s="261" t="n"/>
      <c r="C12" s="261" t="n"/>
      <c r="D12" s="261" t="n"/>
      <c r="E12" s="262" t="n"/>
      <c r="F12" s="137">
        <f>SUM(F13:F13)</f>
        <v/>
      </c>
      <c r="G12" s="137" t="n"/>
      <c r="H12" s="137">
        <f>SUM(H13:H13)</f>
        <v/>
      </c>
      <c r="I12" s="138" t="n"/>
      <c r="J12" s="138" t="n"/>
      <c r="K12" s="138" t="n"/>
    </row>
    <row r="13">
      <c r="A13" s="231" t="n">
        <v>1</v>
      </c>
      <c r="B13" s="164" t="n"/>
      <c r="C13" s="140" t="inlineStr">
        <is>
          <t>1-3-8</t>
        </is>
      </c>
      <c r="D13" s="232" t="inlineStr">
        <is>
          <t>Затраты труда рабочих (ср 3,8)</t>
        </is>
      </c>
      <c r="E13" s="231" t="inlineStr">
        <is>
          <t>чел.-ч</t>
        </is>
      </c>
      <c r="F13" s="231" t="n">
        <v>89.59999999999999</v>
      </c>
      <c r="G13" s="142" t="n">
        <v>9.4</v>
      </c>
      <c r="H13" s="142">
        <f>ROUND(F13*G13,2)</f>
        <v/>
      </c>
      <c r="K13" s="121" t="n"/>
    </row>
    <row r="14">
      <c r="A14" s="230" t="inlineStr">
        <is>
          <t>Затраты труда машинистов</t>
        </is>
      </c>
      <c r="B14" s="261" t="n"/>
      <c r="C14" s="261" t="n"/>
      <c r="D14" s="261" t="n"/>
      <c r="E14" s="262" t="n"/>
      <c r="F14" s="230">
        <f>F15</f>
        <v/>
      </c>
      <c r="G14" s="137" t="n"/>
      <c r="H14" s="137">
        <f>H15</f>
        <v/>
      </c>
      <c r="K14" s="121" t="n"/>
    </row>
    <row r="15">
      <c r="A15" s="231" t="n">
        <v>2</v>
      </c>
      <c r="B15" s="158" t="n"/>
      <c r="C15" s="150" t="n">
        <v>2</v>
      </c>
      <c r="D15" s="232" t="inlineStr">
        <is>
          <t>Затраты труда машинистов</t>
        </is>
      </c>
      <c r="E15" s="231" t="inlineStr">
        <is>
          <t>чел.-ч</t>
        </is>
      </c>
      <c r="F15" s="231" t="n">
        <v>1.2</v>
      </c>
      <c r="G15" s="142" t="n"/>
      <c r="H15" s="142" t="n">
        <v>15.06</v>
      </c>
      <c r="K15" s="121" t="n"/>
    </row>
    <row r="16">
      <c r="A16" s="230" t="inlineStr">
        <is>
          <t>Машины и механизмы</t>
        </is>
      </c>
      <c r="B16" s="261" t="n"/>
      <c r="C16" s="261" t="n"/>
      <c r="D16" s="261" t="n"/>
      <c r="E16" s="262" t="n"/>
      <c r="F16" s="230" t="n"/>
      <c r="G16" s="137" t="n"/>
      <c r="H16" s="137">
        <f>SUM(H17:H18)</f>
        <v/>
      </c>
      <c r="I16" s="138" t="n"/>
      <c r="J16" s="138" t="n"/>
      <c r="K16" s="138" t="n"/>
    </row>
    <row r="17" ht="31.7" customHeight="1" s="183">
      <c r="A17" s="231" t="n">
        <v>3</v>
      </c>
      <c r="B17" s="158" t="n"/>
      <c r="C17" s="232" t="inlineStr">
        <is>
          <t>91.05.05-015</t>
        </is>
      </c>
      <c r="D17" s="232" t="inlineStr">
        <is>
          <t>Краны на автомобильном ходу, грузоподъемность 16 т</t>
        </is>
      </c>
      <c r="E17" s="231" t="inlineStr">
        <is>
          <t>маш.-ч.</t>
        </is>
      </c>
      <c r="F17" s="231" t="n">
        <v>0.6</v>
      </c>
      <c r="G17" s="142" t="n">
        <v>115.4</v>
      </c>
      <c r="H17" s="142">
        <f>ROUND(F17*G17,2)</f>
        <v/>
      </c>
      <c r="K17" s="121" t="n"/>
    </row>
    <row r="18">
      <c r="A18" s="231" t="n">
        <v>4</v>
      </c>
      <c r="B18" s="158" t="n"/>
      <c r="C18" s="232" t="inlineStr">
        <is>
          <t>91.14.02-001</t>
        </is>
      </c>
      <c r="D18" s="232" t="inlineStr">
        <is>
          <t>Автомобили бортовые, грузоподъемность до 5 т</t>
        </is>
      </c>
      <c r="E18" s="231" t="inlineStr">
        <is>
          <t>маш.-ч.</t>
        </is>
      </c>
      <c r="F18" s="231" t="n">
        <v>0.6</v>
      </c>
      <c r="G18" s="142" t="n">
        <v>65.70999999999999</v>
      </c>
      <c r="H18" s="142">
        <f>ROUND(F18*G18,2)</f>
        <v/>
      </c>
      <c r="I18" s="138" t="n"/>
      <c r="J18" s="138" t="n"/>
      <c r="K18" s="138" t="n"/>
    </row>
    <row r="19">
      <c r="A19" s="230" t="inlineStr">
        <is>
          <t>Оборудование</t>
        </is>
      </c>
      <c r="B19" s="261" t="n"/>
      <c r="C19" s="261" t="n"/>
      <c r="D19" s="261" t="n"/>
      <c r="E19" s="262" t="n"/>
      <c r="F19" s="230" t="n"/>
      <c r="G19" s="137" t="n"/>
      <c r="H19" s="137" t="n">
        <v>0</v>
      </c>
      <c r="J19" s="151" t="n"/>
    </row>
    <row r="20">
      <c r="A20" s="230" t="inlineStr">
        <is>
          <t>Материалы</t>
        </is>
      </c>
      <c r="B20" s="261" t="n"/>
      <c r="C20" s="261" t="n"/>
      <c r="D20" s="261" t="n"/>
      <c r="E20" s="262" t="n"/>
      <c r="F20" s="230" t="n"/>
      <c r="G20" s="137" t="n"/>
      <c r="H20" s="137">
        <f>SUM(H21:H28)</f>
        <v/>
      </c>
      <c r="J20" s="151" t="n"/>
    </row>
    <row r="21" ht="25.5" customHeight="1" s="183">
      <c r="A21" s="231" t="n">
        <v>5</v>
      </c>
      <c r="B21" s="158" t="n"/>
      <c r="C21" s="232" t="inlineStr">
        <is>
          <t>24.3.03.13-0102</t>
        </is>
      </c>
      <c r="D21" s="241" t="inlineStr">
        <is>
          <t>Труба: ПЭ 63, ПЭ 80, тип ПЭ ВОК 32/26 (ТУ 2248-071-18425183- 2000)</t>
        </is>
      </c>
      <c r="E21" s="236" t="inlineStr">
        <is>
          <t>10 м</t>
        </is>
      </c>
      <c r="F21" s="114" t="n">
        <v>100</v>
      </c>
      <c r="G21" s="255" t="n">
        <v>249.7</v>
      </c>
      <c r="H21" s="142">
        <f>ROUND(F21*G21,2)</f>
        <v/>
      </c>
    </row>
    <row r="22" ht="25.5" customHeight="1" s="183">
      <c r="A22" s="231" t="n">
        <v>6</v>
      </c>
      <c r="B22" s="158" t="n"/>
      <c r="C22" s="232" t="inlineStr">
        <is>
          <t>14.2.02.08-0018</t>
        </is>
      </c>
      <c r="D22" s="241" t="inlineStr">
        <is>
          <t>Плита негорючая, марка: "PROMATECT-Н", толщина 10 мм</t>
        </is>
      </c>
      <c r="E22" s="236" t="inlineStr">
        <is>
          <t>м2</t>
        </is>
      </c>
      <c r="F22" s="114" t="n">
        <v>220</v>
      </c>
      <c r="G22" s="255" t="n">
        <v>286.41</v>
      </c>
      <c r="H22" s="142">
        <f>ROUND(F22*G22,2)</f>
        <v/>
      </c>
      <c r="I22" s="121" t="n"/>
      <c r="J22" s="121" t="n"/>
    </row>
    <row r="23">
      <c r="A23" s="231" t="n">
        <v>7</v>
      </c>
      <c r="B23" s="158" t="n"/>
      <c r="C23" s="232" t="inlineStr">
        <is>
          <t>20.2.01.05-0007</t>
        </is>
      </c>
      <c r="D23" s="232" t="inlineStr">
        <is>
          <t>Гильзы кабельные медные ГМ 35</t>
        </is>
      </c>
      <c r="E23" s="231" t="inlineStr">
        <is>
          <t>100 шт</t>
        </is>
      </c>
      <c r="F23" s="231" t="n">
        <v>0.5</v>
      </c>
      <c r="G23" s="142" t="n">
        <v>378</v>
      </c>
      <c r="H23" s="142">
        <f>ROUND(F23*G23,2)</f>
        <v/>
      </c>
    </row>
    <row r="24" ht="47.25" customHeight="1" s="183">
      <c r="A24" s="231" t="n">
        <v>8</v>
      </c>
      <c r="B24" s="158" t="n"/>
      <c r="C24" s="232" t="inlineStr">
        <is>
          <t>01.7.06.05-0041</t>
        </is>
      </c>
      <c r="D24" s="232" t="inlineStr">
        <is>
          <t>Лента изоляционная прорезиненная односторонняя, ширина 20 мм, толщина 0,25-0,35 мм</t>
        </is>
      </c>
      <c r="E24" s="231" t="inlineStr">
        <is>
          <t>кг</t>
        </is>
      </c>
      <c r="F24" s="231" t="n">
        <v>3.2</v>
      </c>
      <c r="G24" s="142" t="n">
        <v>30.4</v>
      </c>
      <c r="H24" s="142">
        <f>ROUND(F24*G24,2)</f>
        <v/>
      </c>
    </row>
    <row r="25">
      <c r="A25" s="231" t="n">
        <v>9</v>
      </c>
      <c r="B25" s="158" t="n"/>
      <c r="C25" s="232" t="inlineStr">
        <is>
          <t>20.2.02.01-0014</t>
        </is>
      </c>
      <c r="D25" s="232" t="inlineStr">
        <is>
          <t>Втулки, диаметр 42 мм</t>
        </is>
      </c>
      <c r="E25" s="231" t="inlineStr">
        <is>
          <t>1000 шт</t>
        </is>
      </c>
      <c r="F25" s="231" t="n">
        <v>0.122</v>
      </c>
      <c r="G25" s="142" t="n">
        <v>282.03</v>
      </c>
      <c r="H25" s="142">
        <f>ROUND(F25*G25,2)</f>
        <v/>
      </c>
    </row>
    <row r="26" ht="15" customHeight="1" s="183">
      <c r="A26" s="231" t="n">
        <v>10</v>
      </c>
      <c r="B26" s="158" t="n"/>
      <c r="C26" s="232" t="inlineStr">
        <is>
          <t>01.7.07.20-0002</t>
        </is>
      </c>
      <c r="D26" s="232" t="inlineStr">
        <is>
          <t>Тальк молотый, сорт I</t>
        </is>
      </c>
      <c r="E26" s="231" t="inlineStr">
        <is>
          <t>т</t>
        </is>
      </c>
      <c r="F26" s="231" t="n">
        <v>0.0116</v>
      </c>
      <c r="G26" s="142" t="n">
        <v>1820</v>
      </c>
      <c r="H26" s="142">
        <f>ROUND(F26*G26,2)</f>
        <v/>
      </c>
    </row>
    <row r="27" ht="31.7" customHeight="1" s="183">
      <c r="A27" s="231" t="n">
        <v>11</v>
      </c>
      <c r="B27" s="158" t="n"/>
      <c r="C27" s="232" t="inlineStr">
        <is>
          <t>999-9950</t>
        </is>
      </c>
      <c r="D27" s="232" t="inlineStr">
        <is>
          <t>Вспомогательные ненормируемые материальные ресурсы</t>
        </is>
      </c>
      <c r="E27" s="231" t="inlineStr">
        <is>
          <t>руб</t>
        </is>
      </c>
      <c r="F27" s="231" t="n">
        <v>16.844</v>
      </c>
      <c r="G27" s="142" t="n">
        <v>1</v>
      </c>
      <c r="H27" s="142">
        <f>ROUND(F27*G27,2)</f>
        <v/>
      </c>
    </row>
    <row r="28">
      <c r="A28" s="231" t="n">
        <v>12</v>
      </c>
      <c r="B28" s="158" t="n"/>
      <c r="C28" s="232" t="inlineStr">
        <is>
          <t>14.4.02.09-0001</t>
        </is>
      </c>
      <c r="D28" s="232" t="inlineStr">
        <is>
          <t>Краска</t>
        </is>
      </c>
      <c r="E28" s="231" t="inlineStr">
        <is>
          <t>кг</t>
        </is>
      </c>
      <c r="F28" s="231" t="n">
        <v>0.2</v>
      </c>
      <c r="G28" s="142" t="n">
        <v>28.6</v>
      </c>
      <c r="H28" s="142">
        <f>ROUND(F28*G28,2)</f>
        <v/>
      </c>
    </row>
    <row r="31">
      <c r="B31" s="121" t="inlineStr">
        <is>
          <t>Составил ______________________        Е.А. Князева</t>
        </is>
      </c>
      <c r="J31" s="168" t="n"/>
    </row>
    <row r="32">
      <c r="B32" s="120" t="inlineStr">
        <is>
          <t xml:space="preserve">                         (подпись, инициалы, фамилия)</t>
        </is>
      </c>
    </row>
    <row r="34">
      <c r="B34" s="121" t="inlineStr">
        <is>
          <t>Проверил ______________________        А.В. Костянецкая</t>
        </is>
      </c>
    </row>
    <row r="35">
      <c r="B35" s="120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A20:E20"/>
    <mergeCell ref="E9:E10"/>
    <mergeCell ref="A16:E16"/>
    <mergeCell ref="A9:A10"/>
    <mergeCell ref="F9:F10"/>
    <mergeCell ref="A2:H2"/>
    <mergeCell ref="A19:E19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2" workbookViewId="0">
      <selection activeCell="D44" sqref="D44"/>
    </sheetView>
  </sheetViews>
  <sheetFormatPr baseColWidth="8" defaultRowHeight="15"/>
  <cols>
    <col width="4.140625" customWidth="1" style="183" min="1" max="1"/>
    <col width="36.28515625" customWidth="1" style="183" min="2" max="2"/>
    <col width="18.85546875" customWidth="1" style="183" min="3" max="3"/>
    <col width="18.28515625" customWidth="1" style="183" min="4" max="4"/>
    <col width="18.85546875" customWidth="1" style="183" min="5" max="5"/>
    <col width="9.140625" customWidth="1" style="183" min="6" max="6"/>
    <col width="12.85546875" customWidth="1" style="183" min="7" max="7"/>
    <col width="9.140625" customWidth="1" style="183" min="8" max="11"/>
    <col width="13.5703125" customWidth="1" style="183" min="12" max="12"/>
    <col width="9.140625" customWidth="1" style="183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56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33" t="inlineStr">
        <is>
          <t>Ресурсная модель</t>
        </is>
      </c>
    </row>
    <row r="6">
      <c r="B6" s="18" t="n"/>
      <c r="C6" s="186" t="n"/>
      <c r="D6" s="186" t="n"/>
      <c r="E6" s="186" t="n"/>
    </row>
    <row r="7" ht="39.75" customHeight="1" s="183">
      <c r="B7" s="234">
        <f>'Прил.1 Сравнит табл'!B7</f>
        <v/>
      </c>
    </row>
    <row r="8">
      <c r="B8" s="235">
        <f>'Прил.1 Сравнит табл'!B9</f>
        <v/>
      </c>
    </row>
    <row r="9">
      <c r="B9" s="18" t="n"/>
      <c r="C9" s="186" t="n"/>
      <c r="D9" s="186" t="n"/>
      <c r="E9" s="186" t="n"/>
    </row>
    <row r="10" ht="51" customHeight="1" s="183">
      <c r="B10" s="236" t="inlineStr">
        <is>
          <t>Наименование</t>
        </is>
      </c>
      <c r="C10" s="236" t="inlineStr">
        <is>
          <t>Сметная стоимость в ценах на 01.01.2023
 (руб.)</t>
        </is>
      </c>
      <c r="D10" s="236" t="inlineStr">
        <is>
          <t>Удельный вес, 
(в СМР)</t>
        </is>
      </c>
      <c r="E10" s="236" t="inlineStr">
        <is>
          <t>Удельный вес, % 
(от всего по РМ)</t>
        </is>
      </c>
    </row>
    <row r="11">
      <c r="B11" s="46" t="inlineStr">
        <is>
          <t>Оплата труда рабочих</t>
        </is>
      </c>
      <c r="C11" s="188">
        <f>'Прил.5 Расчет СМР и ОБ'!J14</f>
        <v/>
      </c>
      <c r="D11" s="48">
        <f>C11/$C$24</f>
        <v/>
      </c>
      <c r="E11" s="48">
        <f>C11/$C$40</f>
        <v/>
      </c>
    </row>
    <row r="12">
      <c r="B12" s="46" t="inlineStr">
        <is>
          <t>Эксплуатация машин основных</t>
        </is>
      </c>
      <c r="C12" s="188">
        <f>'Прил.5 Расчет СМР и ОБ'!J21</f>
        <v/>
      </c>
      <c r="D12" s="48">
        <f>C12/$C$24</f>
        <v/>
      </c>
      <c r="E12" s="48">
        <f>C12/$C$40</f>
        <v/>
      </c>
    </row>
    <row r="13">
      <c r="B13" s="46" t="inlineStr">
        <is>
          <t>Эксплуатация машин прочих</t>
        </is>
      </c>
      <c r="C13" s="188">
        <f>'Прил.5 Расчет СМР и ОБ'!J22</f>
        <v/>
      </c>
      <c r="D13" s="48">
        <f>C13/$C$24</f>
        <v/>
      </c>
      <c r="E13" s="48">
        <f>C13/$C$40</f>
        <v/>
      </c>
    </row>
    <row r="14">
      <c r="B14" s="46" t="inlineStr">
        <is>
          <t>ЭКСПЛУАТАЦИЯ МАШИН, ВСЕГО:</t>
        </is>
      </c>
      <c r="C14" s="188">
        <f>C13+C12</f>
        <v/>
      </c>
      <c r="D14" s="48">
        <f>C14/$C$24</f>
        <v/>
      </c>
      <c r="E14" s="48">
        <f>C14/$C$40</f>
        <v/>
      </c>
    </row>
    <row r="15">
      <c r="B15" s="46" t="inlineStr">
        <is>
          <t>в том числе зарплата машинистов</t>
        </is>
      </c>
      <c r="C15" s="188">
        <f>'Прил.5 Расчет СМР и ОБ'!J16</f>
        <v/>
      </c>
      <c r="D15" s="48">
        <f>C15/$C$24</f>
        <v/>
      </c>
      <c r="E15" s="48">
        <f>C15/$C$40</f>
        <v/>
      </c>
    </row>
    <row r="16">
      <c r="B16" s="46" t="inlineStr">
        <is>
          <t>Материалы основные</t>
        </is>
      </c>
      <c r="C16" s="188">
        <f>'Прил.5 Расчет СМР и ОБ'!J34</f>
        <v/>
      </c>
      <c r="D16" s="48">
        <f>C16/$C$24</f>
        <v/>
      </c>
      <c r="E16" s="48">
        <f>C16/$C$40</f>
        <v/>
      </c>
    </row>
    <row r="17">
      <c r="B17" s="46" t="inlineStr">
        <is>
          <t>Материалы прочие</t>
        </is>
      </c>
      <c r="C17" s="188">
        <f>'Прил.5 Расчет СМР и ОБ'!J41</f>
        <v/>
      </c>
      <c r="D17" s="48">
        <f>C17/$C$24</f>
        <v/>
      </c>
      <c r="E17" s="48">
        <f>C17/$C$40</f>
        <v/>
      </c>
      <c r="G17" s="274" t="n"/>
    </row>
    <row r="18">
      <c r="B18" s="46" t="inlineStr">
        <is>
          <t>МАТЕРИАЛЫ, ВСЕГО:</t>
        </is>
      </c>
      <c r="C18" s="188">
        <f>C17+C16</f>
        <v/>
      </c>
      <c r="D18" s="48">
        <f>C18/$C$24</f>
        <v/>
      </c>
      <c r="E18" s="48">
        <f>C18/$C$40</f>
        <v/>
      </c>
    </row>
    <row r="19">
      <c r="B19" s="46" t="inlineStr">
        <is>
          <t>ИТОГО</t>
        </is>
      </c>
      <c r="C19" s="188">
        <f>C18+C14+C11</f>
        <v/>
      </c>
      <c r="D19" s="48" t="n"/>
      <c r="E19" s="46" t="n"/>
    </row>
    <row r="20">
      <c r="B20" s="46" t="inlineStr">
        <is>
          <t>Сметная прибыль, руб.</t>
        </is>
      </c>
      <c r="C20" s="188">
        <f>ROUND(C21*(C11+C15),2)</f>
        <v/>
      </c>
      <c r="D20" s="48">
        <f>C20/$C$24</f>
        <v/>
      </c>
      <c r="E20" s="48">
        <f>C20/$C$40</f>
        <v/>
      </c>
    </row>
    <row r="21">
      <c r="B21" s="46" t="inlineStr">
        <is>
          <t>Сметная прибыль, %</t>
        </is>
      </c>
      <c r="C21" s="51">
        <f>'Прил.5 Расчет СМР и ОБ'!E45</f>
        <v/>
      </c>
      <c r="D21" s="48" t="n"/>
      <c r="E21" s="46" t="n"/>
    </row>
    <row r="22">
      <c r="B22" s="46" t="inlineStr">
        <is>
          <t>Накладные расходы, руб.</t>
        </is>
      </c>
      <c r="C22" s="188">
        <f>ROUND(C23*(C11+C15),2)</f>
        <v/>
      </c>
      <c r="D22" s="48">
        <f>C22/$C$24</f>
        <v/>
      </c>
      <c r="E22" s="48">
        <f>C22/$C$40</f>
        <v/>
      </c>
    </row>
    <row r="23">
      <c r="B23" s="46" t="inlineStr">
        <is>
          <t>Накладные расходы, %</t>
        </is>
      </c>
      <c r="C23" s="51">
        <f>'Прил.5 Расчет СМР и ОБ'!E44</f>
        <v/>
      </c>
      <c r="D23" s="48" t="n"/>
      <c r="E23" s="46" t="n"/>
    </row>
    <row r="24">
      <c r="B24" s="46" t="inlineStr">
        <is>
          <t>ВСЕГО СМР с НР и СП</t>
        </is>
      </c>
      <c r="C24" s="188">
        <f>C19+C20+C22</f>
        <v/>
      </c>
      <c r="D24" s="48">
        <f>C24/$C$24</f>
        <v/>
      </c>
      <c r="E24" s="48">
        <f>C24/$C$40</f>
        <v/>
      </c>
    </row>
    <row r="25" ht="25.5" customHeight="1" s="183">
      <c r="B25" s="46" t="inlineStr">
        <is>
          <t>ВСЕГО стоимость оборудования, в том числе</t>
        </is>
      </c>
      <c r="C25" s="188">
        <f>'Прил.5 Расчет СМР и ОБ'!J28</f>
        <v/>
      </c>
      <c r="D25" s="48" t="n"/>
      <c r="E25" s="48">
        <f>C25/$C$40</f>
        <v/>
      </c>
    </row>
    <row r="26" ht="25.5" customHeight="1" s="183">
      <c r="B26" s="46" t="inlineStr">
        <is>
          <t>стоимость оборудования технологического</t>
        </is>
      </c>
      <c r="C26" s="188">
        <f>'Прил.5 Расчет СМР и ОБ'!J29</f>
        <v/>
      </c>
      <c r="D26" s="48" t="n"/>
      <c r="E26" s="48">
        <f>C26/$C$40</f>
        <v/>
      </c>
    </row>
    <row r="27">
      <c r="B27" s="46" t="inlineStr">
        <is>
          <t>ИТОГО (СМР + ОБОРУДОВАНИЕ)</t>
        </is>
      </c>
      <c r="C27" s="47">
        <f>C24+C25</f>
        <v/>
      </c>
      <c r="D27" s="48" t="n"/>
      <c r="E27" s="48">
        <f>C27/$C$40</f>
        <v/>
      </c>
    </row>
    <row r="28" ht="33" customHeight="1" s="183">
      <c r="B28" s="46" t="inlineStr">
        <is>
          <t>ПРОЧ. ЗАТР., УЧТЕННЫЕ ПОКАЗАТЕЛЕМ,  в том числе</t>
        </is>
      </c>
      <c r="C28" s="46" t="n"/>
      <c r="D28" s="46" t="n"/>
      <c r="E28" s="46" t="n"/>
    </row>
    <row r="29" ht="25.5" customHeight="1" s="183">
      <c r="B29" s="46" t="inlineStr">
        <is>
          <t>Временные здания и сооружения</t>
        </is>
      </c>
      <c r="C29" s="47">
        <f>ROUND(C24*'Прил. 10'!D14,2)</f>
        <v/>
      </c>
      <c r="D29" s="46" t="n"/>
      <c r="E29" s="48">
        <f>C29/$C$40</f>
        <v/>
      </c>
    </row>
    <row r="30" ht="38.25" customHeight="1" s="183">
      <c r="B30" s="46" t="inlineStr">
        <is>
          <t>Дополнительные затраты при производстве строительно-монтажных работ в зимнее время</t>
        </is>
      </c>
      <c r="C30" s="47">
        <f>ROUND((C24+C29)*'Прил. 10'!D15,2)</f>
        <v/>
      </c>
      <c r="D30" s="46" t="n"/>
      <c r="E30" s="48">
        <f>C30/$C$40</f>
        <v/>
      </c>
    </row>
    <row r="31">
      <c r="B31" s="46" t="inlineStr">
        <is>
          <t xml:space="preserve">Пусконаладочные работы </t>
        </is>
      </c>
      <c r="C31" s="47" t="n">
        <v>0</v>
      </c>
      <c r="D31" s="46" t="n"/>
      <c r="E31" s="48">
        <f>C31/$C$40</f>
        <v/>
      </c>
    </row>
    <row r="32" ht="25.5" customHeight="1" s="183">
      <c r="B32" s="46" t="inlineStr">
        <is>
          <t>Затраты по перевозке работников к месту работы и обратно</t>
        </is>
      </c>
      <c r="C32" s="47" t="n">
        <v>0</v>
      </c>
      <c r="D32" s="46" t="n"/>
      <c r="E32" s="48">
        <f>C32/$C$40</f>
        <v/>
      </c>
      <c r="G32" s="156" t="n"/>
    </row>
    <row r="33" ht="25.5" customHeight="1" s="183">
      <c r="B33" s="46" t="inlineStr">
        <is>
          <t>Затраты, связанные с осуществлением работ вахтовым методом</t>
        </is>
      </c>
      <c r="C33" s="47" t="n">
        <v>0</v>
      </c>
      <c r="D33" s="46" t="n"/>
      <c r="E33" s="48">
        <f>C33/$C$40</f>
        <v/>
      </c>
      <c r="G33" s="156" t="n"/>
    </row>
    <row r="34" ht="51" customHeight="1" s="183">
      <c r="B34" s="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7" t="n">
        <v>0</v>
      </c>
      <c r="D34" s="46" t="n"/>
      <c r="E34" s="48">
        <f>C34/$C$40</f>
        <v/>
      </c>
      <c r="G34" s="156" t="n"/>
    </row>
    <row r="35" ht="76.7" customHeight="1" s="183">
      <c r="B35" s="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7" t="n">
        <v>0</v>
      </c>
      <c r="D35" s="46" t="n"/>
      <c r="E35" s="48">
        <f>C35/$C$40</f>
        <v/>
      </c>
      <c r="G35" s="156" t="n"/>
    </row>
    <row r="36" ht="25.5" customHeight="1" s="183">
      <c r="B36" s="46" t="inlineStr">
        <is>
          <t>Строительный контроль и содержание службы заказчика - 2,14%</t>
        </is>
      </c>
      <c r="C36" s="47">
        <f>ROUND(SUM(C27:C35)*2.14%,2)</f>
        <v/>
      </c>
      <c r="D36" s="46" t="n"/>
      <c r="E36" s="48">
        <f>C36/$C$40</f>
        <v/>
      </c>
      <c r="G36" s="89" t="n"/>
      <c r="L36" s="20" t="n"/>
    </row>
    <row r="37">
      <c r="B37" s="46" t="inlineStr">
        <is>
          <t>Авторский надзор - 0,2%</t>
        </is>
      </c>
      <c r="C37" s="47">
        <f>ROUND(SUM(C27:C35)*0.2%,2)</f>
        <v/>
      </c>
      <c r="D37" s="46" t="n"/>
      <c r="E37" s="48">
        <f>C37/$C$40</f>
        <v/>
      </c>
      <c r="G37" s="89" t="n"/>
      <c r="L37" s="20" t="n"/>
    </row>
    <row r="38" ht="38.25" customHeight="1" s="183">
      <c r="B38" s="46" t="inlineStr">
        <is>
          <t>ИТОГО (СМР+ОБОРУДОВАНИЕ+ПРОЧ. ЗАТР., УЧТЕННЫЕ ПОКАЗАТЕЛЕМ)</t>
        </is>
      </c>
      <c r="C38" s="188">
        <f>SUM(C27:C37)</f>
        <v/>
      </c>
      <c r="D38" s="46" t="n"/>
      <c r="E38" s="48">
        <f>C38/$C$40</f>
        <v/>
      </c>
    </row>
    <row r="39" ht="13.7" customHeight="1" s="183">
      <c r="B39" s="46" t="inlineStr">
        <is>
          <t>Непредвиденные расходы</t>
        </is>
      </c>
      <c r="C39" s="188">
        <f>ROUND(C38*3%,2)</f>
        <v/>
      </c>
      <c r="D39" s="46" t="n"/>
      <c r="E39" s="48">
        <f>C39/$C$40</f>
        <v/>
      </c>
    </row>
    <row r="40">
      <c r="B40" s="46" t="inlineStr">
        <is>
          <t>ВСЕГО:</t>
        </is>
      </c>
      <c r="C40" s="188">
        <f>C39+C38</f>
        <v/>
      </c>
      <c r="D40" s="46" t="n"/>
      <c r="E40" s="48">
        <f>C40/$C$40</f>
        <v/>
      </c>
    </row>
    <row r="41">
      <c r="B41" s="46" t="inlineStr">
        <is>
          <t>ИТОГО ПОКАЗАТЕЛЬ НА ЕД. ИЗМ.</t>
        </is>
      </c>
      <c r="C41" s="188">
        <f>C40/'Прил.5 Расчет СМР и ОБ'!E48</f>
        <v/>
      </c>
      <c r="D41" s="46" t="n"/>
      <c r="E41" s="46" t="n"/>
    </row>
    <row r="42">
      <c r="B42" s="190" t="n"/>
      <c r="C42" s="186" t="n"/>
      <c r="D42" s="186" t="n"/>
      <c r="E42" s="186" t="n"/>
    </row>
    <row r="43">
      <c r="B43" s="186" t="inlineStr">
        <is>
          <t>Составил ______________________        Е.А. Князева</t>
        </is>
      </c>
      <c r="C43" s="193" t="n"/>
      <c r="D43" s="186" t="n"/>
      <c r="E43" s="186" t="n"/>
    </row>
    <row r="44">
      <c r="B44" s="194" t="inlineStr">
        <is>
          <t xml:space="preserve">                         (подпись, инициалы, фамилия)</t>
        </is>
      </c>
      <c r="C44" s="193" t="n"/>
      <c r="D44" s="186" t="n"/>
      <c r="E44" s="186" t="n"/>
    </row>
    <row r="45">
      <c r="B45" s="186" t="n"/>
      <c r="C45" s="193" t="n"/>
      <c r="D45" s="186" t="n"/>
      <c r="E45" s="186" t="n"/>
    </row>
    <row r="46">
      <c r="B46" s="186" t="inlineStr">
        <is>
          <t>Проверил ______________________        А.В. Костянецкая</t>
        </is>
      </c>
      <c r="C46" s="193" t="n"/>
      <c r="D46" s="186" t="n"/>
      <c r="E46" s="186" t="n"/>
    </row>
    <row r="47">
      <c r="B47" s="194" t="inlineStr">
        <is>
          <t xml:space="preserve">                        (подпись, инициалы, фамилия)</t>
        </is>
      </c>
      <c r="C47" s="193" t="n"/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N55"/>
  <sheetViews>
    <sheetView view="pageBreakPreview" topLeftCell="A56" workbookViewId="0">
      <selection activeCell="C62" sqref="C62"/>
    </sheetView>
  </sheetViews>
  <sheetFormatPr baseColWidth="8" defaultColWidth="9.140625" defaultRowHeight="15" outlineLevelRow="1"/>
  <cols>
    <col width="5.7109375" customWidth="1" style="193" min="1" max="1"/>
    <col width="22.5703125" customWidth="1" style="193" min="2" max="2"/>
    <col width="39.140625" customWidth="1" style="193" min="3" max="3"/>
    <col width="10.7109375" customWidth="1" style="193" min="4" max="4"/>
    <col width="12.7109375" customWidth="1" style="193" min="5" max="5"/>
    <col width="14.5703125" customWidth="1" style="193" min="6" max="6"/>
    <col width="13.42578125" customWidth="1" style="193" min="7" max="7"/>
    <col width="12.7109375" customWidth="1" style="193" min="8" max="8"/>
    <col width="14.5703125" customWidth="1" style="193" min="9" max="9"/>
    <col width="15.140625" customWidth="1" style="193" min="10" max="10"/>
    <col width="2.85546875" customWidth="1" style="193" min="11" max="11"/>
    <col width="10.7109375" customWidth="1" style="193" min="12" max="12"/>
    <col width="10.85546875" customWidth="1" style="193" min="13" max="13"/>
    <col width="9.140625" customWidth="1" style="193" min="14" max="14"/>
    <col width="9.140625" customWidth="1" style="183" min="15" max="15"/>
  </cols>
  <sheetData>
    <row r="2" ht="15.75" customHeight="1" s="183">
      <c r="I2" s="121" t="n"/>
      <c r="J2" s="91" t="inlineStr">
        <is>
          <t>Приложение №5</t>
        </is>
      </c>
    </row>
    <row r="4" ht="12.75" customFormat="1" customHeight="1" s="186">
      <c r="A4" s="233" t="inlineStr">
        <is>
          <t>Расчет стоимости СМР и оборудования</t>
        </is>
      </c>
      <c r="I4" s="233" t="n"/>
      <c r="J4" s="233" t="n"/>
    </row>
    <row r="5" ht="12.75" customFormat="1" customHeight="1" s="186">
      <c r="A5" s="233" t="n"/>
      <c r="B5" s="233" t="n"/>
      <c r="C5" s="233" t="n"/>
      <c r="D5" s="233" t="n"/>
      <c r="E5" s="233" t="n"/>
      <c r="F5" s="233" t="n"/>
      <c r="G5" s="233" t="n"/>
      <c r="H5" s="233" t="n"/>
      <c r="I5" s="233" t="n"/>
      <c r="J5" s="233" t="n"/>
    </row>
    <row r="6" ht="41.25" customFormat="1" customHeight="1" s="186">
      <c r="A6" s="145" t="inlineStr">
        <is>
          <t>Наименование разрабатываемого показателя УНЦ</t>
        </is>
      </c>
      <c r="B6" s="146" t="n"/>
      <c r="C6" s="146" t="n"/>
      <c r="D6" s="249" t="inlineStr">
        <is>
          <t>Устройство трубы для ВОК</t>
        </is>
      </c>
    </row>
    <row r="7" ht="12.75" customFormat="1" customHeight="1" s="186">
      <c r="A7" s="249">
        <f>'Прил.1 Сравнит табл'!B9</f>
        <v/>
      </c>
      <c r="I7" s="234" t="n"/>
      <c r="J7" s="234" t="n"/>
    </row>
    <row r="8" ht="12.75" customFormat="1" customHeight="1" s="186"/>
    <row r="9" ht="27" customHeight="1" s="183">
      <c r="A9" s="236" t="inlineStr">
        <is>
          <t>№ пп.</t>
        </is>
      </c>
      <c r="B9" s="236" t="inlineStr">
        <is>
          <t>Код ресурса</t>
        </is>
      </c>
      <c r="C9" s="236" t="inlineStr">
        <is>
          <t>Наименование</t>
        </is>
      </c>
      <c r="D9" s="236" t="inlineStr">
        <is>
          <t>Ед. изм.</t>
        </is>
      </c>
      <c r="E9" s="236" t="inlineStr">
        <is>
          <t>Кол-во единиц по проектным данным</t>
        </is>
      </c>
      <c r="F9" s="236" t="inlineStr">
        <is>
          <t>Сметная стоимость в ценах на 01.01.2000 (руб.)</t>
        </is>
      </c>
      <c r="G9" s="262" t="n"/>
      <c r="H9" s="236" t="inlineStr">
        <is>
          <t>Удельный вес, %</t>
        </is>
      </c>
      <c r="I9" s="236" t="inlineStr">
        <is>
          <t>Сметная стоимость в ценах на 01.01.2023 (руб.)</t>
        </is>
      </c>
      <c r="J9" s="262" t="n"/>
    </row>
    <row r="10" ht="28.5" customHeight="1" s="183">
      <c r="A10" s="264" t="n"/>
      <c r="B10" s="264" t="n"/>
      <c r="C10" s="264" t="n"/>
      <c r="D10" s="264" t="n"/>
      <c r="E10" s="264" t="n"/>
      <c r="F10" s="236" t="inlineStr">
        <is>
          <t>на ед. изм.</t>
        </is>
      </c>
      <c r="G10" s="236" t="inlineStr">
        <is>
          <t>общая</t>
        </is>
      </c>
      <c r="H10" s="264" t="n"/>
      <c r="I10" s="236" t="inlineStr">
        <is>
          <t>на ед. изм.</t>
        </is>
      </c>
      <c r="J10" s="236" t="inlineStr">
        <is>
          <t>общая</t>
        </is>
      </c>
    </row>
    <row r="11">
      <c r="A11" s="236" t="n">
        <v>1</v>
      </c>
      <c r="B11" s="236" t="n">
        <v>2</v>
      </c>
      <c r="C11" s="236" t="n">
        <v>3</v>
      </c>
      <c r="D11" s="236" t="n">
        <v>4</v>
      </c>
      <c r="E11" s="236" t="n">
        <v>5</v>
      </c>
      <c r="F11" s="236" t="n">
        <v>6</v>
      </c>
      <c r="G11" s="236" t="n">
        <v>7</v>
      </c>
      <c r="H11" s="236" t="n">
        <v>8</v>
      </c>
      <c r="I11" s="236" t="n">
        <v>9</v>
      </c>
      <c r="J11" s="236" t="n">
        <v>10</v>
      </c>
    </row>
    <row r="12">
      <c r="A12" s="236" t="n"/>
      <c r="B12" s="250" t="inlineStr">
        <is>
          <t>Затраты труда рабочих-строителей</t>
        </is>
      </c>
      <c r="C12" s="261" t="n"/>
      <c r="D12" s="261" t="n"/>
      <c r="E12" s="261" t="n"/>
      <c r="F12" s="261" t="n"/>
      <c r="G12" s="261" t="n"/>
      <c r="H12" s="262" t="n"/>
      <c r="I12" s="57" t="n"/>
      <c r="J12" s="57" t="n"/>
      <c r="L12" s="107" t="n"/>
    </row>
    <row r="13" ht="25.5" customHeight="1" s="183">
      <c r="A13" s="236" t="n">
        <v>1</v>
      </c>
      <c r="B13" s="199" t="inlineStr">
        <is>
          <t>1-3-8</t>
        </is>
      </c>
      <c r="C13" s="241" t="inlineStr">
        <is>
          <t>Затраты труда рабочих-строителей среднего разряда (3,8)</t>
        </is>
      </c>
      <c r="D13" s="236" t="inlineStr">
        <is>
          <t>чел.-ч.</t>
        </is>
      </c>
      <c r="E13" s="114">
        <f>G13/F13</f>
        <v/>
      </c>
      <c r="F13" s="115" t="n">
        <v>9.4</v>
      </c>
      <c r="G13" s="115">
        <f>SUM('Прил. 3'!H13:H13)</f>
        <v/>
      </c>
      <c r="H13" s="251">
        <f>G13/$G$14</f>
        <v/>
      </c>
      <c r="I13" s="115">
        <f>'ФОТр.тек.'!E13</f>
        <v/>
      </c>
      <c r="J13" s="115">
        <f>ROUND(I13*E13,2)</f>
        <v/>
      </c>
      <c r="M13" s="172" t="n"/>
      <c r="N13" s="193" t="inlineStr">
        <is>
          <t>чел.-ч.</t>
        </is>
      </c>
    </row>
    <row r="14" ht="25.5" customFormat="1" customHeight="1" s="193">
      <c r="A14" s="236" t="n"/>
      <c r="B14" s="236" t="n"/>
      <c r="C14" s="250" t="inlineStr">
        <is>
          <t>Итого по разделу "Затраты труда рабочих-строителей"</t>
        </is>
      </c>
      <c r="D14" s="236" t="inlineStr">
        <is>
          <t>чел.-ч.</t>
        </is>
      </c>
      <c r="E14" s="114">
        <f>SUM(E13:E13)</f>
        <v/>
      </c>
      <c r="F14" s="115" t="n"/>
      <c r="G14" s="115">
        <f>SUM(G13:G13)</f>
        <v/>
      </c>
      <c r="H14" s="251" t="n">
        <v>1</v>
      </c>
      <c r="I14" s="115" t="n"/>
      <c r="J14" s="115">
        <f>SUM(J13:J13)</f>
        <v/>
      </c>
    </row>
    <row r="15" ht="14.25" customFormat="1" customHeight="1" s="193">
      <c r="A15" s="236" t="n"/>
      <c r="B15" s="241" t="inlineStr">
        <is>
          <t>Затраты труда машинистов</t>
        </is>
      </c>
      <c r="C15" s="261" t="n"/>
      <c r="D15" s="261" t="n"/>
      <c r="E15" s="261" t="n"/>
      <c r="F15" s="261" t="n"/>
      <c r="G15" s="261" t="n"/>
      <c r="H15" s="262" t="n"/>
      <c r="I15" s="57" t="n"/>
      <c r="J15" s="57" t="n"/>
    </row>
    <row r="16" ht="14.25" customFormat="1" customHeight="1" s="193">
      <c r="A16" s="236" t="n">
        <v>2</v>
      </c>
      <c r="B16" s="236" t="n">
        <v>2</v>
      </c>
      <c r="C16" s="241" t="inlineStr">
        <is>
          <t>Затраты труда машинистов</t>
        </is>
      </c>
      <c r="D16" s="236" t="inlineStr">
        <is>
          <t>чел.-ч.</t>
        </is>
      </c>
      <c r="E16" s="114">
        <f>'Прил. 3'!F15</f>
        <v/>
      </c>
      <c r="F16" s="115">
        <f>G16/E16</f>
        <v/>
      </c>
      <c r="G16" s="115">
        <f>'Прил. 3'!H15</f>
        <v/>
      </c>
      <c r="H16" s="251" t="n">
        <v>1</v>
      </c>
      <c r="I16" s="115">
        <f>ROUND(F16*'Прил. 10'!D10,2)</f>
        <v/>
      </c>
      <c r="J16" s="115">
        <f>ROUND(I16*E16,2)</f>
        <v/>
      </c>
    </row>
    <row r="17" ht="14.25" customFormat="1" customHeight="1" s="193">
      <c r="A17" s="236" t="n"/>
      <c r="B17" s="250" t="inlineStr">
        <is>
          <t>Машины и механизмы</t>
        </is>
      </c>
      <c r="C17" s="261" t="n"/>
      <c r="D17" s="261" t="n"/>
      <c r="E17" s="261" t="n"/>
      <c r="F17" s="261" t="n"/>
      <c r="G17" s="261" t="n"/>
      <c r="H17" s="262" t="n"/>
      <c r="I17" s="251" t="n"/>
      <c r="J17" s="251" t="n"/>
    </row>
    <row r="18" ht="14.25" customFormat="1" customHeight="1" s="193">
      <c r="A18" s="236" t="n"/>
      <c r="B18" s="241" t="inlineStr">
        <is>
          <t>Основные машины и механизмы</t>
        </is>
      </c>
      <c r="C18" s="261" t="n"/>
      <c r="D18" s="261" t="n"/>
      <c r="E18" s="261" t="n"/>
      <c r="F18" s="261" t="n"/>
      <c r="G18" s="261" t="n"/>
      <c r="H18" s="262" t="n"/>
      <c r="I18" s="57" t="n"/>
      <c r="J18" s="57" t="n"/>
    </row>
    <row r="19" ht="25.5" customFormat="1" customHeight="1" s="193">
      <c r="A19" s="236" t="n">
        <v>3</v>
      </c>
      <c r="B19" s="199" t="inlineStr">
        <is>
          <t>91.05.05-015</t>
        </is>
      </c>
      <c r="C19" s="241" t="inlineStr">
        <is>
          <t>Краны на автомобильном ходу, грузоподъемность 16 т</t>
        </is>
      </c>
      <c r="D19" s="236" t="inlineStr">
        <is>
          <t>маш.-ч.</t>
        </is>
      </c>
      <c r="E19" s="114" t="n">
        <v>0.6</v>
      </c>
      <c r="F19" s="255" t="n">
        <v>115.4</v>
      </c>
      <c r="G19" s="115">
        <f>ROUND(E19*F19,2)</f>
        <v/>
      </c>
      <c r="H19" s="251">
        <f>G19/$G$23</f>
        <v/>
      </c>
      <c r="I19" s="115">
        <f>ROUND(F19*'Прил. 10'!$D$11,2)</f>
        <v/>
      </c>
      <c r="J19" s="115">
        <f>ROUND(I19*E19,2)</f>
        <v/>
      </c>
    </row>
    <row r="20" ht="25.5" customFormat="1" customHeight="1" s="193">
      <c r="A20" s="236" t="n">
        <v>4</v>
      </c>
      <c r="B20" s="199" t="inlineStr">
        <is>
          <t>91.14.02-001</t>
        </is>
      </c>
      <c r="C20" s="241" t="inlineStr">
        <is>
          <t>Автомобили бортовые, грузоподъемность до 5 т</t>
        </is>
      </c>
      <c r="D20" s="236" t="inlineStr">
        <is>
          <t>маш.-ч.</t>
        </is>
      </c>
      <c r="E20" s="114" t="n">
        <v>0.6</v>
      </c>
      <c r="F20" s="255" t="n">
        <v>65.70999999999999</v>
      </c>
      <c r="G20" s="115">
        <f>ROUND(E20*F20,2)</f>
        <v/>
      </c>
      <c r="H20" s="251">
        <f>G20/$G$23</f>
        <v/>
      </c>
      <c r="I20" s="115">
        <f>ROUND(F20*'Прил. 10'!$D$11,2)</f>
        <v/>
      </c>
      <c r="J20" s="115">
        <f>ROUND(I20*E20,2)</f>
        <v/>
      </c>
    </row>
    <row r="21" ht="14.25" customFormat="1" customHeight="1" s="193">
      <c r="B21" s="236" t="n"/>
      <c r="C21" s="241" t="inlineStr">
        <is>
          <t>Итого основные машины и механизмы</t>
        </is>
      </c>
      <c r="D21" s="236" t="n"/>
      <c r="E21" s="70" t="n"/>
      <c r="F21" s="115" t="n"/>
      <c r="G21" s="115">
        <f>SUM(G19:G20)</f>
        <v/>
      </c>
      <c r="H21" s="251">
        <f>G21/G23</f>
        <v/>
      </c>
      <c r="I21" s="115" t="n"/>
      <c r="J21" s="115">
        <f>SUM(J19:J20)</f>
        <v/>
      </c>
    </row>
    <row r="22" ht="14.25" customFormat="1" customHeight="1" s="193">
      <c r="A22" s="236" t="n"/>
      <c r="B22" s="236" t="n"/>
      <c r="C22" s="241" t="inlineStr">
        <is>
          <t>Итого прочие машины и механизмы</t>
        </is>
      </c>
      <c r="D22" s="236" t="n"/>
      <c r="E22" s="242" t="n"/>
      <c r="F22" s="115" t="n"/>
      <c r="G22" s="115" t="n">
        <v>0</v>
      </c>
      <c r="H22" s="251">
        <f>G22/G23</f>
        <v/>
      </c>
      <c r="I22" s="115" t="n"/>
      <c r="J22" s="115" t="n">
        <v>0</v>
      </c>
      <c r="K22" s="275" t="n"/>
    </row>
    <row r="23" ht="25.5" customFormat="1" customHeight="1" s="193">
      <c r="A23" s="236" t="n"/>
      <c r="B23" s="237" t="n"/>
      <c r="C23" s="245" t="inlineStr">
        <is>
          <t>Итого по разделу «Машины и механизмы»</t>
        </is>
      </c>
      <c r="D23" s="237" t="n"/>
      <c r="E23" s="74" t="n"/>
      <c r="F23" s="75" t="n"/>
      <c r="G23" s="75">
        <f>G21+G22</f>
        <v/>
      </c>
      <c r="H23" s="76" t="n">
        <v>1</v>
      </c>
      <c r="I23" s="75" t="n"/>
      <c r="J23" s="75">
        <f>J21+J22</f>
        <v/>
      </c>
      <c r="L23" s="171" t="n"/>
      <c r="M23" s="170" t="n"/>
    </row>
    <row r="24" s="183">
      <c r="A24" s="112" t="n"/>
      <c r="B24" s="245" t="inlineStr">
        <is>
          <t xml:space="preserve">Оборудование </t>
        </is>
      </c>
      <c r="C24" s="266" t="n"/>
      <c r="D24" s="266" t="n"/>
      <c r="E24" s="266" t="n"/>
      <c r="F24" s="266" t="n"/>
      <c r="G24" s="266" t="n"/>
      <c r="H24" s="266" t="n"/>
      <c r="I24" s="266" t="n"/>
      <c r="J24" s="267" t="n"/>
      <c r="K24" s="193" t="n"/>
      <c r="L24" s="193" t="n"/>
      <c r="M24" s="193" t="n"/>
      <c r="N24" s="193" t="n"/>
    </row>
    <row r="25" ht="15" customHeight="1" s="183">
      <c r="A25" s="236" t="n"/>
      <c r="B25" s="241" t="inlineStr">
        <is>
          <t>Основное оборудование</t>
        </is>
      </c>
      <c r="C25" s="261" t="n"/>
      <c r="D25" s="261" t="n"/>
      <c r="E25" s="261" t="n"/>
      <c r="F25" s="261" t="n"/>
      <c r="G25" s="261" t="n"/>
      <c r="H25" s="261" t="n"/>
      <c r="I25" s="261" t="n"/>
      <c r="J25" s="262" t="n"/>
      <c r="K25" s="193" t="n"/>
      <c r="L25" s="193" t="n"/>
      <c r="M25" s="193" t="n"/>
      <c r="N25" s="193" t="n"/>
    </row>
    <row r="26" s="183">
      <c r="A26" s="116" t="n"/>
      <c r="B26" s="236" t="n"/>
      <c r="C26" s="241" t="inlineStr">
        <is>
          <t>Итого основное оборудование</t>
        </is>
      </c>
      <c r="D26" s="236" t="n"/>
      <c r="E26" s="114" t="n"/>
      <c r="F26" s="243" t="n"/>
      <c r="G26" s="115" t="n">
        <v>0</v>
      </c>
      <c r="H26" s="251" t="n"/>
      <c r="I26" s="115" t="n"/>
      <c r="J26" s="115" t="n">
        <v>0</v>
      </c>
      <c r="K26" s="275" t="n"/>
      <c r="L26" s="193" t="n"/>
      <c r="M26" s="193" t="n"/>
      <c r="N26" s="193" t="n"/>
    </row>
    <row r="27" s="183">
      <c r="A27" s="116" t="n"/>
      <c r="B27" s="236" t="n"/>
      <c r="C27" s="241" t="inlineStr">
        <is>
          <t>Итого прочее оборудование</t>
        </is>
      </c>
      <c r="D27" s="236" t="n"/>
      <c r="E27" s="242" t="n"/>
      <c r="F27" s="243" t="n"/>
      <c r="G27" s="115" t="n">
        <v>0</v>
      </c>
      <c r="H27" s="251" t="n"/>
      <c r="I27" s="115" t="n"/>
      <c r="J27" s="115" t="n">
        <v>0</v>
      </c>
      <c r="K27" s="275" t="n"/>
      <c r="L27" s="193" t="n"/>
      <c r="M27" s="193" t="n"/>
      <c r="N27" s="193" t="n"/>
    </row>
    <row r="28" s="183">
      <c r="A28" s="236" t="n"/>
      <c r="B28" s="236" t="n"/>
      <c r="C28" s="250" t="inlineStr">
        <is>
          <t>Итого по разделу «Оборудование»</t>
        </is>
      </c>
      <c r="D28" s="236" t="n"/>
      <c r="E28" s="242" t="n"/>
      <c r="F28" s="243" t="n"/>
      <c r="G28" s="115">
        <f>G26+G27</f>
        <v/>
      </c>
      <c r="H28" s="251" t="n"/>
      <c r="I28" s="115" t="n"/>
      <c r="J28" s="115">
        <f>J27+J26</f>
        <v/>
      </c>
      <c r="K28" s="275" t="n"/>
      <c r="L28" s="171" t="n"/>
      <c r="M28" s="170" t="n"/>
      <c r="N28" s="193" t="n"/>
    </row>
    <row r="29" ht="25.5" customHeight="1" s="183">
      <c r="A29" s="236" t="n"/>
      <c r="B29" s="236" t="n"/>
      <c r="C29" s="241" t="inlineStr">
        <is>
          <t>в том числе технологическое оборудование</t>
        </is>
      </c>
      <c r="D29" s="236" t="n"/>
      <c r="E29" s="242" t="n"/>
      <c r="F29" s="243" t="n"/>
      <c r="G29" s="115">
        <f>'Прил.6 Расчет ОБ'!G15</f>
        <v/>
      </c>
      <c r="H29" s="251" t="n"/>
      <c r="I29" s="115" t="n"/>
      <c r="J29" s="115">
        <f>ROUND(G29*'Прил. 10'!$D$13,2)</f>
        <v/>
      </c>
      <c r="K29" s="275" t="n"/>
      <c r="L29" s="193" t="n"/>
      <c r="M29" s="193" t="n"/>
      <c r="N29" s="193" t="n"/>
    </row>
    <row r="30" ht="14.25" customFormat="1" customHeight="1" s="193">
      <c r="A30" s="238" t="n"/>
      <c r="B30" s="276" t="inlineStr">
        <is>
          <t>Материалы</t>
        </is>
      </c>
      <c r="J30" s="269" t="n"/>
      <c r="K30" s="275" t="n"/>
    </row>
    <row r="31" ht="14.25" customFormat="1" customHeight="1" s="193">
      <c r="A31" s="236" t="n"/>
      <c r="B31" s="241" t="inlineStr">
        <is>
          <t>Основные материалы</t>
        </is>
      </c>
      <c r="C31" s="261" t="n"/>
      <c r="D31" s="261" t="n"/>
      <c r="E31" s="261" t="n"/>
      <c r="F31" s="261" t="n"/>
      <c r="G31" s="261" t="n"/>
      <c r="H31" s="262" t="n"/>
      <c r="I31" s="251" t="n"/>
      <c r="J31" s="251" t="n"/>
    </row>
    <row r="32" ht="38.25" customFormat="1" customHeight="1" s="193">
      <c r="A32" s="236" t="n">
        <v>5</v>
      </c>
      <c r="B32" s="199" t="inlineStr">
        <is>
          <t>24.3.03.13-0102</t>
        </is>
      </c>
      <c r="C32" s="241" t="inlineStr">
        <is>
          <t>Труба: ПЭ 63, ПЭ 80, тип ПЭ ВОК 32/26 (ТУ 2248-071-18425183- 2000)</t>
        </is>
      </c>
      <c r="D32" s="236" t="inlineStr">
        <is>
          <t>10 м</t>
        </is>
      </c>
      <c r="E32" s="114" t="n">
        <v>100</v>
      </c>
      <c r="F32" s="255" t="n">
        <v>249.7</v>
      </c>
      <c r="G32" s="115">
        <f>ROUND(E32*F32,2)</f>
        <v/>
      </c>
      <c r="H32" s="251">
        <f>G32/$G$42</f>
        <v/>
      </c>
      <c r="I32" s="115">
        <f>ROUND(F32*'Прил. 10'!$D$12,2)</f>
        <v/>
      </c>
      <c r="J32" s="115">
        <f>ROUND(I32*E32,2)</f>
        <v/>
      </c>
    </row>
    <row r="33" ht="38.25" customFormat="1" customHeight="1" s="193">
      <c r="A33" s="236" t="n">
        <v>6</v>
      </c>
      <c r="B33" s="199" t="inlineStr">
        <is>
          <t>14.2.02.08-0018</t>
        </is>
      </c>
      <c r="C33" s="241" t="inlineStr">
        <is>
          <t>Плита негорючая, марка: "PROMATECT-Н", толщина 10 мм</t>
        </is>
      </c>
      <c r="D33" s="236" t="inlineStr">
        <is>
          <t>м2</t>
        </is>
      </c>
      <c r="E33" s="114" t="n">
        <v>220</v>
      </c>
      <c r="F33" s="255" t="n">
        <v>286.41</v>
      </c>
      <c r="G33" s="115">
        <f>ROUND(E33*F33,2)</f>
        <v/>
      </c>
      <c r="H33" s="251">
        <f>G33/$G$42</f>
        <v/>
      </c>
      <c r="I33" s="115">
        <f>ROUND(F33*'Прил. 10'!$D$12,2)</f>
        <v/>
      </c>
      <c r="J33" s="115">
        <f>ROUND(I33*E33,2)</f>
        <v/>
      </c>
    </row>
    <row r="34" ht="14.25" customFormat="1" customHeight="1" s="193">
      <c r="B34" s="236" t="n"/>
      <c r="C34" s="241" t="inlineStr">
        <is>
          <t>Итого основные материалы</t>
        </is>
      </c>
      <c r="D34" s="236" t="n"/>
      <c r="E34" s="114" t="n"/>
      <c r="F34" s="243" t="n"/>
      <c r="G34" s="115">
        <f>SUM(G32:G33)</f>
        <v/>
      </c>
      <c r="H34" s="251">
        <f>G34/$G$42</f>
        <v/>
      </c>
      <c r="I34" s="115" t="n"/>
      <c r="J34" s="115">
        <f>SUM(J32:J33)</f>
        <v/>
      </c>
      <c r="K34" s="275" t="n"/>
    </row>
    <row r="35" hidden="1" outlineLevel="1" ht="14.25" customFormat="1" customHeight="1" s="193">
      <c r="A35" s="236" t="n">
        <v>7</v>
      </c>
      <c r="B35" s="102" t="inlineStr">
        <is>
          <t>20.2.01.05-0007</t>
        </is>
      </c>
      <c r="C35" s="241" t="inlineStr">
        <is>
          <t>Гильзы кабельные медные ГМ 35</t>
        </is>
      </c>
      <c r="D35" s="236" t="inlineStr">
        <is>
          <t>100 шт</t>
        </is>
      </c>
      <c r="E35" s="114" t="n">
        <v>0.5</v>
      </c>
      <c r="F35" s="255" t="n">
        <v>378</v>
      </c>
      <c r="G35" s="115">
        <f>ROUND(F35*E35,2)</f>
        <v/>
      </c>
      <c r="H35" s="251">
        <f>G35/$G$42</f>
        <v/>
      </c>
      <c r="I35" s="115">
        <f>ROUND(F35*'Прил. 10'!$D$12,2)</f>
        <v/>
      </c>
      <c r="J35" s="115">
        <f>ROUND(I35*E35,2)</f>
        <v/>
      </c>
    </row>
    <row r="36" hidden="1" outlineLevel="1" ht="38.25" customFormat="1" customHeight="1" s="193">
      <c r="A36" s="236" t="n">
        <v>8</v>
      </c>
      <c r="B36" s="199" t="inlineStr">
        <is>
          <t>01.7.06.05-0041</t>
        </is>
      </c>
      <c r="C36" s="241" t="inlineStr">
        <is>
          <t>Лента изоляционная прорезиненная односторонняя, ширина 20 мм, толщина 0,25-0,35 мм</t>
        </is>
      </c>
      <c r="D36" s="236" t="inlineStr">
        <is>
          <t>кг</t>
        </is>
      </c>
      <c r="E36" s="114" t="n">
        <v>3.2</v>
      </c>
      <c r="F36" s="255" t="n">
        <v>30.4</v>
      </c>
      <c r="G36" s="115">
        <f>ROUND(F36*E36,2)</f>
        <v/>
      </c>
      <c r="H36" s="251">
        <f>G36/$G$42</f>
        <v/>
      </c>
      <c r="I36" s="115">
        <f>ROUND(F36*'Прил. 10'!$D$12,2)</f>
        <v/>
      </c>
      <c r="J36" s="115">
        <f>ROUND(I36*E36,2)</f>
        <v/>
      </c>
    </row>
    <row r="37" hidden="1" outlineLevel="1" ht="14.25" customFormat="1" customHeight="1" s="193">
      <c r="A37" s="236" t="n">
        <v>9</v>
      </c>
      <c r="B37" s="199" t="inlineStr">
        <is>
          <t>20.2.02.01-0014</t>
        </is>
      </c>
      <c r="C37" s="241" t="inlineStr">
        <is>
          <t>Втулки, диаметр 42 мм</t>
        </is>
      </c>
      <c r="D37" s="236" t="inlineStr">
        <is>
          <t>1000 шт</t>
        </is>
      </c>
      <c r="E37" s="114" t="n">
        <v>0.122</v>
      </c>
      <c r="F37" s="255" t="n">
        <v>282.03</v>
      </c>
      <c r="G37" s="115">
        <f>ROUND(F37*E37,2)</f>
        <v/>
      </c>
      <c r="H37" s="251">
        <f>G37/$G$42</f>
        <v/>
      </c>
      <c r="I37" s="115">
        <f>ROUND(F37*'Прил. 10'!$D$12,2)</f>
        <v/>
      </c>
      <c r="J37" s="115">
        <f>ROUND(I37*E37,2)</f>
        <v/>
      </c>
    </row>
    <row r="38" hidden="1" outlineLevel="1" ht="14.25" customFormat="1" customHeight="1" s="193">
      <c r="A38" s="236" t="n">
        <v>10</v>
      </c>
      <c r="B38" s="199" t="inlineStr">
        <is>
          <t>01.7.07.20-0002</t>
        </is>
      </c>
      <c r="C38" s="241" t="inlineStr">
        <is>
          <t>Тальк молотый, сорт I</t>
        </is>
      </c>
      <c r="D38" s="236" t="inlineStr">
        <is>
          <t>т</t>
        </is>
      </c>
      <c r="E38" s="114" t="n">
        <v>0.0116</v>
      </c>
      <c r="F38" s="255" t="n">
        <v>1820</v>
      </c>
      <c r="G38" s="115">
        <f>ROUND(F38*E38,2)</f>
        <v/>
      </c>
      <c r="H38" s="251">
        <f>G38/$G$42</f>
        <v/>
      </c>
      <c r="I38" s="115">
        <f>ROUND(F38*'Прил. 10'!$D$12,2)</f>
        <v/>
      </c>
      <c r="J38" s="115">
        <f>ROUND(I38*E38,2)</f>
        <v/>
      </c>
    </row>
    <row r="39" hidden="1" outlineLevel="1" ht="25.5" customFormat="1" customHeight="1" s="193">
      <c r="A39" s="236" t="n">
        <v>11</v>
      </c>
      <c r="B39" s="199" t="inlineStr">
        <is>
          <t>999-9950</t>
        </is>
      </c>
      <c r="C39" s="241" t="inlineStr">
        <is>
          <t>Вспомогательные ненормируемые материальные ресурсы</t>
        </is>
      </c>
      <c r="D39" s="236" t="inlineStr">
        <is>
          <t>руб</t>
        </is>
      </c>
      <c r="E39" s="114" t="n">
        <v>16.844</v>
      </c>
      <c r="F39" s="255" t="n">
        <v>1</v>
      </c>
      <c r="G39" s="115">
        <f>ROUND(F39*E39,2)</f>
        <v/>
      </c>
      <c r="H39" s="251">
        <f>G39/$G$42</f>
        <v/>
      </c>
      <c r="I39" s="115">
        <f>ROUND(F39*'Прил. 10'!$D$12,2)</f>
        <v/>
      </c>
      <c r="J39" s="115">
        <f>ROUND(I39*E39,2)</f>
        <v/>
      </c>
    </row>
    <row r="40" hidden="1" outlineLevel="1" ht="14.25" customFormat="1" customHeight="1" s="193">
      <c r="A40" s="236" t="n">
        <v>12</v>
      </c>
      <c r="B40" s="199" t="inlineStr">
        <is>
          <t>14.4.02.09-0001</t>
        </is>
      </c>
      <c r="C40" s="241" t="inlineStr">
        <is>
          <t>Краска</t>
        </is>
      </c>
      <c r="D40" s="236" t="inlineStr">
        <is>
          <t>кг</t>
        </is>
      </c>
      <c r="E40" s="114" t="n">
        <v>0.2</v>
      </c>
      <c r="F40" s="255" t="n">
        <v>28.6</v>
      </c>
      <c r="G40" s="115">
        <f>ROUND(F40*E40,2)</f>
        <v/>
      </c>
      <c r="H40" s="251">
        <f>G40/$G$42</f>
        <v/>
      </c>
      <c r="I40" s="115">
        <f>ROUND(F40*'Прил. 10'!$D$12,2)</f>
        <v/>
      </c>
      <c r="J40" s="115">
        <f>ROUND(I40*E40,2)</f>
        <v/>
      </c>
    </row>
    <row r="41" collapsed="1" ht="14.25" customFormat="1" customHeight="1" s="193">
      <c r="A41" s="236" t="n"/>
      <c r="B41" s="236" t="n"/>
      <c r="C41" s="241" t="inlineStr">
        <is>
          <t>Итого прочие материалы</t>
        </is>
      </c>
      <c r="D41" s="236" t="n"/>
      <c r="E41" s="242" t="n"/>
      <c r="F41" s="243" t="n"/>
      <c r="G41" s="115">
        <f>SUM(G35:G40)</f>
        <v/>
      </c>
      <c r="H41" s="251">
        <f>G41/G42</f>
        <v/>
      </c>
      <c r="I41" s="115" t="n"/>
      <c r="J41" s="115">
        <f>SUM(J35:J40)</f>
        <v/>
      </c>
    </row>
    <row r="42" ht="13.9" customFormat="1" customHeight="1" s="193">
      <c r="A42" s="236" t="n"/>
      <c r="B42" s="236" t="n"/>
      <c r="C42" s="250" t="inlineStr">
        <is>
          <t>Итого по разделу «Материалы»</t>
        </is>
      </c>
      <c r="D42" s="236" t="n"/>
      <c r="E42" s="242" t="n"/>
      <c r="F42" s="243" t="n"/>
      <c r="G42" s="115">
        <f>G34+G41</f>
        <v/>
      </c>
      <c r="H42" s="251" t="n">
        <v>1</v>
      </c>
      <c r="I42" s="243" t="n"/>
      <c r="J42" s="115">
        <f>J34+J41</f>
        <v/>
      </c>
      <c r="K42" s="275" t="n"/>
      <c r="L42" s="171" t="n"/>
      <c r="M42" s="170" t="n"/>
    </row>
    <row r="43" ht="14.25" customFormat="1" customHeight="1" s="193">
      <c r="A43" s="236" t="n"/>
      <c r="B43" s="236" t="n"/>
      <c r="C43" s="241" t="inlineStr">
        <is>
          <t>ИТОГО ПО РМ</t>
        </is>
      </c>
      <c r="D43" s="236" t="n"/>
      <c r="E43" s="242" t="n"/>
      <c r="F43" s="243" t="n"/>
      <c r="G43" s="115">
        <f>G14+G23+G42</f>
        <v/>
      </c>
      <c r="H43" s="251" t="n"/>
      <c r="I43" s="243" t="n"/>
      <c r="J43" s="115">
        <f>J14+J23+J42</f>
        <v/>
      </c>
    </row>
    <row r="44" ht="14.25" customFormat="1" customHeight="1" s="193">
      <c r="A44" s="236" t="n"/>
      <c r="B44" s="236" t="n"/>
      <c r="C44" s="241" t="inlineStr">
        <is>
          <t>Накладные расходы</t>
        </is>
      </c>
      <c r="D44" s="236" t="inlineStr">
        <is>
          <t>%</t>
        </is>
      </c>
      <c r="E44" s="82">
        <f>ROUND(G44/(G14+G16),2)</f>
        <v/>
      </c>
      <c r="F44" s="243" t="n"/>
      <c r="G44" s="115" t="n">
        <v>831.58</v>
      </c>
      <c r="H44" s="251" t="n"/>
      <c r="I44" s="243" t="n"/>
      <c r="J44" s="115">
        <f>ROUND(E44*(J14+J16),2)</f>
        <v/>
      </c>
      <c r="K44" s="83" t="n"/>
    </row>
    <row r="45" ht="14.25" customFormat="1" customHeight="1" s="193">
      <c r="A45" s="236" t="n"/>
      <c r="B45" s="236" t="n"/>
      <c r="C45" s="241" t="inlineStr">
        <is>
          <t>Сметная прибыль</t>
        </is>
      </c>
      <c r="D45" s="236" t="inlineStr">
        <is>
          <t>%</t>
        </is>
      </c>
      <c r="E45" s="82">
        <f>ROUND(G45/(G14+G16),2)</f>
        <v/>
      </c>
      <c r="F45" s="243" t="n"/>
      <c r="G45" s="115" t="n">
        <v>437.22</v>
      </c>
      <c r="H45" s="251" t="n"/>
      <c r="I45" s="243" t="n"/>
      <c r="J45" s="115">
        <f>ROUND(E45*(J14+J16),2)</f>
        <v/>
      </c>
      <c r="K45" s="83" t="n"/>
    </row>
    <row r="46" ht="14.25" customFormat="1" customHeight="1" s="193">
      <c r="A46" s="236" t="n"/>
      <c r="B46" s="236" t="n"/>
      <c r="C46" s="241" t="inlineStr">
        <is>
          <t>Итого СМР (с НР и СП)</t>
        </is>
      </c>
      <c r="D46" s="236" t="n"/>
      <c r="E46" s="242" t="n"/>
      <c r="F46" s="243" t="n"/>
      <c r="G46" s="115">
        <f>G14+G23+G42+G44+G45</f>
        <v/>
      </c>
      <c r="H46" s="251" t="n"/>
      <c r="I46" s="243" t="n"/>
      <c r="J46" s="115">
        <f>J14+J23+J42+J44+J45</f>
        <v/>
      </c>
      <c r="L46" s="84" t="n"/>
    </row>
    <row r="47" ht="14.25" customFormat="1" customHeight="1" s="193">
      <c r="A47" s="236" t="n"/>
      <c r="B47" s="236" t="n"/>
      <c r="C47" s="241" t="inlineStr">
        <is>
          <t>ВСЕГО СМР + ОБОРУДОВАНИЕ</t>
        </is>
      </c>
      <c r="D47" s="236" t="n"/>
      <c r="E47" s="242" t="n"/>
      <c r="F47" s="243" t="n"/>
      <c r="G47" s="115">
        <f>G46+G28</f>
        <v/>
      </c>
      <c r="H47" s="251" t="n"/>
      <c r="I47" s="243" t="n"/>
      <c r="J47" s="115">
        <f>J46+J28</f>
        <v/>
      </c>
      <c r="L47" s="83" t="n"/>
    </row>
    <row r="48" ht="14.25" customFormat="1" customHeight="1" s="193">
      <c r="A48" s="236" t="n"/>
      <c r="B48" s="236" t="n"/>
      <c r="C48" s="241" t="inlineStr">
        <is>
          <t>ИТОГО ПОКАЗАТЕЛЬ НА ЕД. ИЗМ.</t>
        </is>
      </c>
      <c r="D48" s="236" t="inlineStr">
        <is>
          <t>ед.</t>
        </is>
      </c>
      <c r="E48" s="153">
        <f>'Прил.1 Сравнит табл'!D15</f>
        <v/>
      </c>
      <c r="F48" s="243" t="n"/>
      <c r="G48" s="115">
        <f>G47/E48</f>
        <v/>
      </c>
      <c r="H48" s="251" t="n"/>
      <c r="I48" s="243" t="n"/>
      <c r="J48" s="115">
        <f>J47/E48</f>
        <v/>
      </c>
      <c r="L48" s="277" t="n"/>
    </row>
    <row r="50" ht="14.25" customFormat="1" customHeight="1" s="193">
      <c r="A50" s="191" t="n"/>
    </row>
    <row r="51" ht="14.25" customFormat="1" customHeight="1" s="193">
      <c r="A51" s="186" t="inlineStr">
        <is>
          <t>Составил ______________________        Е.А. Князева</t>
        </is>
      </c>
      <c r="B51" s="193" t="n"/>
    </row>
    <row r="52" ht="14.25" customFormat="1" customHeight="1" s="193">
      <c r="A52" s="194" t="inlineStr">
        <is>
          <t xml:space="preserve">                         (подпись, инициалы, фамилия)</t>
        </is>
      </c>
      <c r="B52" s="193" t="n"/>
    </row>
    <row r="53" ht="14.25" customFormat="1" customHeight="1" s="193">
      <c r="A53" s="186" t="n"/>
      <c r="B53" s="193" t="n"/>
    </row>
    <row r="54" ht="14.25" customFormat="1" customHeight="1" s="193">
      <c r="A54" s="186" t="inlineStr">
        <is>
          <t>Проверил ______________________        А.В. Костянецкая</t>
        </is>
      </c>
      <c r="B54" s="193" t="n"/>
    </row>
    <row r="55" ht="14.25" customFormat="1" customHeight="1" s="193">
      <c r="A55" s="194" t="inlineStr">
        <is>
          <t xml:space="preserve">                        (подпись, инициалы, фамилия)</t>
        </is>
      </c>
      <c r="B55" s="193" t="n"/>
    </row>
  </sheetData>
  <mergeCells count="19">
    <mergeCell ref="H9:H10"/>
    <mergeCell ref="B15:H15"/>
    <mergeCell ref="C9:C10"/>
    <mergeCell ref="E9:E10"/>
    <mergeCell ref="A7:H7"/>
    <mergeCell ref="B30:J30"/>
    <mergeCell ref="B24:J24"/>
    <mergeCell ref="B31:H31"/>
    <mergeCell ref="B9:B10"/>
    <mergeCell ref="D9:D10"/>
    <mergeCell ref="B18:H18"/>
    <mergeCell ref="B12:H12"/>
    <mergeCell ref="D6:J6"/>
    <mergeCell ref="F9:G9"/>
    <mergeCell ref="A4:H4"/>
    <mergeCell ref="B25:J25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2"/>
  <sheetViews>
    <sheetView view="pageBreakPreview" workbookViewId="0">
      <selection activeCell="E20" sqref="E20"/>
    </sheetView>
  </sheetViews>
  <sheetFormatPr baseColWidth="8" defaultRowHeight="15"/>
  <cols>
    <col width="5.7109375" customWidth="1" style="183" min="1" max="1"/>
    <col width="14.85546875" customWidth="1" style="183" min="2" max="2"/>
    <col width="39.140625" customWidth="1" style="183" min="3" max="3"/>
    <col width="8.28515625" customWidth="1" style="183" min="4" max="4"/>
    <col width="13.5703125" customWidth="1" style="183" min="5" max="5"/>
    <col width="12.42578125" customWidth="1" style="183" min="6" max="6"/>
    <col width="14.140625" customWidth="1" style="183" min="7" max="7"/>
  </cols>
  <sheetData>
    <row r="1">
      <c r="A1" s="256" t="inlineStr">
        <is>
          <t>Приложение №6</t>
        </is>
      </c>
    </row>
    <row r="2" s="183">
      <c r="A2" s="256" t="n"/>
      <c r="B2" s="256" t="n"/>
      <c r="C2" s="256" t="n"/>
      <c r="D2" s="256" t="n"/>
      <c r="E2" s="256" t="n"/>
      <c r="F2" s="256" t="n"/>
      <c r="G2" s="256" t="n"/>
    </row>
    <row r="3" s="183">
      <c r="A3" s="256" t="n"/>
      <c r="B3" s="256" t="n"/>
      <c r="C3" s="256" t="n"/>
      <c r="D3" s="256" t="n"/>
      <c r="E3" s="256" t="n"/>
      <c r="F3" s="256" t="n"/>
      <c r="G3" s="256" t="n"/>
    </row>
    <row r="4">
      <c r="A4" s="256" t="n"/>
      <c r="B4" s="256" t="n"/>
      <c r="C4" s="256" t="n"/>
      <c r="D4" s="256" t="n"/>
      <c r="E4" s="256" t="n"/>
      <c r="F4" s="256" t="n"/>
      <c r="G4" s="256" t="n"/>
    </row>
    <row r="5">
      <c r="A5" s="233" t="inlineStr">
        <is>
          <t>Расчет стоимости оборудования</t>
        </is>
      </c>
    </row>
    <row r="6" ht="64.5" customHeight="1" s="183">
      <c r="A6" s="217">
        <f>'Прил.1 Сравнит табл'!B7</f>
        <v/>
      </c>
    </row>
    <row r="7">
      <c r="A7" s="186" t="n"/>
      <c r="B7" s="186" t="n"/>
      <c r="C7" s="186" t="n"/>
      <c r="D7" s="186" t="n"/>
      <c r="E7" s="186" t="n"/>
      <c r="F7" s="186" t="n"/>
      <c r="G7" s="186" t="n"/>
    </row>
    <row r="8" ht="30.2" customHeight="1" s="183">
      <c r="A8" s="257" t="inlineStr">
        <is>
          <t>№ пп.</t>
        </is>
      </c>
      <c r="B8" s="257" t="inlineStr">
        <is>
          <t>Код ресурса</t>
        </is>
      </c>
      <c r="C8" s="257" t="inlineStr">
        <is>
          <t>Наименование</t>
        </is>
      </c>
      <c r="D8" s="257" t="inlineStr">
        <is>
          <t>Ед. изм.</t>
        </is>
      </c>
      <c r="E8" s="236" t="inlineStr">
        <is>
          <t>Кол-во единиц по проектным данным</t>
        </is>
      </c>
      <c r="F8" s="257" t="inlineStr">
        <is>
          <t>Сметная стоимость в ценах на 01.01.2000 (руб.)</t>
        </is>
      </c>
      <c r="G8" s="262" t="n"/>
    </row>
    <row r="9">
      <c r="A9" s="264" t="n"/>
      <c r="B9" s="264" t="n"/>
      <c r="C9" s="264" t="n"/>
      <c r="D9" s="264" t="n"/>
      <c r="E9" s="264" t="n"/>
      <c r="F9" s="236" t="inlineStr">
        <is>
          <t>на ед. изм.</t>
        </is>
      </c>
      <c r="G9" s="236" t="inlineStr">
        <is>
          <t>общая</t>
        </is>
      </c>
    </row>
    <row r="10">
      <c r="A10" s="236" t="n">
        <v>1</v>
      </c>
      <c r="B10" s="236" t="n">
        <v>2</v>
      </c>
      <c r="C10" s="236" t="n">
        <v>3</v>
      </c>
      <c r="D10" s="236" t="n">
        <v>4</v>
      </c>
      <c r="E10" s="236" t="n">
        <v>5</v>
      </c>
      <c r="F10" s="236" t="n">
        <v>6</v>
      </c>
      <c r="G10" s="236" t="n">
        <v>7</v>
      </c>
    </row>
    <row r="11" ht="15" customHeight="1" s="183">
      <c r="A11" s="46" t="n"/>
      <c r="B11" s="241" t="inlineStr">
        <is>
          <t>ИНЖЕНЕРНОЕ ОБОРУДОВАНИЕ</t>
        </is>
      </c>
      <c r="C11" s="261" t="n"/>
      <c r="D11" s="261" t="n"/>
      <c r="E11" s="261" t="n"/>
      <c r="F11" s="261" t="n"/>
      <c r="G11" s="262" t="n"/>
    </row>
    <row r="12" ht="27" customHeight="1" s="183">
      <c r="A12" s="236" t="n"/>
      <c r="B12" s="250" t="n"/>
      <c r="C12" s="241" t="inlineStr">
        <is>
          <t>ИТОГО ИНЖЕНЕРНОЕ ОБОРУДОВАНИЕ</t>
        </is>
      </c>
      <c r="D12" s="250" t="n"/>
      <c r="E12" s="9" t="n"/>
      <c r="F12" s="243" t="n"/>
      <c r="G12" s="243" t="n">
        <v>0</v>
      </c>
    </row>
    <row r="13">
      <c r="A13" s="236" t="n"/>
      <c r="B13" s="241" t="inlineStr">
        <is>
          <t>ТЕХНОЛОГИЧЕСКОЕ ОБОРУДОВАНИЕ</t>
        </is>
      </c>
      <c r="C13" s="261" t="n"/>
      <c r="D13" s="261" t="n"/>
      <c r="E13" s="261" t="n"/>
      <c r="F13" s="261" t="n"/>
      <c r="G13" s="262" t="n"/>
    </row>
    <row r="14">
      <c r="A14" s="236" t="n"/>
      <c r="B14" s="153" t="n"/>
      <c r="C14" s="154" t="n"/>
      <c r="D14" s="153" t="n"/>
      <c r="E14" s="153" t="n"/>
      <c r="F14" s="115" t="n"/>
      <c r="G14" s="115">
        <f>ROUND(E14*F14,2)</f>
        <v/>
      </c>
    </row>
    <row r="15" ht="25.5" customHeight="1" s="183">
      <c r="A15" s="236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43" t="n"/>
      <c r="G15" s="115">
        <f>SUM(G14:G14)</f>
        <v/>
      </c>
    </row>
    <row r="16" ht="19.5" customHeight="1" s="183">
      <c r="A16" s="236" t="n"/>
      <c r="B16" s="241" t="n"/>
      <c r="C16" s="241" t="inlineStr">
        <is>
          <t>Всего по разделу «Оборудование»</t>
        </is>
      </c>
      <c r="D16" s="241" t="n"/>
      <c r="E16" s="255" t="n"/>
      <c r="F16" s="243" t="n"/>
      <c r="G16" s="115">
        <f>G12+G15</f>
        <v/>
      </c>
    </row>
    <row r="17">
      <c r="A17" s="191" t="n"/>
      <c r="B17" s="192" t="n"/>
      <c r="C17" s="191" t="n"/>
      <c r="D17" s="191" t="n"/>
      <c r="E17" s="191" t="n"/>
      <c r="F17" s="191" t="n"/>
      <c r="G17" s="191" t="n"/>
    </row>
    <row r="18" s="183">
      <c r="A18" s="186" t="inlineStr">
        <is>
          <t>Составил ______________________        Е.А. Князева</t>
        </is>
      </c>
      <c r="B18" s="193" t="n"/>
      <c r="C18" s="193" t="n"/>
      <c r="D18" s="191" t="n"/>
      <c r="E18" s="191" t="n"/>
      <c r="F18" s="191" t="n"/>
      <c r="G18" s="191" t="n"/>
    </row>
    <row r="19" s="183">
      <c r="A19" s="194" t="inlineStr">
        <is>
          <t xml:space="preserve">                         (подпись, инициалы, фамилия)</t>
        </is>
      </c>
      <c r="B19" s="193" t="n"/>
      <c r="C19" s="193" t="n"/>
      <c r="D19" s="191" t="n"/>
      <c r="E19" s="191" t="n"/>
      <c r="F19" s="191" t="n"/>
      <c r="G19" s="191" t="n"/>
    </row>
    <row r="20" s="183">
      <c r="A20" s="186" t="n"/>
      <c r="B20" s="193" t="n"/>
      <c r="C20" s="193" t="n"/>
      <c r="D20" s="191" t="n"/>
      <c r="E20" s="191" t="n"/>
      <c r="F20" s="191" t="n"/>
      <c r="G20" s="191" t="n"/>
    </row>
    <row r="21" s="183">
      <c r="A21" s="186" t="inlineStr">
        <is>
          <t>Проверил ______________________        А.В. Костянецкая</t>
        </is>
      </c>
      <c r="B21" s="193" t="n"/>
      <c r="C21" s="193" t="n"/>
      <c r="D21" s="191" t="n"/>
      <c r="E21" s="191" t="n"/>
      <c r="F21" s="191" t="n"/>
      <c r="G21" s="191" t="n"/>
    </row>
    <row r="22" s="183">
      <c r="A22" s="194" t="inlineStr">
        <is>
          <t xml:space="preserve">                        (подпись, инициалы, фамилия)</t>
        </is>
      </c>
      <c r="B22" s="193" t="n"/>
      <c r="C22" s="193" t="n"/>
      <c r="D22" s="191" t="n"/>
      <c r="E22" s="191" t="n"/>
      <c r="F22" s="191" t="n"/>
      <c r="G22" s="191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A11" sqref="A11"/>
    </sheetView>
  </sheetViews>
  <sheetFormatPr baseColWidth="8" defaultColWidth="8.85546875" defaultRowHeight="15"/>
  <cols>
    <col width="14.42578125" customWidth="1" style="183" min="1" max="1"/>
    <col width="29.5703125" customWidth="1" style="183" min="2" max="2"/>
    <col width="39.140625" customWidth="1" style="183" min="3" max="3"/>
    <col width="48.140625" customWidth="1" style="183" min="4" max="4"/>
    <col width="8.85546875" customWidth="1" style="183" min="5" max="5"/>
  </cols>
  <sheetData>
    <row r="1">
      <c r="B1" s="186" t="n"/>
      <c r="C1" s="186" t="n"/>
      <c r="D1" s="256" t="inlineStr">
        <is>
          <t>Приложение №7</t>
        </is>
      </c>
    </row>
    <row r="2">
      <c r="A2" s="256" t="n"/>
      <c r="B2" s="256" t="n"/>
      <c r="C2" s="256" t="n"/>
      <c r="D2" s="256" t="n"/>
    </row>
    <row r="3" ht="24.75" customHeight="1" s="183">
      <c r="A3" s="233" t="inlineStr">
        <is>
          <t>Расчет показателя УНЦ</t>
        </is>
      </c>
    </row>
    <row r="4" ht="24.75" customHeight="1" s="183">
      <c r="A4" s="233" t="n"/>
      <c r="B4" s="233" t="n"/>
      <c r="C4" s="233" t="n"/>
      <c r="D4" s="233" t="n"/>
    </row>
    <row r="5" ht="24.6" customHeight="1" s="183">
      <c r="A5" s="249" t="inlineStr">
        <is>
          <t xml:space="preserve">Наименование разрабатываемого показателя УНЦ - </t>
        </is>
      </c>
      <c r="D5" s="249">
        <f>'Прил.5 Расчет СМР и ОБ'!D6:J6</f>
        <v/>
      </c>
    </row>
    <row r="6" ht="19.9" customHeight="1" s="183">
      <c r="A6" s="249" t="inlineStr">
        <is>
          <t>Единица измерения  — 1 км</t>
        </is>
      </c>
      <c r="D6" s="249" t="n"/>
    </row>
    <row r="7">
      <c r="A7" s="186" t="n"/>
      <c r="B7" s="186" t="n"/>
      <c r="C7" s="186" t="n"/>
      <c r="D7" s="186" t="n"/>
    </row>
    <row r="8" ht="14.45" customHeight="1" s="183">
      <c r="A8" s="220" t="inlineStr">
        <is>
          <t>Код показателя</t>
        </is>
      </c>
      <c r="B8" s="220" t="inlineStr">
        <is>
          <t>Наименование показателя</t>
        </is>
      </c>
      <c r="C8" s="220" t="inlineStr">
        <is>
          <t>Наименование РМ, входящих в состав показателя</t>
        </is>
      </c>
      <c r="D8" s="220" t="inlineStr">
        <is>
          <t>Норматив цены на 01.01.2023, тыс.руб.</t>
        </is>
      </c>
    </row>
    <row r="9" ht="15" customHeight="1" s="183">
      <c r="A9" s="264" t="n"/>
      <c r="B9" s="264" t="n"/>
      <c r="C9" s="264" t="n"/>
      <c r="D9" s="264" t="n"/>
    </row>
    <row r="10">
      <c r="A10" s="236" t="n">
        <v>1</v>
      </c>
      <c r="B10" s="236" t="n">
        <v>2</v>
      </c>
      <c r="C10" s="236" t="n">
        <v>3</v>
      </c>
      <c r="D10" s="236" t="n">
        <v>4</v>
      </c>
    </row>
    <row r="11" ht="41.45" customHeight="1" s="183">
      <c r="A11" s="236" t="inlineStr">
        <is>
          <t>О4.1</t>
        </is>
      </c>
      <c r="B11" s="236" t="inlineStr">
        <is>
          <t>УНЦ ВОК в трубе в земле</t>
        </is>
      </c>
      <c r="C11" s="188">
        <f>D5</f>
        <v/>
      </c>
      <c r="D11" s="189">
        <f>'Прил.4 РМ'!C41/1000</f>
        <v/>
      </c>
      <c r="E11" s="190" t="n"/>
    </row>
    <row r="12">
      <c r="A12" s="191" t="n"/>
      <c r="B12" s="192" t="n"/>
      <c r="C12" s="191" t="n"/>
      <c r="D12" s="191" t="n"/>
    </row>
    <row r="13">
      <c r="A13" s="186" t="inlineStr">
        <is>
          <t>Составил ______________________      Е.А. Князева</t>
        </is>
      </c>
      <c r="B13" s="193" t="n"/>
      <c r="C13" s="193" t="n"/>
      <c r="D13" s="191" t="n"/>
    </row>
    <row r="14">
      <c r="A14" s="194" t="inlineStr">
        <is>
          <t xml:space="preserve">                         (подпись, инициалы, фамилия)</t>
        </is>
      </c>
      <c r="B14" s="193" t="n"/>
      <c r="C14" s="193" t="n"/>
      <c r="D14" s="191" t="n"/>
    </row>
    <row r="15">
      <c r="A15" s="186" t="n"/>
      <c r="B15" s="193" t="n"/>
      <c r="C15" s="193" t="n"/>
      <c r="D15" s="191" t="n"/>
    </row>
    <row r="16">
      <c r="A16" s="186" t="inlineStr">
        <is>
          <t>Проверил ______________________        А.В. Костянецкая</t>
        </is>
      </c>
      <c r="B16" s="193" t="n"/>
      <c r="C16" s="193" t="n"/>
      <c r="D16" s="191" t="n"/>
    </row>
    <row r="17">
      <c r="A17" s="194" t="inlineStr">
        <is>
          <t xml:space="preserve">                        (подпись, инициалы, фамилия)</t>
        </is>
      </c>
      <c r="B17" s="193" t="n"/>
      <c r="C17" s="193" t="n"/>
      <c r="D17" s="19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D24" sqref="D24"/>
    </sheetView>
  </sheetViews>
  <sheetFormatPr baseColWidth="8" defaultRowHeight="15"/>
  <cols>
    <col width="40.7109375" customWidth="1" style="183" min="2" max="2"/>
    <col width="37" customWidth="1" style="183" min="3" max="3"/>
    <col width="32" customWidth="1" style="183" min="4" max="4"/>
  </cols>
  <sheetData>
    <row r="4" ht="15.75" customHeight="1" s="183">
      <c r="B4" s="215" t="inlineStr">
        <is>
          <t>Приложение № 10</t>
        </is>
      </c>
    </row>
    <row r="5" ht="18.75" customHeight="1" s="183">
      <c r="B5" s="35" t="n"/>
    </row>
    <row r="6" ht="15.75" customHeight="1" s="183">
      <c r="B6" s="216" t="inlineStr">
        <is>
          <t>Используемые индексы изменений сметной стоимости и нормы сопутствующих затрат</t>
        </is>
      </c>
    </row>
    <row r="7">
      <c r="B7" s="258" t="n"/>
    </row>
    <row r="8" ht="47.25" customHeight="1" s="183">
      <c r="B8" s="220" t="inlineStr">
        <is>
          <t>Наименование индекса / норм сопутствующих затрат</t>
        </is>
      </c>
      <c r="C8" s="220" t="inlineStr">
        <is>
          <t>Дата применения и обоснование индекса / норм сопутствующих затрат</t>
        </is>
      </c>
      <c r="D8" s="220" t="inlineStr">
        <is>
          <t>Размер индекса / норма сопутствующих затрат</t>
        </is>
      </c>
    </row>
    <row r="9" ht="15.75" customHeight="1" s="183">
      <c r="B9" s="220" t="n">
        <v>1</v>
      </c>
      <c r="C9" s="220" t="n">
        <v>2</v>
      </c>
      <c r="D9" s="220" t="n">
        <v>3</v>
      </c>
    </row>
    <row r="10" ht="31.7" customHeight="1" s="183">
      <c r="B10" s="220" t="inlineStr">
        <is>
          <t xml:space="preserve">Индекс изменения сметной стоимости на 1 квартал 2023 года. ОЗП </t>
        </is>
      </c>
      <c r="C10" s="220" t="inlineStr">
        <is>
          <t>Письмо Минстроя России от 30.03.2023г. №17106-ИФ/09  прил.1</t>
        </is>
      </c>
      <c r="D10" s="220" t="n">
        <v>44.29</v>
      </c>
    </row>
    <row r="11" ht="31.7" customHeight="1" s="183">
      <c r="B11" s="220" t="inlineStr">
        <is>
          <t>Индекс изменения сметной стоимости на 1 квартал 2023 года. ЭМ</t>
        </is>
      </c>
      <c r="C11" s="220" t="inlineStr">
        <is>
          <t>Письмо Минстроя России от 30.03.2023г. №17106-ИФ/09  прил.1</t>
        </is>
      </c>
      <c r="D11" s="220" t="n">
        <v>13.47</v>
      </c>
    </row>
    <row r="12" ht="31.7" customHeight="1" s="183">
      <c r="B12" s="220" t="inlineStr">
        <is>
          <t>Индекс изменения сметной стоимости на 1 квартал 2023 года. МАТ</t>
        </is>
      </c>
      <c r="C12" s="220" t="inlineStr">
        <is>
          <t>Письмо Минстроя России от 30.03.2023г. №17106-ИФ/09  прил.1</t>
        </is>
      </c>
      <c r="D12" s="220" t="n">
        <v>8.039999999999999</v>
      </c>
    </row>
    <row r="13" ht="31.7" customHeight="1" s="183">
      <c r="B13" s="220" t="inlineStr">
        <is>
          <t>Индекс изменения сметной стоимости на 1 квартал 2023 года. ОБ</t>
        </is>
      </c>
      <c r="C13" s="125" t="inlineStr">
        <is>
          <t>Письмо Минстроя России от 23.02.2023г. №9791-ИФ/09 прил.6</t>
        </is>
      </c>
      <c r="D13" s="220" t="n">
        <v>6.26</v>
      </c>
    </row>
    <row r="14" ht="78.75" customHeight="1" s="183">
      <c r="B14" s="220" t="inlineStr">
        <is>
          <t>Временные здания и сооружения</t>
        </is>
      </c>
      <c r="C14" s="220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44" t="n">
        <v>0.025</v>
      </c>
    </row>
    <row r="15" ht="78.75" customHeight="1" s="183">
      <c r="B15" s="220" t="inlineStr">
        <is>
          <t>Дополнительные затраты при производстве строительно-монтажных работ в зимнее время</t>
        </is>
      </c>
      <c r="C15" s="220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44" t="n">
        <v>0.021</v>
      </c>
    </row>
    <row r="16" ht="15.75" customHeight="1" s="183">
      <c r="B16" s="220" t="n"/>
      <c r="C16" s="220" t="n"/>
      <c r="D16" s="220" t="n"/>
    </row>
    <row r="17" ht="31.7" customHeight="1" s="183">
      <c r="B17" s="220" t="inlineStr">
        <is>
          <t>Строительный контроль</t>
        </is>
      </c>
      <c r="C17" s="220" t="inlineStr">
        <is>
          <t>Постановление Правительства РФ от 21.06.10 г. № 468</t>
        </is>
      </c>
      <c r="D17" s="44" t="n">
        <v>0.0214</v>
      </c>
    </row>
    <row r="18" ht="31.7" customHeight="1" s="183">
      <c r="B18" s="220" t="inlineStr">
        <is>
          <t>Авторский надзор - 0,2%</t>
        </is>
      </c>
      <c r="C18" s="220" t="inlineStr">
        <is>
          <t>Приказ от 4.08.2020 № 421/пр п.173</t>
        </is>
      </c>
      <c r="D18" s="44" t="n">
        <v>0.002</v>
      </c>
    </row>
    <row r="19" ht="24" customHeight="1" s="183">
      <c r="B19" s="220" t="inlineStr">
        <is>
          <t>Непредвиденные расходы</t>
        </is>
      </c>
      <c r="C19" s="220" t="inlineStr">
        <is>
          <t>Приказ от 4.08.2020 № 421/пр п.179</t>
        </is>
      </c>
      <c r="D19" s="44" t="n">
        <v>0.03</v>
      </c>
    </row>
    <row r="20" ht="18.75" customHeight="1" s="183">
      <c r="B20" s="36" t="n"/>
    </row>
    <row r="21" ht="18.75" customHeight="1" s="183">
      <c r="B21" s="36" t="n"/>
    </row>
    <row r="22" ht="18.75" customHeight="1" s="183">
      <c r="B22" s="36" t="n"/>
    </row>
    <row r="23" ht="18.75" customHeight="1" s="183">
      <c r="B23" s="36" t="n"/>
    </row>
    <row r="26">
      <c r="B26" s="186" t="inlineStr">
        <is>
          <t>Составил ______________________        Е.А. Князева</t>
        </is>
      </c>
      <c r="C26" s="193" t="n"/>
    </row>
    <row r="27">
      <c r="B27" s="194" t="inlineStr">
        <is>
          <t xml:space="preserve">                         (подпись, инициалы, фамилия)</t>
        </is>
      </c>
      <c r="C27" s="193" t="n"/>
    </row>
    <row r="28">
      <c r="B28" s="186" t="n"/>
      <c r="C28" s="193" t="n"/>
    </row>
    <row r="29">
      <c r="B29" s="186" t="inlineStr">
        <is>
          <t>Проверил ______________________        А.В. Костянецкая</t>
        </is>
      </c>
      <c r="C29" s="193" t="n"/>
    </row>
    <row r="30">
      <c r="B30" s="194" t="inlineStr">
        <is>
          <t xml:space="preserve">                        (подпись, инициалы, фамилия)</t>
        </is>
      </c>
      <c r="C30" s="19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tabSelected="1" view="pageBreakPreview" workbookViewId="0">
      <selection activeCell="E20" sqref="E20"/>
    </sheetView>
  </sheetViews>
  <sheetFormatPr baseColWidth="8" defaultRowHeight="15"/>
  <cols>
    <col width="9.140625" customWidth="1" style="183" min="1" max="1"/>
    <col width="44.85546875" customWidth="1" style="183" min="2" max="2"/>
    <col width="13" customWidth="1" style="183" min="3" max="3"/>
    <col width="22.85546875" customWidth="1" style="183" min="4" max="4"/>
    <col width="21.5703125" customWidth="1" style="183" min="5" max="5"/>
    <col width="43.85546875" customWidth="1" style="183" min="6" max="6"/>
    <col width="9.140625" customWidth="1" style="183" min="7" max="7"/>
  </cols>
  <sheetData>
    <row r="2" ht="18" customHeight="1" s="183">
      <c r="A2" s="25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3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90" customHeight="1" s="183">
      <c r="A7" s="25" t="inlineStr">
        <is>
          <t>1.1</t>
        </is>
      </c>
      <c r="B7" s="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1" t="n">
        <v>47872.94</v>
      </c>
      <c r="F7" s="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.2" customHeight="1" s="183">
      <c r="A8" s="25" t="inlineStr">
        <is>
          <t>1.2</t>
        </is>
      </c>
      <c r="B8" s="42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1">
        <f>1973/12</f>
        <v/>
      </c>
      <c r="F8" s="42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2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1" t="n">
        <v>1</v>
      </c>
      <c r="F9" s="42" t="n"/>
      <c r="G9" s="32" t="n"/>
    </row>
    <row r="10">
      <c r="A10" s="25" t="inlineStr">
        <is>
          <t>1.4</t>
        </is>
      </c>
      <c r="B10" s="42" t="inlineStr">
        <is>
          <t>Средний разряд работ</t>
        </is>
      </c>
      <c r="C10" s="28" t="n"/>
      <c r="D10" s="28" t="n"/>
      <c r="E10" s="278" t="n">
        <v>3.8</v>
      </c>
      <c r="F10" s="42" t="inlineStr">
        <is>
          <t>РТМ</t>
        </is>
      </c>
      <c r="G10" s="32" t="n"/>
    </row>
    <row r="11" ht="75.2" customHeight="1" s="183">
      <c r="A11" s="25" t="inlineStr">
        <is>
          <t>1.5</t>
        </is>
      </c>
      <c r="B11" s="42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279" t="n">
        <v>1.308</v>
      </c>
      <c r="F11" s="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83">
      <c r="A12" s="204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206" t="inlineStr">
        <is>
          <t>Кинф</t>
        </is>
      </c>
      <c r="D12" s="206" t="inlineStr">
        <is>
          <t>-</t>
        </is>
      </c>
      <c r="E12" s="280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83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2025-01-24T12:13:12Z</dcterms:modified>
  <cp:lastModifiedBy>Николай Трофименко</cp:lastModifiedBy>
  <cp:lastPrinted>2023-12-01T12:40:06Z</cp:lastPrinted>
</cp:coreProperties>
</file>