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49" fontId="0" fillId="0" borderId="5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49" fontId="0" fillId="0" borderId="17" applyAlignment="1" pivotButton="0" quotePrefix="0" xfId="0">
      <alignment horizontal="center" vertical="center"/>
    </xf>
    <xf numFmtId="0" fontId="14" fillId="0" borderId="17" applyAlignment="1" pivotButton="0" quotePrefix="0" xfId="0">
      <alignment vertical="center" wrapText="1"/>
    </xf>
    <xf numFmtId="0" fontId="0" fillId="0" borderId="17" applyAlignment="1" pivotButton="0" quotePrefix="0" xfId="0">
      <alignment horizontal="center" vertical="center" wrapText="1"/>
    </xf>
    <xf numFmtId="4" fontId="14" fillId="0" borderId="17" applyAlignment="1" pivotButton="0" quotePrefix="0" xfId="0">
      <alignment horizontal="center" vertical="center"/>
    </xf>
    <xf numFmtId="0" fontId="0" fillId="0" borderId="17" applyAlignment="1" pivotButton="0" quotePrefix="0" xfId="0">
      <alignment horizontal="left" vertical="center" wrapText="1"/>
    </xf>
    <xf numFmtId="0" fontId="0" fillId="0" borderId="16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tabSelected="1" view="pageBreakPreview" topLeftCell="A10" zoomScale="60" zoomScaleNormal="85" workbookViewId="0">
      <selection activeCell="D28" sqref="D28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27" t="inlineStr">
        <is>
          <t>Приложение № 1</t>
        </is>
      </c>
    </row>
    <row r="4" ht="18.75" customHeight="1" s="296">
      <c r="B4" s="328" t="inlineStr">
        <is>
          <t>Сравнительная таблица отбора объекта-представителя</t>
        </is>
      </c>
    </row>
    <row r="5" ht="84" customHeight="1" s="296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26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20 кН</t>
        </is>
      </c>
    </row>
    <row r="8" ht="15.75" customHeight="1" s="296">
      <c r="B8" s="326" t="inlineStr">
        <is>
          <t>Сопоставимый уровень цен</t>
        </is>
      </c>
    </row>
    <row r="9" ht="15.75" customHeight="1" s="296">
      <c r="B9" s="326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</row>
    <row r="12" ht="60" customHeight="1" s="296">
      <c r="B12" s="332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32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32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32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32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8 волокон (МДРН 20кН)</t>
        </is>
      </c>
    </row>
    <row r="17" ht="78.75" customHeight="1" s="296">
      <c r="B17" s="332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3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13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13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14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14" t="n"/>
    </row>
    <row r="22" ht="15.75" customHeight="1" s="296">
      <c r="B22" s="332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32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32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4"/>
  <sheetViews>
    <sheetView view="pageBreakPreview" zoomScale="60" zoomScaleNormal="70" workbookViewId="0">
      <selection activeCell="E20" sqref="E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27" t="inlineStr">
        <is>
          <t>Приложение № 2</t>
        </is>
      </c>
    </row>
    <row r="4" ht="15.75" customHeight="1" s="296">
      <c r="B4" s="331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26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20 кН</t>
        </is>
      </c>
    </row>
    <row r="7" ht="15.75" customHeight="1" s="296">
      <c r="B7" s="326">
        <f>'Прил.1 Сравнит табл'!B9</f>
        <v/>
      </c>
    </row>
    <row r="8" ht="18.75" customHeight="1" s="296">
      <c r="B8" s="215" t="n"/>
    </row>
    <row r="9" ht="15.75" customHeight="1" s="296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5" t="n"/>
      <c r="F9" s="415" t="n"/>
      <c r="G9" s="415" t="n"/>
      <c r="H9" s="415" t="n"/>
      <c r="I9" s="415" t="n"/>
      <c r="J9" s="416" t="n"/>
    </row>
    <row r="10" ht="15.75" customHeight="1" s="296">
      <c r="B10" s="417" t="n"/>
      <c r="C10" s="417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__ кв. 20__г., тыс. руб.</t>
        </is>
      </c>
      <c r="G10" s="415" t="n"/>
      <c r="H10" s="415" t="n"/>
      <c r="I10" s="415" t="n"/>
      <c r="J10" s="416" t="n"/>
    </row>
    <row r="11" ht="48.75" customHeight="1" s="296">
      <c r="B11" s="418" t="n"/>
      <c r="C11" s="418" t="n"/>
      <c r="D11" s="418" t="n"/>
      <c r="E11" s="418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19" t="n"/>
      <c r="D12" s="419" t="n"/>
      <c r="E12" s="419" t="n"/>
      <c r="F12" s="419" t="n"/>
      <c r="G12" s="419" t="n"/>
      <c r="H12" s="419" t="n"/>
      <c r="I12" s="419" t="n"/>
      <c r="J12" s="420" t="n"/>
    </row>
    <row r="13" ht="15.75" customHeight="1" s="296">
      <c r="B13" s="421" t="n"/>
      <c r="J13" s="422" t="n"/>
    </row>
    <row r="14" ht="15.75" customHeight="1" s="296">
      <c r="B14" s="423" t="n"/>
      <c r="C14" s="424" t="n"/>
      <c r="D14" s="424" t="n"/>
      <c r="E14" s="424" t="n"/>
      <c r="F14" s="424" t="n"/>
      <c r="G14" s="424" t="n"/>
      <c r="H14" s="424" t="n"/>
      <c r="I14" s="424" t="n"/>
      <c r="J14" s="425" t="n"/>
    </row>
    <row r="15" ht="15.75" customHeight="1" s="296">
      <c r="B15" s="330" t="inlineStr">
        <is>
          <t>Всего по объекту:</t>
        </is>
      </c>
      <c r="C15" s="415" t="n"/>
      <c r="D15" s="415" t="n"/>
      <c r="E15" s="416" t="n"/>
      <c r="F15" s="289" t="n"/>
      <c r="G15" s="289" t="n"/>
      <c r="H15" s="289" t="n"/>
      <c r="I15" s="289" t="n"/>
      <c r="J15" s="289" t="n"/>
    </row>
    <row r="16" ht="28.5" customHeight="1" s="296">
      <c r="B16" s="330" t="inlineStr">
        <is>
          <t>Всего по объекту в сопоставимом уровне цен __кв. 20__г:</t>
        </is>
      </c>
      <c r="C16" s="415" t="n"/>
      <c r="D16" s="415" t="n"/>
      <c r="E16" s="416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59"/>
  <sheetViews>
    <sheetView view="pageBreakPreview" topLeftCell="A42" zoomScaleNormal="70" workbookViewId="0">
      <selection activeCell="D58" sqref="D58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27" t="inlineStr">
        <is>
          <t xml:space="preserve">Приложение № 3 </t>
        </is>
      </c>
    </row>
    <row r="3" ht="18.75" customHeight="1" s="296">
      <c r="A3" s="328" t="inlineStr">
        <is>
          <t>Объектная ресурсная ведомость</t>
        </is>
      </c>
    </row>
    <row r="4" ht="18.75" customHeight="1" s="296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6">
      <c r="A5" s="294" t="n"/>
    </row>
    <row r="6" ht="15.75" customHeight="1" s="296">
      <c r="A6" s="346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20 кН</t>
        </is>
      </c>
    </row>
    <row r="7" ht="15.75" customHeight="1" s="296">
      <c r="A7" s="346" t="n"/>
      <c r="B7" s="346" t="n"/>
      <c r="C7" s="346" t="n"/>
      <c r="D7" s="346" t="n"/>
      <c r="E7" s="346" t="n"/>
      <c r="F7" s="346" t="n"/>
      <c r="G7" s="346" t="n"/>
      <c r="H7" s="346" t="n"/>
    </row>
    <row r="8" ht="15.75" customHeight="1" s="296">
      <c r="A8" s="295" t="n"/>
      <c r="B8" s="346" t="n"/>
      <c r="C8" s="346" t="n"/>
      <c r="D8" s="346" t="n"/>
      <c r="E8" s="346" t="n"/>
      <c r="F8" s="346" t="n"/>
      <c r="G8" s="346" t="n"/>
      <c r="H8" s="346" t="n"/>
    </row>
    <row r="9" ht="38.25" customHeight="1" s="296">
      <c r="A9" s="343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16" t="n"/>
    </row>
    <row r="10" ht="40.5" customHeight="1" s="296">
      <c r="A10" s="418" t="n"/>
      <c r="B10" s="418" t="n"/>
      <c r="C10" s="418" t="n"/>
      <c r="D10" s="418" t="n"/>
      <c r="E10" s="418" t="n"/>
      <c r="F10" s="418" t="n"/>
      <c r="G10" s="332" t="inlineStr">
        <is>
          <t>на ед.изм.</t>
        </is>
      </c>
      <c r="H10" s="332" t="inlineStr">
        <is>
          <t>общая</t>
        </is>
      </c>
    </row>
    <row r="11" ht="15.75" customHeight="1" s="296">
      <c r="A11" s="343" t="n">
        <v>1</v>
      </c>
      <c r="B11" s="229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229" t="n">
        <v>6</v>
      </c>
      <c r="H11" s="229" t="n">
        <v>7</v>
      </c>
      <c r="I11" s="426" t="n"/>
    </row>
    <row r="12" ht="15" customHeight="1" s="296">
      <c r="A12" s="344" t="inlineStr">
        <is>
          <t>Затраты труда рабочих</t>
        </is>
      </c>
      <c r="B12" s="415" t="n"/>
      <c r="C12" s="415" t="n"/>
      <c r="D12" s="415" t="n"/>
      <c r="E12" s="415" t="n"/>
      <c r="F12" s="427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67" t="inlineStr">
        <is>
          <t>чел.-ч</t>
        </is>
      </c>
      <c r="F13" s="367" t="n">
        <v>592.17</v>
      </c>
      <c r="G13" s="222" t="n">
        <v>10.35</v>
      </c>
      <c r="H13" s="222">
        <f>ROUND(F13*G13,2)</f>
        <v/>
      </c>
    </row>
    <row r="14">
      <c r="A14" s="367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67" t="inlineStr">
        <is>
          <t>чел.-ч</t>
        </is>
      </c>
      <c r="F14" s="367" t="n">
        <v>274.42</v>
      </c>
      <c r="G14" s="222" t="n">
        <v>10.06</v>
      </c>
      <c r="H14" s="222">
        <f>ROUND(F14*G14,2)</f>
        <v/>
      </c>
    </row>
    <row r="15">
      <c r="A15" s="367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67" t="inlineStr">
        <is>
          <t>чел.-ч</t>
        </is>
      </c>
      <c r="F15" s="367" t="n">
        <v>144</v>
      </c>
      <c r="G15" s="222" t="n">
        <v>8.529999999999999</v>
      </c>
      <c r="H15" s="222">
        <f>ROUND(F15*G15,2)</f>
        <v/>
      </c>
    </row>
    <row r="16">
      <c r="A16" s="367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67" t="inlineStr">
        <is>
          <t>чел.-ч</t>
        </is>
      </c>
      <c r="F16" s="367" t="n">
        <v>48</v>
      </c>
      <c r="G16" s="222" t="n">
        <v>8.460000000000001</v>
      </c>
      <c r="H16" s="222">
        <f>ROUND(F16*G16,2)</f>
        <v/>
      </c>
    </row>
    <row r="17">
      <c r="A17" s="367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67" t="inlineStr">
        <is>
          <t>чел.-ч</t>
        </is>
      </c>
      <c r="F17" s="367" t="n">
        <v>14.85</v>
      </c>
      <c r="G17" s="222" t="n">
        <v>15.49</v>
      </c>
      <c r="H17" s="222">
        <f>ROUND(F17*G17,2)</f>
        <v/>
      </c>
    </row>
    <row r="18">
      <c r="A18" s="367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67" t="inlineStr">
        <is>
          <t>чел.-ч</t>
        </is>
      </c>
      <c r="F18" s="367" t="n">
        <v>15.51</v>
      </c>
      <c r="G18" s="222" t="n">
        <v>12.92</v>
      </c>
      <c r="H18" s="222">
        <f>ROUND(F18*G18,2)</f>
        <v/>
      </c>
    </row>
    <row r="19" ht="15" customHeight="1" s="296">
      <c r="A19" s="342" t="inlineStr">
        <is>
          <t>Затраты труда машинистов</t>
        </is>
      </c>
      <c r="B19" s="415" t="n"/>
      <c r="C19" s="415" t="n"/>
      <c r="D19" s="415" t="n"/>
      <c r="E19" s="416" t="n"/>
      <c r="F19" s="231" t="n"/>
      <c r="G19" s="231" t="n"/>
      <c r="H19" s="427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67" t="inlineStr">
        <is>
          <t>чел.-ч</t>
        </is>
      </c>
      <c r="F20" s="367" t="n">
        <v>569.03</v>
      </c>
      <c r="G20" s="222" t="n"/>
      <c r="H20" s="428" t="n">
        <v>7139.11</v>
      </c>
      <c r="J20" s="426" t="n"/>
      <c r="L20" s="208" t="n"/>
    </row>
    <row r="21" ht="15" customHeight="1" s="296">
      <c r="A21" s="342" t="inlineStr">
        <is>
          <t>Машины и механизмы</t>
        </is>
      </c>
      <c r="B21" s="415" t="n"/>
      <c r="C21" s="415" t="n"/>
      <c r="D21" s="415" t="n"/>
      <c r="E21" s="416" t="n"/>
      <c r="F21" s="231" t="n"/>
      <c r="G21" s="231" t="n"/>
      <c r="H21" s="427">
        <f>SUM(H22:H29)</f>
        <v/>
      </c>
    </row>
    <row r="22" ht="25.5" customHeight="1" s="296">
      <c r="A22" s="367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67" t="inlineStr">
        <is>
          <t>маш.час</t>
        </is>
      </c>
      <c r="F22" s="367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67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67" t="inlineStr">
        <is>
          <t>маш.час</t>
        </is>
      </c>
      <c r="F23" s="367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67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67" t="inlineStr">
        <is>
          <t>маш.час</t>
        </is>
      </c>
      <c r="F24" s="367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67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67" t="inlineStr">
        <is>
          <t>маш.час</t>
        </is>
      </c>
      <c r="F25" s="367" t="n">
        <v>57.77</v>
      </c>
      <c r="G25" s="227" t="n">
        <v>332.31</v>
      </c>
      <c r="H25" s="222">
        <f>ROUND(F25*G25,2)</f>
        <v/>
      </c>
    </row>
    <row r="26" ht="25.5" customHeight="1" s="296">
      <c r="A26" s="367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67" t="inlineStr">
        <is>
          <t>маш.час</t>
        </is>
      </c>
      <c r="F26" s="367" t="n">
        <v>57.77</v>
      </c>
      <c r="G26" s="227" t="n">
        <v>58.03</v>
      </c>
      <c r="H26" s="222">
        <f>ROUND(F26*G26,2)</f>
        <v/>
      </c>
    </row>
    <row r="27">
      <c r="A27" s="367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67" t="inlineStr">
        <is>
          <t>маш.час</t>
        </is>
      </c>
      <c r="F27" s="367" t="n">
        <v>272</v>
      </c>
      <c r="G27" s="227" t="n">
        <v>10.62</v>
      </c>
      <c r="H27" s="222">
        <f>ROUND(F27*G27,2)</f>
        <v/>
      </c>
    </row>
    <row r="28">
      <c r="A28" s="367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67" t="inlineStr">
        <is>
          <t>маш.час</t>
        </is>
      </c>
      <c r="F28" s="367" t="n">
        <v>9</v>
      </c>
      <c r="G28" s="227" t="n">
        <v>115.4</v>
      </c>
      <c r="H28" s="222">
        <f>ROUND(F28*G28,2)</f>
        <v/>
      </c>
    </row>
    <row r="29">
      <c r="A29" s="367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67" t="inlineStr">
        <is>
          <t>маш.час</t>
        </is>
      </c>
      <c r="F29" s="367" t="n">
        <v>5.25</v>
      </c>
      <c r="G29" s="227" t="n">
        <v>6.51</v>
      </c>
      <c r="H29" s="222">
        <f>ROUND(F29*G29,2)</f>
        <v/>
      </c>
    </row>
    <row r="30" ht="15" customHeight="1" s="296">
      <c r="A30" s="342" t="inlineStr">
        <is>
          <t>Оборудование</t>
        </is>
      </c>
      <c r="B30" s="415" t="n"/>
      <c r="C30" s="415" t="n"/>
      <c r="D30" s="415" t="n"/>
      <c r="E30" s="416" t="n"/>
      <c r="F30" s="231" t="n"/>
      <c r="G30" s="231" t="n"/>
      <c r="H30" s="427" t="n">
        <v>0</v>
      </c>
    </row>
    <row r="31" ht="15" customHeight="1" s="296">
      <c r="A31" s="342" t="inlineStr">
        <is>
          <t>Материалы</t>
        </is>
      </c>
      <c r="B31" s="415" t="n"/>
      <c r="C31" s="415" t="n"/>
      <c r="D31" s="415" t="n"/>
      <c r="E31" s="416" t="n"/>
      <c r="F31" s="231" t="n"/>
      <c r="G31" s="231" t="n"/>
      <c r="H31" s="427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67">
        <f>'Прил.5 Расчет СМР и ОБ'!D39</f>
        <v/>
      </c>
      <c r="F32" s="367">
        <f>'Прил.5 Расчет СМР и ОБ'!E39</f>
        <v/>
      </c>
      <c r="G32" s="367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67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7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67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67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67">
        <f>'Прил.5 Расчет СМР и ОБ'!B45</f>
        <v/>
      </c>
      <c r="D37" s="225">
        <f>'Прил.5 Расчет СМР и ОБ'!C45</f>
        <v/>
      </c>
      <c r="E37" s="367">
        <f>'Прил.5 Расчет СМР и ОБ'!D45</f>
        <v/>
      </c>
      <c r="F37" s="367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67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67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67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67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67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67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67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67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67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67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67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67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67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67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67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26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K50"/>
  <sheetViews>
    <sheetView view="pageBreakPreview" topLeftCell="A28" workbookViewId="0">
      <selection activeCell="D47" sqref="D47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66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19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47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20 кН</t>
        </is>
      </c>
    </row>
    <row r="8">
      <c r="B8" s="348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48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N75"/>
  <sheetViews>
    <sheetView view="pageBreakPreview" topLeftCell="A32" workbookViewId="0">
      <selection activeCell="C14" sqref="C14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49" t="inlineStr">
        <is>
          <t>Приложение №5</t>
        </is>
      </c>
    </row>
    <row r="4" ht="12.75" customFormat="1" customHeight="1" s="245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45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45">
      <c r="A6" s="322" t="inlineStr">
        <is>
          <t>Наименование разрабатываемого показателя УНЦ</t>
        </is>
      </c>
      <c r="D6" s="355" t="inlineStr">
        <is>
          <t>ВОК в трубе в земле количество волокон 8 шт., максимально-допустимая растягивающая нагрузка 20 кН</t>
        </is>
      </c>
    </row>
    <row r="7" ht="12.75" customFormat="1" customHeight="1" s="245">
      <c r="A7" s="322">
        <f>'Прил.1 Сравнит табл'!B9</f>
        <v/>
      </c>
      <c r="I7" s="347" t="n"/>
      <c r="J7" s="347" t="n"/>
    </row>
    <row r="8" ht="12.75" customFormat="1" customHeight="1" s="245"/>
    <row r="9" ht="27" customHeight="1" s="296">
      <c r="A9" s="350" t="inlineStr">
        <is>
          <t>№ пп.</t>
        </is>
      </c>
      <c r="B9" s="350" t="inlineStr">
        <is>
          <t>Код ресурса</t>
        </is>
      </c>
      <c r="C9" s="350" t="inlineStr">
        <is>
          <t>Наименование</t>
        </is>
      </c>
      <c r="D9" s="350" t="inlineStr">
        <is>
          <t>Ед. изм.</t>
        </is>
      </c>
      <c r="E9" s="350" t="inlineStr">
        <is>
          <t>Кол-во единиц по проектным данным</t>
        </is>
      </c>
      <c r="F9" s="350" t="inlineStr">
        <is>
          <t>Сметная стоимость в ценах на 01.01.2000 (руб.)</t>
        </is>
      </c>
      <c r="G9" s="416" t="n"/>
      <c r="H9" s="350" t="inlineStr">
        <is>
          <t>Удельный вес, %</t>
        </is>
      </c>
      <c r="I9" s="350" t="inlineStr">
        <is>
          <t>Сметная стоимость в ценах на 01.01.2023 (руб.)</t>
        </is>
      </c>
      <c r="J9" s="416" t="n"/>
    </row>
    <row r="10" ht="28.5" customHeight="1" s="296">
      <c r="A10" s="418" t="n"/>
      <c r="B10" s="418" t="n"/>
      <c r="C10" s="418" t="n"/>
      <c r="D10" s="418" t="n"/>
      <c r="E10" s="418" t="n"/>
      <c r="F10" s="350" t="inlineStr">
        <is>
          <t>на ед. изм.</t>
        </is>
      </c>
      <c r="G10" s="350" t="inlineStr">
        <is>
          <t>общая</t>
        </is>
      </c>
      <c r="H10" s="418" t="n"/>
      <c r="I10" s="350" t="inlineStr">
        <is>
          <t>на ед. изм.</t>
        </is>
      </c>
      <c r="J10" s="350" t="inlineStr">
        <is>
          <t>общая</t>
        </is>
      </c>
    </row>
    <row r="11">
      <c r="A11" s="350" t="n">
        <v>1</v>
      </c>
      <c r="B11" s="350" t="n">
        <v>2</v>
      </c>
      <c r="C11" s="350" t="n">
        <v>3</v>
      </c>
      <c r="D11" s="350" t="n">
        <v>4</v>
      </c>
      <c r="E11" s="350" t="n">
        <v>5</v>
      </c>
      <c r="F11" s="350" t="n">
        <v>6</v>
      </c>
      <c r="G11" s="350" t="n">
        <v>7</v>
      </c>
      <c r="H11" s="350" t="n">
        <v>8</v>
      </c>
      <c r="I11" s="350" t="n">
        <v>9</v>
      </c>
      <c r="J11" s="350" t="n">
        <v>10</v>
      </c>
    </row>
    <row r="12">
      <c r="A12" s="350" t="n"/>
      <c r="B12" s="342" t="inlineStr">
        <is>
          <t>Затраты труда рабочих-строителей</t>
        </is>
      </c>
      <c r="C12" s="415" t="n"/>
      <c r="D12" s="415" t="n"/>
      <c r="E12" s="415" t="n"/>
      <c r="F12" s="415" t="n"/>
      <c r="G12" s="415" t="n"/>
      <c r="H12" s="416" t="n"/>
      <c r="I12" s="253" t="n"/>
      <c r="J12" s="253" t="n"/>
    </row>
    <row r="13" ht="25.5" customHeight="1" s="296">
      <c r="A13" s="350" t="n">
        <v>1</v>
      </c>
      <c r="B13" s="281" t="inlineStr">
        <is>
          <t>1-4-2</t>
        </is>
      </c>
      <c r="C13" s="356" t="inlineStr">
        <is>
          <t>Затраты труда рабочих-строителей среднего разряда (4,2)</t>
        </is>
      </c>
      <c r="D13" s="350" t="inlineStr">
        <is>
          <t>чел.-ч.</t>
        </is>
      </c>
      <c r="E13" s="429">
        <f>G13/F13</f>
        <v/>
      </c>
      <c r="F13" s="285" t="n">
        <v>9.92</v>
      </c>
      <c r="G13" s="285">
        <f>'Прил. 3'!H12-'Прил. 3'!H17</f>
        <v/>
      </c>
      <c r="H13" s="360">
        <f>G13/G15</f>
        <v/>
      </c>
      <c r="I13" s="285">
        <f>'ФОТр.тек.'!E13</f>
        <v/>
      </c>
      <c r="J13" s="285">
        <f>ROUND(I13*E13,2)</f>
        <v/>
      </c>
    </row>
    <row r="14">
      <c r="A14" s="350" t="n">
        <v>2</v>
      </c>
      <c r="B14" s="281" t="inlineStr">
        <is>
          <t>10-3-1</t>
        </is>
      </c>
      <c r="C14" s="356" t="inlineStr">
        <is>
          <t>Инженер I категории</t>
        </is>
      </c>
      <c r="D14" s="350" t="inlineStr">
        <is>
          <t>чел.-ч.</t>
        </is>
      </c>
      <c r="E14" s="429">
        <f>'Прил. 3'!F17</f>
        <v/>
      </c>
      <c r="F14" s="285">
        <f>'Прил. 3'!G17</f>
        <v/>
      </c>
      <c r="G14" s="285">
        <f>'Прил. 3'!H17</f>
        <v/>
      </c>
      <c r="H14" s="360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50" t="n"/>
      <c r="B15" s="350" t="n"/>
      <c r="C15" s="342" t="inlineStr">
        <is>
          <t>Итого по разделу "Затраты труда рабочих-строителей"</t>
        </is>
      </c>
      <c r="D15" s="350" t="inlineStr">
        <is>
          <t>чел.-ч.</t>
        </is>
      </c>
      <c r="E15" s="429">
        <f>SUM(E13:E13)+E14</f>
        <v/>
      </c>
      <c r="F15" s="285" t="n"/>
      <c r="G15" s="285">
        <f>G13+G14</f>
        <v/>
      </c>
      <c r="H15" s="360" t="n">
        <v>1</v>
      </c>
      <c r="I15" s="285" t="n"/>
      <c r="J15" s="285">
        <f>SUM(J13:J13)+J14</f>
        <v/>
      </c>
      <c r="K15" s="430" t="n"/>
    </row>
    <row r="16" ht="14.25" customFormat="1" customHeight="1" s="267">
      <c r="A16" s="350" t="n"/>
      <c r="B16" s="356" t="inlineStr">
        <is>
          <t>Затраты труда машинистов</t>
        </is>
      </c>
      <c r="C16" s="415" t="n"/>
      <c r="D16" s="415" t="n"/>
      <c r="E16" s="415" t="n"/>
      <c r="F16" s="415" t="n"/>
      <c r="G16" s="415" t="n"/>
      <c r="H16" s="416" t="n"/>
      <c r="I16" s="253" t="n"/>
      <c r="J16" s="253" t="n"/>
    </row>
    <row r="17" ht="14.25" customFormat="1" customHeight="1" s="267">
      <c r="A17" s="350" t="n">
        <v>3</v>
      </c>
      <c r="B17" s="350" t="n">
        <v>2</v>
      </c>
      <c r="C17" s="356" t="inlineStr">
        <is>
          <t>Затраты труда машинистов</t>
        </is>
      </c>
      <c r="D17" s="350" t="inlineStr">
        <is>
          <t>чел.-ч.</t>
        </is>
      </c>
      <c r="E17" s="429">
        <f>'Прил. 3'!F20</f>
        <v/>
      </c>
      <c r="F17" s="285">
        <f>G17/E17</f>
        <v/>
      </c>
      <c r="G17" s="285">
        <f>'Прил. 3'!H20</f>
        <v/>
      </c>
      <c r="H17" s="360" t="n">
        <v>1</v>
      </c>
      <c r="I17" s="285">
        <f>ROUND(F17*'Прил. 10'!D10,2)</f>
        <v/>
      </c>
      <c r="J17" s="285">
        <f>ROUND(I17*E17,2)</f>
        <v/>
      </c>
      <c r="K17" s="430" t="n"/>
    </row>
    <row r="18" ht="14.25" customFormat="1" customHeight="1" s="267">
      <c r="A18" s="350" t="n"/>
      <c r="B18" s="342" t="inlineStr">
        <is>
          <t>Машины и механизмы</t>
        </is>
      </c>
      <c r="C18" s="415" t="n"/>
      <c r="D18" s="415" t="n"/>
      <c r="E18" s="415" t="n"/>
      <c r="F18" s="415" t="n"/>
      <c r="G18" s="415" t="n"/>
      <c r="H18" s="416" t="n"/>
      <c r="I18" s="360" t="n"/>
      <c r="J18" s="360" t="n"/>
    </row>
    <row r="19" ht="14.25" customFormat="1" customHeight="1" s="267">
      <c r="A19" s="350" t="n"/>
      <c r="B19" s="356" t="inlineStr">
        <is>
          <t>Основные машины и механизмы</t>
        </is>
      </c>
      <c r="C19" s="415" t="n"/>
      <c r="D19" s="415" t="n"/>
      <c r="E19" s="415" t="n"/>
      <c r="F19" s="415" t="n"/>
      <c r="G19" s="415" t="n"/>
      <c r="H19" s="416" t="n"/>
      <c r="I19" s="253" t="n"/>
      <c r="J19" s="253" t="n"/>
    </row>
    <row r="20" ht="25.5" customFormat="1" customHeight="1" s="267">
      <c r="A20" s="350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67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60">
        <f>G20/$G$30</f>
        <v/>
      </c>
      <c r="I20" s="365">
        <f>ROUND(F20*'Прил. 10'!$D$11,2)</f>
        <v/>
      </c>
      <c r="J20" s="285">
        <f>ROUND(I20*E20,2)</f>
        <v/>
      </c>
    </row>
    <row r="21" ht="38.25" customFormat="1" customHeight="1" s="267">
      <c r="A21" s="350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67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60">
        <f>G21/$G$30</f>
        <v/>
      </c>
      <c r="I21" s="365">
        <f>ROUND(F21*'Прил. 10'!$D$11,2)</f>
        <v/>
      </c>
      <c r="J21" s="285">
        <f>ROUND(I21*E21,2)</f>
        <v/>
      </c>
    </row>
    <row r="22" ht="38.25" customFormat="1" customHeight="1" s="267">
      <c r="A22" s="350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67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60">
        <f>G22/$G$30</f>
        <v/>
      </c>
      <c r="I22" s="365">
        <f>ROUND(F22*'Прил. 10'!$D$11,2)</f>
        <v/>
      </c>
      <c r="J22" s="285">
        <f>ROUND(I22*E22,2)</f>
        <v/>
      </c>
    </row>
    <row r="23" ht="14.25" customFormat="1" customHeight="1" s="267">
      <c r="A23" s="350" t="n"/>
      <c r="B23" s="350" t="n"/>
      <c r="C23" s="356" t="inlineStr">
        <is>
          <t>Итого основные машины и механизмы</t>
        </is>
      </c>
      <c r="D23" s="350" t="n"/>
      <c r="E23" s="431" t="n"/>
      <c r="F23" s="285" t="n"/>
      <c r="G23" s="285">
        <f>SUM(G20:G22)</f>
        <v/>
      </c>
      <c r="H23" s="360">
        <f>G23/G30</f>
        <v/>
      </c>
      <c r="I23" s="285" t="n"/>
      <c r="J23" s="285">
        <f>SUM(J20:J22)</f>
        <v/>
      </c>
      <c r="L23" s="430" t="n"/>
    </row>
    <row r="24" hidden="1" outlineLevel="1" ht="25.5" customFormat="1" customHeight="1" s="267">
      <c r="A24" s="350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67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60">
        <f>G24/$G$30</f>
        <v/>
      </c>
      <c r="I24" s="365">
        <f>ROUND(F24*'Прил. 10'!$D$11,2)</f>
        <v/>
      </c>
      <c r="J24" s="285">
        <f>ROUND(I24*E24,2)</f>
        <v/>
      </c>
      <c r="L24" s="430" t="n"/>
    </row>
    <row r="25" hidden="1" outlineLevel="1" ht="32.25" customFormat="1" customHeight="1" s="267">
      <c r="A25" s="350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67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60">
        <f>G25/$G$30</f>
        <v/>
      </c>
      <c r="I25" s="365">
        <f>ROUND(F25*'Прил. 10'!$D$11,2)</f>
        <v/>
      </c>
      <c r="J25" s="285">
        <f>ROUND(I25*E25,2)</f>
        <v/>
      </c>
      <c r="L25" s="430" t="n"/>
    </row>
    <row r="26" hidden="1" outlineLevel="1" ht="14.25" customFormat="1" customHeight="1" s="267">
      <c r="A26" s="350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67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60">
        <f>G26/$G$30</f>
        <v/>
      </c>
      <c r="I26" s="365">
        <f>ROUND(F26*'Прил. 10'!$D$11,2)</f>
        <v/>
      </c>
      <c r="J26" s="285">
        <f>ROUND(I26*E26,2)</f>
        <v/>
      </c>
      <c r="L26" s="430" t="n"/>
    </row>
    <row r="27" hidden="1" outlineLevel="1" ht="25.5" customFormat="1" customHeight="1" s="267">
      <c r="A27" s="350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67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60">
        <f>G27/$G$30</f>
        <v/>
      </c>
      <c r="I27" s="365">
        <f>ROUND(F27*'Прил. 10'!$D$11,2)</f>
        <v/>
      </c>
      <c r="J27" s="285">
        <f>ROUND(I27*E27,2)</f>
        <v/>
      </c>
      <c r="L27" s="430" t="n"/>
    </row>
    <row r="28" hidden="1" outlineLevel="1" ht="14.25" customFormat="1" customHeight="1" s="267">
      <c r="A28" s="350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67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60">
        <f>G28/$G$30</f>
        <v/>
      </c>
      <c r="I28" s="365">
        <f>ROUND(F28*'Прил. 10'!$D$11,2)</f>
        <v/>
      </c>
      <c r="J28" s="285">
        <f>ROUND(I28*E28,2)</f>
        <v/>
      </c>
      <c r="L28" s="430" t="n"/>
    </row>
    <row r="29" collapsed="1" ht="14.25" customFormat="1" customHeight="1" s="267">
      <c r="A29" s="350" t="n"/>
      <c r="B29" s="350" t="n"/>
      <c r="C29" s="356" t="inlineStr">
        <is>
          <t>Итого прочие машины и механизмы</t>
        </is>
      </c>
      <c r="D29" s="350" t="n"/>
      <c r="E29" s="357" t="n"/>
      <c r="F29" s="285" t="n"/>
      <c r="G29" s="285">
        <f>SUM(G24:G28)</f>
        <v/>
      </c>
      <c r="H29" s="360">
        <f>G29/G30</f>
        <v/>
      </c>
      <c r="I29" s="285" t="n"/>
      <c r="J29" s="285">
        <f>SUM(J24:J28)</f>
        <v/>
      </c>
      <c r="K29" s="430" t="n"/>
      <c r="L29" s="430" t="n"/>
    </row>
    <row r="30" ht="25.5" customFormat="1" customHeight="1" s="267">
      <c r="A30" s="350" t="n"/>
      <c r="B30" s="351" t="n"/>
      <c r="C30" s="262" t="inlineStr">
        <is>
          <t>Итого по разделу «Машины и механизмы»</t>
        </is>
      </c>
      <c r="D30" s="351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30" t="n"/>
    </row>
    <row r="31" s="296">
      <c r="A31" s="353" t="n"/>
      <c r="B31" s="342" t="inlineStr">
        <is>
          <t>Оборудование</t>
        </is>
      </c>
      <c r="C31" s="415" t="n"/>
      <c r="D31" s="415" t="n"/>
      <c r="E31" s="415" t="n"/>
      <c r="F31" s="415" t="n"/>
      <c r="G31" s="415" t="n"/>
      <c r="H31" s="415" t="n"/>
      <c r="I31" s="415" t="n"/>
      <c r="J31" s="416" t="n"/>
      <c r="K31" s="267" t="n"/>
      <c r="L31" s="267" t="n"/>
      <c r="M31" s="267" t="n"/>
      <c r="N31" s="267" t="n"/>
    </row>
    <row r="32" ht="15" customHeight="1" s="296">
      <c r="A32" s="350" t="n"/>
      <c r="B32" s="361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50" t="n"/>
      <c r="B33" s="350" t="n"/>
      <c r="C33" s="356" t="inlineStr">
        <is>
          <t>Итого основное оборудование</t>
        </is>
      </c>
      <c r="D33" s="350" t="n"/>
      <c r="E33" s="429" t="n"/>
      <c r="F33" s="358" t="n"/>
      <c r="G33" s="285" t="n">
        <v>0</v>
      </c>
      <c r="H33" s="360" t="n"/>
      <c r="I33" s="358" t="n"/>
      <c r="J33" s="285" t="n">
        <v>0</v>
      </c>
      <c r="K33" s="430" t="n"/>
      <c r="L33" s="267" t="n"/>
      <c r="M33" s="267" t="n"/>
      <c r="N33" s="267" t="n"/>
    </row>
    <row r="34" s="296">
      <c r="A34" s="350" t="n"/>
      <c r="B34" s="350" t="n"/>
      <c r="C34" s="356" t="inlineStr">
        <is>
          <t>Итого прочее оборудование</t>
        </is>
      </c>
      <c r="D34" s="350" t="n"/>
      <c r="E34" s="357" t="n"/>
      <c r="F34" s="358" t="n"/>
      <c r="G34" s="285" t="n">
        <v>0</v>
      </c>
      <c r="H34" s="360" t="n"/>
      <c r="I34" s="358" t="n"/>
      <c r="J34" s="285" t="n">
        <v>0</v>
      </c>
      <c r="K34" s="430" t="n"/>
      <c r="L34" s="267" t="n"/>
      <c r="M34" s="267" t="n"/>
      <c r="N34" s="267" t="n"/>
    </row>
    <row r="35" s="296">
      <c r="A35" s="350" t="n"/>
      <c r="B35" s="350" t="n"/>
      <c r="C35" s="342" t="inlineStr">
        <is>
          <t>Итого по разделу «Оборудование»</t>
        </is>
      </c>
      <c r="D35" s="350" t="n"/>
      <c r="E35" s="357" t="n"/>
      <c r="F35" s="358" t="n"/>
      <c r="G35" s="285">
        <f>G34+G33</f>
        <v/>
      </c>
      <c r="H35" s="360" t="n"/>
      <c r="I35" s="358" t="n"/>
      <c r="J35" s="285" t="n">
        <v>0</v>
      </c>
      <c r="K35" s="430" t="n"/>
      <c r="L35" s="267" t="n"/>
      <c r="M35" s="267" t="n"/>
      <c r="N35" s="267" t="n"/>
    </row>
    <row r="36" ht="25.5" customHeight="1" s="296">
      <c r="A36" s="350" t="n"/>
      <c r="B36" s="350" t="n"/>
      <c r="C36" s="356" t="inlineStr">
        <is>
          <t>в том числе технологическое оборудование</t>
        </is>
      </c>
      <c r="D36" s="350" t="n"/>
      <c r="E36" s="357" t="n"/>
      <c r="F36" s="358" t="n"/>
      <c r="G36" s="285">
        <f>G35</f>
        <v/>
      </c>
      <c r="H36" s="360" t="n"/>
      <c r="I36" s="274" t="n"/>
      <c r="J36" s="264">
        <f>J35</f>
        <v/>
      </c>
      <c r="K36" s="430" t="n"/>
      <c r="L36" s="267" t="n"/>
      <c r="M36" s="267" t="n"/>
      <c r="N36" s="267" t="n"/>
    </row>
    <row r="37" ht="14.25" customFormat="1" customHeight="1" s="267">
      <c r="A37" s="350" t="n"/>
      <c r="B37" s="342" t="inlineStr">
        <is>
          <t>Материалы</t>
        </is>
      </c>
      <c r="C37" s="415" t="n"/>
      <c r="D37" s="415" t="n"/>
      <c r="E37" s="415" t="n"/>
      <c r="F37" s="415" t="n"/>
      <c r="G37" s="415" t="n"/>
      <c r="H37" s="416" t="n"/>
      <c r="I37" s="360" t="n"/>
      <c r="J37" s="360" t="n"/>
      <c r="K37" s="430" t="n"/>
    </row>
    <row r="38" ht="14.25" customFormat="1" customHeight="1" s="267">
      <c r="A38" s="350" t="n"/>
      <c r="B38" s="356" t="inlineStr">
        <is>
          <t>Основные материалы</t>
        </is>
      </c>
      <c r="C38" s="415" t="n"/>
      <c r="D38" s="415" t="n"/>
      <c r="E38" s="415" t="n"/>
      <c r="F38" s="415" t="n"/>
      <c r="G38" s="415" t="n"/>
      <c r="H38" s="416" t="n"/>
      <c r="I38" s="360" t="n"/>
      <c r="J38" s="360" t="n"/>
    </row>
    <row r="39" ht="14.25" customFormat="1" customHeight="1" s="267">
      <c r="A39" s="350" t="n">
        <v>12</v>
      </c>
      <c r="B39" s="350" t="inlineStr">
        <is>
          <t>БЦ.88.15</t>
        </is>
      </c>
      <c r="C39" s="356" t="inlineStr">
        <is>
          <t>ВОК 8 волокон МДРН 20кН</t>
        </is>
      </c>
      <c r="D39" s="350" t="inlineStr">
        <is>
          <t>1000 м</t>
        </is>
      </c>
      <c r="E39" s="429" t="n">
        <v>14.4431</v>
      </c>
      <c r="F39" s="285">
        <f>ROUND(I39/'Прил. 10'!D12,2)</f>
        <v/>
      </c>
      <c r="G39" s="285">
        <f>ROUND(E39*F39,2)</f>
        <v/>
      </c>
      <c r="H39" s="360">
        <f>G39/$G$62</f>
        <v/>
      </c>
      <c r="I39" s="365" t="n">
        <v>66816.82000000001</v>
      </c>
      <c r="J39" s="285">
        <f>ROUND(I39*E39,2)</f>
        <v/>
      </c>
    </row>
    <row r="40" ht="14.25" customFormat="1" customHeight="1" s="267">
      <c r="A40" s="350" t="n">
        <v>13</v>
      </c>
      <c r="B40" s="224" t="inlineStr">
        <is>
          <t>20.1.02.23-0171</t>
        </is>
      </c>
      <c r="C40" s="356" t="inlineStr">
        <is>
          <t>Столбик замерный железобетонный СЗК</t>
        </is>
      </c>
      <c r="D40" s="350" t="inlineStr">
        <is>
          <t>шт</t>
        </is>
      </c>
      <c r="E40" s="429" t="n">
        <v>75</v>
      </c>
      <c r="F40" s="285" t="n">
        <v>238.7</v>
      </c>
      <c r="G40" s="285">
        <f>ROUND(E40*F40,2)</f>
        <v/>
      </c>
      <c r="H40" s="360">
        <f>G40/$G$62</f>
        <v/>
      </c>
      <c r="I40" s="365">
        <f>ROUND(F40*'Прил. 10'!$D$12,2)</f>
        <v/>
      </c>
      <c r="J40" s="285">
        <f>ROUND(I40*E40,2)</f>
        <v/>
      </c>
    </row>
    <row r="41" ht="14.25" customFormat="1" customHeight="1" s="267">
      <c r="A41" s="350" t="n"/>
      <c r="B41" s="350" t="n"/>
      <c r="C41" s="356" t="inlineStr">
        <is>
          <t>Итого основные материалы</t>
        </is>
      </c>
      <c r="D41" s="350" t="n"/>
      <c r="E41" s="429" t="n"/>
      <c r="F41" s="358" t="n"/>
      <c r="G41" s="285">
        <f>SUM(G39:G40)</f>
        <v/>
      </c>
      <c r="H41" s="360">
        <f>G41/$G$62</f>
        <v/>
      </c>
      <c r="I41" s="358" t="n"/>
      <c r="J41" s="285">
        <f>SUM(J39:J40)</f>
        <v/>
      </c>
      <c r="K41" s="430" t="n"/>
    </row>
    <row r="42" hidden="1" outlineLevel="1" ht="63.75" customFormat="1" customHeight="1" s="267">
      <c r="A42" s="350" t="n">
        <v>14</v>
      </c>
      <c r="B42" s="224" t="inlineStr">
        <is>
          <t>20.2.09.09-0006</t>
        </is>
      </c>
      <c r="C42" s="356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50" t="inlineStr">
        <is>
          <t>компл</t>
        </is>
      </c>
      <c r="E42" s="429" t="n">
        <v>4</v>
      </c>
      <c r="F42" s="285" t="n">
        <v>1194.89</v>
      </c>
      <c r="G42" s="285">
        <f>ROUND(F42*E42,2)</f>
        <v/>
      </c>
      <c r="H42" s="360">
        <f>G42/$G$62</f>
        <v/>
      </c>
      <c r="I42" s="365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50" t="n">
        <v>15</v>
      </c>
      <c r="B43" s="224" t="inlineStr">
        <is>
          <t>20.2.09.10-0041</t>
        </is>
      </c>
      <c r="C43" s="356" t="inlineStr">
        <is>
          <t>Муфта защитная чугунная МЧЗ</t>
        </is>
      </c>
      <c r="D43" s="350" t="inlineStr">
        <is>
          <t>шт</t>
        </is>
      </c>
      <c r="E43" s="429" t="n">
        <v>2</v>
      </c>
      <c r="F43" s="285" t="n">
        <v>806.5</v>
      </c>
      <c r="G43" s="285">
        <f>ROUND(F43*E43,2)</f>
        <v/>
      </c>
      <c r="H43" s="360">
        <f>G43/$G$62</f>
        <v/>
      </c>
      <c r="I43" s="365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50" t="n">
        <v>16</v>
      </c>
      <c r="B44" s="224" t="inlineStr">
        <is>
          <t>01.7.06.08-0003</t>
        </is>
      </c>
      <c r="C44" s="356" t="inlineStr">
        <is>
          <t>Лента полиэтиленовая сигнальная, ширина 200 мм, толщина 50 мкм</t>
        </is>
      </c>
      <c r="D44" s="350" t="inlineStr">
        <is>
          <t>100 м</t>
        </is>
      </c>
      <c r="E44" s="429" t="n">
        <v>14.4431</v>
      </c>
      <c r="F44" s="285" t="n">
        <v>108</v>
      </c>
      <c r="G44" s="285">
        <f>ROUND(F44*E44,2)</f>
        <v/>
      </c>
      <c r="H44" s="360">
        <f>G44/$G$62</f>
        <v/>
      </c>
      <c r="I44" s="365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50" t="n">
        <v>17</v>
      </c>
      <c r="B45" s="350" t="inlineStr">
        <is>
          <t>БЦ.93.15</t>
        </is>
      </c>
      <c r="C45" s="356" t="inlineStr">
        <is>
          <t>Комплект №4 для ввода ОК</t>
        </is>
      </c>
      <c r="D45" s="350" t="inlineStr">
        <is>
          <t>шт.</t>
        </is>
      </c>
      <c r="E45" s="429" t="n">
        <v>8</v>
      </c>
      <c r="F45" s="285">
        <f>ROUND(I45/'Прил. 10'!D12,2)</f>
        <v/>
      </c>
      <c r="G45" s="285">
        <f>ROUND(F45*E45,2)</f>
        <v/>
      </c>
      <c r="H45" s="360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50" t="n">
        <v>18</v>
      </c>
      <c r="B46" s="224" t="inlineStr">
        <is>
          <t>Прайс из СД ОП</t>
        </is>
      </c>
      <c r="C46" s="356" t="inlineStr">
        <is>
          <t>Муфта МПЗ</t>
        </is>
      </c>
      <c r="D46" s="350" t="inlineStr">
        <is>
          <t>шт.</t>
        </is>
      </c>
      <c r="E46" s="429" t="n">
        <v>2</v>
      </c>
      <c r="F46" s="285" t="n">
        <v>170.7</v>
      </c>
      <c r="G46" s="285">
        <f>ROUND(F46*E46,2)</f>
        <v/>
      </c>
      <c r="H46" s="360">
        <f>G46/$G$62</f>
        <v/>
      </c>
      <c r="I46" s="365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50" t="n">
        <v>19</v>
      </c>
      <c r="B47" s="224" t="inlineStr">
        <is>
          <t>14.4.02.07-0002</t>
        </is>
      </c>
      <c r="C47" s="356" t="inlineStr">
        <is>
          <t>Эмаль перхлорвиниловая фасадная ХВ-161</t>
        </is>
      </c>
      <c r="D47" s="350" t="inlineStr">
        <is>
          <t>т</t>
        </is>
      </c>
      <c r="E47" s="429" t="n">
        <v>0.02088</v>
      </c>
      <c r="F47" s="285" t="n">
        <v>15989</v>
      </c>
      <c r="G47" s="285">
        <f>ROUND(F47*E47,2)</f>
        <v/>
      </c>
      <c r="H47" s="360">
        <f>G47/$G$62</f>
        <v/>
      </c>
      <c r="I47" s="365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50" t="n">
        <v>20</v>
      </c>
      <c r="B48" s="224" t="inlineStr">
        <is>
          <t>999-9950</t>
        </is>
      </c>
      <c r="C48" s="356" t="inlineStr">
        <is>
          <t>Вспомогательные ненормируемые ресурсы (2% от Оплаты труда рабочих)</t>
        </is>
      </c>
      <c r="D48" s="350" t="inlineStr">
        <is>
          <t>руб</t>
        </is>
      </c>
      <c r="E48" s="350" t="n">
        <v>210.934561</v>
      </c>
      <c r="F48" s="285" t="n">
        <v>1</v>
      </c>
      <c r="G48" s="285">
        <f>ROUND(F48*E48,2)</f>
        <v/>
      </c>
      <c r="H48" s="360">
        <f>G48/$G$62</f>
        <v/>
      </c>
      <c r="I48" s="365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50" t="n">
        <v>21</v>
      </c>
      <c r="B49" s="224" t="inlineStr">
        <is>
          <t>10.3.02.03-0036</t>
        </is>
      </c>
      <c r="C49" s="356" t="inlineStr">
        <is>
          <t>Припои оловянно-свинцовые сурьмянистые, марка ПОССу 30-2</t>
        </is>
      </c>
      <c r="D49" s="350" t="inlineStr">
        <is>
          <t>т</t>
        </is>
      </c>
      <c r="E49" s="429" t="n">
        <v>0.00272</v>
      </c>
      <c r="F49" s="285" t="n">
        <v>63598.66</v>
      </c>
      <c r="G49" s="285">
        <f>ROUND(F49*E49,2)</f>
        <v/>
      </c>
      <c r="H49" s="360">
        <f>G49/$G$62</f>
        <v/>
      </c>
      <c r="I49" s="365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50" t="n">
        <v>22</v>
      </c>
      <c r="B50" s="224" t="inlineStr">
        <is>
          <t>14.2.04.03-0015</t>
        </is>
      </c>
      <c r="C50" s="356" t="inlineStr">
        <is>
          <t>Смола эпоксидная ЭД-20</t>
        </is>
      </c>
      <c r="D50" s="350" t="inlineStr">
        <is>
          <t>т</t>
        </is>
      </c>
      <c r="E50" s="429" t="n">
        <v>0.0027</v>
      </c>
      <c r="F50" s="285" t="n">
        <v>53562</v>
      </c>
      <c r="G50" s="285">
        <f>ROUND(F50*E50,2)</f>
        <v/>
      </c>
      <c r="H50" s="360">
        <f>G50/$G$62</f>
        <v/>
      </c>
      <c r="I50" s="365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50" t="n">
        <v>23</v>
      </c>
      <c r="B51" s="224" t="inlineStr">
        <is>
          <t>Прайс из СД ОП</t>
        </is>
      </c>
      <c r="C51" s="356" t="inlineStr">
        <is>
          <t>Комплект герметика для муфт МПЗ и МЧЗ</t>
        </is>
      </c>
      <c r="D51" s="350" t="inlineStr">
        <is>
          <t>компл.</t>
        </is>
      </c>
      <c r="E51" s="429" t="n">
        <v>2</v>
      </c>
      <c r="F51" s="285" t="n">
        <v>55.14</v>
      </c>
      <c r="G51" s="285">
        <f>ROUND(F51*E51,2)</f>
        <v/>
      </c>
      <c r="H51" s="360">
        <f>G51/$G$62</f>
        <v/>
      </c>
      <c r="I51" s="365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50" t="n">
        <v>24</v>
      </c>
      <c r="B52" s="224" t="inlineStr">
        <is>
          <t>14.4.01.01-0003</t>
        </is>
      </c>
      <c r="C52" s="356" t="inlineStr">
        <is>
          <t>Грунтовка ГФ-021</t>
        </is>
      </c>
      <c r="D52" s="350" t="inlineStr">
        <is>
          <t>т</t>
        </is>
      </c>
      <c r="E52" s="429" t="n">
        <v>0.00609</v>
      </c>
      <c r="F52" s="285" t="n">
        <v>15620</v>
      </c>
      <c r="G52" s="285">
        <f>ROUND(F52*E52,2)</f>
        <v/>
      </c>
      <c r="H52" s="360">
        <f>G52/$G$62</f>
        <v/>
      </c>
      <c r="I52" s="365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50" t="n">
        <v>25</v>
      </c>
      <c r="B53" s="224" t="inlineStr">
        <is>
          <t>01.3.01.01-0001</t>
        </is>
      </c>
      <c r="C53" s="356" t="inlineStr">
        <is>
          <t>Бензин авиационный Б-70</t>
        </is>
      </c>
      <c r="D53" s="350" t="inlineStr">
        <is>
          <t>т</t>
        </is>
      </c>
      <c r="E53" s="429" t="n">
        <v>0.0048</v>
      </c>
      <c r="F53" s="285" t="n">
        <v>4488.4</v>
      </c>
      <c r="G53" s="285">
        <f>ROUND(F53*E53,2)</f>
        <v/>
      </c>
      <c r="H53" s="360">
        <f>G53/$G$62</f>
        <v/>
      </c>
      <c r="I53" s="365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50" t="n">
        <v>26</v>
      </c>
      <c r="B54" s="224" t="inlineStr">
        <is>
          <t>12.2.03.12-0002</t>
        </is>
      </c>
      <c r="C54" s="356" t="inlineStr">
        <is>
          <t>Фольга алюминиевая для технических целей мягкая, рулонная, толщина 0,1 мм</t>
        </is>
      </c>
      <c r="D54" s="350" t="inlineStr">
        <is>
          <t>кг</t>
        </is>
      </c>
      <c r="E54" s="429" t="n">
        <v>0.4125</v>
      </c>
      <c r="F54" s="285" t="n">
        <v>35.49</v>
      </c>
      <c r="G54" s="285">
        <f>ROUND(F54*E54,2)</f>
        <v/>
      </c>
      <c r="H54" s="360">
        <f>G54/$G$62</f>
        <v/>
      </c>
      <c r="I54" s="365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50" t="n">
        <v>27</v>
      </c>
      <c r="B55" s="224" t="inlineStr">
        <is>
          <t>01.7.06.03-0004</t>
        </is>
      </c>
      <c r="C55" s="356" t="inlineStr">
        <is>
          <t>Лента поливинилхлоридная техническая с липким слоем, толщина 0,4 мм</t>
        </is>
      </c>
      <c r="D55" s="350" t="inlineStr">
        <is>
          <t>кг</t>
        </is>
      </c>
      <c r="E55" s="429" t="n">
        <v>0.624</v>
      </c>
      <c r="F55" s="285" t="n">
        <v>21.3</v>
      </c>
      <c r="G55" s="285">
        <f>ROUND(F55*E55,2)</f>
        <v/>
      </c>
      <c r="H55" s="360">
        <f>G55/$G$62</f>
        <v/>
      </c>
      <c r="I55" s="365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50" t="n">
        <v>28</v>
      </c>
      <c r="B56" s="224" t="inlineStr">
        <is>
          <t>01.3.05.38-0371</t>
        </is>
      </c>
      <c r="C56" s="356" t="inlineStr">
        <is>
          <t>Кислота стеариновая техническая</t>
        </is>
      </c>
      <c r="D56" s="350" t="inlineStr">
        <is>
          <t>кг</t>
        </is>
      </c>
      <c r="E56" s="429" t="n">
        <v>0.2</v>
      </c>
      <c r="F56" s="285" t="n">
        <v>16.8</v>
      </c>
      <c r="G56" s="285">
        <f>ROUND(F56*E56,2)</f>
        <v/>
      </c>
      <c r="H56" s="360">
        <f>G56/$G$62</f>
        <v/>
      </c>
      <c r="I56" s="365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50" t="n">
        <v>29</v>
      </c>
      <c r="B57" s="224" t="inlineStr">
        <is>
          <t>01.7.02.04-0001</t>
        </is>
      </c>
      <c r="C57" s="356" t="inlineStr">
        <is>
          <t>Бумага кабельная электроизоляционная, двухслойная</t>
        </is>
      </c>
      <c r="D57" s="350" t="inlineStr">
        <is>
          <t>кг</t>
        </is>
      </c>
      <c r="E57" s="429" t="n">
        <v>0.112</v>
      </c>
      <c r="F57" s="285" t="n">
        <v>21.32</v>
      </c>
      <c r="G57" s="285">
        <f>ROUND(F57*E57,2)</f>
        <v/>
      </c>
      <c r="H57" s="360">
        <f>G57/$G$62</f>
        <v/>
      </c>
      <c r="I57" s="365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50" t="n">
        <v>30</v>
      </c>
      <c r="B58" s="224" t="inlineStr">
        <is>
          <t>22.2.02.05-0001</t>
        </is>
      </c>
      <c r="C58" s="356" t="inlineStr">
        <is>
          <t>Кольца групповые полиэтиленовые, длина 8 мм, внутренний диаметр 4,6 мм</t>
        </is>
      </c>
      <c r="D58" s="350" t="inlineStr">
        <is>
          <t>1000 шт</t>
        </is>
      </c>
      <c r="E58" s="429" t="n">
        <v>0.07199999999999999</v>
      </c>
      <c r="F58" s="285" t="n">
        <v>30.1</v>
      </c>
      <c r="G58" s="285">
        <f>ROUND(F58*E58,2)</f>
        <v/>
      </c>
      <c r="H58" s="360">
        <f>G58/$G$62</f>
        <v/>
      </c>
      <c r="I58" s="365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50" t="n">
        <v>31</v>
      </c>
      <c r="B59" s="224" t="inlineStr">
        <is>
          <t>14.4.03.03-0102</t>
        </is>
      </c>
      <c r="C59" s="356" t="inlineStr">
        <is>
          <t>Лак битумный БТ-577</t>
        </is>
      </c>
      <c r="D59" s="350" t="inlineStr">
        <is>
          <t>т</t>
        </is>
      </c>
      <c r="E59" s="429" t="n">
        <v>0.00016</v>
      </c>
      <c r="F59" s="285" t="n">
        <v>9550.01</v>
      </c>
      <c r="G59" s="285">
        <f>ROUND(F59*E59,2)</f>
        <v/>
      </c>
      <c r="H59" s="360">
        <f>G59/$G$62</f>
        <v/>
      </c>
      <c r="I59" s="365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50" t="n">
        <v>32</v>
      </c>
      <c r="B60" s="224" t="inlineStr">
        <is>
          <t>01.3.05.17-0002</t>
        </is>
      </c>
      <c r="C60" s="356" t="inlineStr">
        <is>
          <t>Канифоль сосновая</t>
        </is>
      </c>
      <c r="D60" s="350" t="inlineStr">
        <is>
          <t>кг</t>
        </is>
      </c>
      <c r="E60" s="429" t="n">
        <v>0.024</v>
      </c>
      <c r="F60" s="285" t="n">
        <v>27.74</v>
      </c>
      <c r="G60" s="285">
        <f>ROUND(F60*E60,2)</f>
        <v/>
      </c>
      <c r="H60" s="360">
        <f>G60/$G$62</f>
        <v/>
      </c>
      <c r="I60" s="365">
        <f>ROUND(F60*'Прил. 10'!$D$12,2)</f>
        <v/>
      </c>
      <c r="J60" s="285">
        <f>ROUND(I60*E60,2)</f>
        <v/>
      </c>
    </row>
    <row r="61" collapsed="1" ht="14.25" customFormat="1" customHeight="1" s="267">
      <c r="A61" s="350" t="n"/>
      <c r="B61" s="350" t="n"/>
      <c r="C61" s="356" t="inlineStr">
        <is>
          <t>Итого прочие материалы</t>
        </is>
      </c>
      <c r="D61" s="350" t="n"/>
      <c r="E61" s="357" t="n"/>
      <c r="F61" s="358" t="n"/>
      <c r="G61" s="285">
        <f>SUM(G42:G60)</f>
        <v/>
      </c>
      <c r="H61" s="360">
        <f>G61/G62</f>
        <v/>
      </c>
      <c r="I61" s="285" t="n"/>
      <c r="J61" s="285">
        <f>SUM(J42:J60)</f>
        <v/>
      </c>
    </row>
    <row r="62" ht="14.25" customFormat="1" customHeight="1" s="267">
      <c r="A62" s="350" t="n"/>
      <c r="B62" s="350" t="n"/>
      <c r="C62" s="342" t="inlineStr">
        <is>
          <t>Итого по разделу «Материалы»</t>
        </is>
      </c>
      <c r="D62" s="350" t="n"/>
      <c r="E62" s="357" t="n"/>
      <c r="F62" s="358" t="n"/>
      <c r="G62" s="285">
        <f>G41+G61</f>
        <v/>
      </c>
      <c r="H62" s="360" t="n">
        <v>1</v>
      </c>
      <c r="I62" s="358" t="n"/>
      <c r="J62" s="285">
        <f>J41+J61</f>
        <v/>
      </c>
      <c r="K62" s="430" t="n"/>
    </row>
    <row r="63" ht="14.25" customFormat="1" customHeight="1" s="267">
      <c r="A63" s="350" t="n"/>
      <c r="B63" s="350" t="n"/>
      <c r="C63" s="356" t="inlineStr">
        <is>
          <t>ИТОГО ПО РМ</t>
        </is>
      </c>
      <c r="D63" s="350" t="n"/>
      <c r="E63" s="357" t="n"/>
      <c r="F63" s="358" t="n"/>
      <c r="G63" s="285">
        <f>G15+G30+G62</f>
        <v/>
      </c>
      <c r="H63" s="360" t="n"/>
      <c r="I63" s="358" t="n"/>
      <c r="J63" s="285">
        <f>J15+J30+J62</f>
        <v/>
      </c>
    </row>
    <row r="64" ht="14.25" customFormat="1" customHeight="1" s="267">
      <c r="A64" s="350" t="n"/>
      <c r="B64" s="350" t="n"/>
      <c r="C64" s="356" t="inlineStr">
        <is>
          <t>Накладные расходы</t>
        </is>
      </c>
      <c r="D64" s="350" t="inlineStr">
        <is>
          <t>%</t>
        </is>
      </c>
      <c r="E64" s="276">
        <f>ROUND(G64/(G15+G17),2)</f>
        <v/>
      </c>
      <c r="F64" s="358" t="n"/>
      <c r="G64" s="285" t="n">
        <v>16870.33</v>
      </c>
      <c r="H64" s="360" t="n"/>
      <c r="I64" s="358" t="n"/>
      <c r="J64" s="285">
        <f>ROUND(E64*(J15+J17),2)</f>
        <v/>
      </c>
      <c r="K64" s="277" t="n"/>
    </row>
    <row r="65" ht="14.25" customFormat="1" customHeight="1" s="267">
      <c r="A65" s="350" t="n"/>
      <c r="B65" s="350" t="n"/>
      <c r="C65" s="356" t="inlineStr">
        <is>
          <t>Сметная прибыль</t>
        </is>
      </c>
      <c r="D65" s="350" t="inlineStr">
        <is>
          <t>%</t>
        </is>
      </c>
      <c r="E65" s="276">
        <f>ROUND(G65/(G15+G17),2)</f>
        <v/>
      </c>
      <c r="F65" s="358" t="n"/>
      <c r="G65" s="285" t="n">
        <v>8868.889999999999</v>
      </c>
      <c r="H65" s="360" t="n"/>
      <c r="I65" s="358" t="n"/>
      <c r="J65" s="285">
        <f>ROUND(E65*(J15+J17),2)</f>
        <v/>
      </c>
      <c r="K65" s="277" t="n"/>
    </row>
    <row r="66" ht="14.25" customFormat="1" customHeight="1" s="267">
      <c r="A66" s="350" t="n"/>
      <c r="B66" s="350" t="n"/>
      <c r="C66" s="356" t="inlineStr">
        <is>
          <t>Итого СМР (с НР и СП)</t>
        </is>
      </c>
      <c r="D66" s="350" t="n"/>
      <c r="E66" s="357" t="n"/>
      <c r="F66" s="358" t="n"/>
      <c r="G66" s="285">
        <f>G15+G30+G62+G64+G65</f>
        <v/>
      </c>
      <c r="H66" s="360" t="n"/>
      <c r="I66" s="358" t="n"/>
      <c r="J66" s="285">
        <f>J15+J30+J62+J64+J65</f>
        <v/>
      </c>
      <c r="L66" s="278" t="n"/>
    </row>
    <row r="67" ht="14.25" customFormat="1" customHeight="1" s="267">
      <c r="A67" s="350" t="n"/>
      <c r="B67" s="350" t="n"/>
      <c r="C67" s="356" t="inlineStr">
        <is>
          <t>ВСЕГО СМР + ОБОРУДОВАНИЕ</t>
        </is>
      </c>
      <c r="D67" s="350" t="n"/>
      <c r="E67" s="357" t="n"/>
      <c r="F67" s="358" t="n"/>
      <c r="G67" s="285">
        <f>G66+G35</f>
        <v/>
      </c>
      <c r="H67" s="360" t="n"/>
      <c r="I67" s="358" t="n"/>
      <c r="J67" s="285">
        <f>J66+J35</f>
        <v/>
      </c>
      <c r="L67" s="277" t="n"/>
    </row>
    <row r="68" ht="14.25" customFormat="1" customHeight="1" s="267">
      <c r="A68" s="350" t="n"/>
      <c r="B68" s="350" t="n"/>
      <c r="C68" s="356" t="inlineStr">
        <is>
          <t>ИТОГО ПОКАЗАТЕЛЬ НА ЕД. ИЗМ.</t>
        </is>
      </c>
      <c r="D68" s="350" t="inlineStr">
        <is>
          <t>ед.</t>
        </is>
      </c>
      <c r="E68" s="429">
        <f>'Прил.1 Сравнит табл'!D15</f>
        <v/>
      </c>
      <c r="F68" s="358" t="n"/>
      <c r="G68" s="285">
        <f>G67/E68</f>
        <v/>
      </c>
      <c r="H68" s="360" t="n"/>
      <c r="I68" s="358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66" t="inlineStr">
        <is>
          <t>Приложение №6</t>
        </is>
      </c>
    </row>
    <row r="2" ht="21.75" customHeight="1" s="296">
      <c r="A2" s="366" t="n"/>
      <c r="B2" s="366" t="n"/>
      <c r="C2" s="366" t="n"/>
      <c r="D2" s="366" t="n"/>
      <c r="E2" s="366" t="n"/>
      <c r="F2" s="366" t="n"/>
      <c r="G2" s="366" t="n"/>
    </row>
    <row r="3">
      <c r="A3" s="319" t="inlineStr">
        <is>
          <t>Расчет стоимости оборудования</t>
        </is>
      </c>
    </row>
    <row r="4" ht="25.5" customHeight="1" s="296">
      <c r="A4" s="322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67" t="inlineStr">
        <is>
          <t>№ пп.</t>
        </is>
      </c>
      <c r="B6" s="367" t="inlineStr">
        <is>
          <t>Код ресурса</t>
        </is>
      </c>
      <c r="C6" s="367" t="inlineStr">
        <is>
          <t>Наименование</t>
        </is>
      </c>
      <c r="D6" s="367" t="inlineStr">
        <is>
          <t>Ед. изм.</t>
        </is>
      </c>
      <c r="E6" s="350" t="inlineStr">
        <is>
          <t>Кол-во единиц по проектным данным</t>
        </is>
      </c>
      <c r="F6" s="367" t="inlineStr">
        <is>
          <t>Сметная стоимость в ценах на 01.01.2000 (руб.)</t>
        </is>
      </c>
      <c r="G6" s="416" t="n"/>
    </row>
    <row r="7">
      <c r="A7" s="418" t="n"/>
      <c r="B7" s="418" t="n"/>
      <c r="C7" s="418" t="n"/>
      <c r="D7" s="418" t="n"/>
      <c r="E7" s="418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296">
      <c r="A9" s="236" t="n"/>
      <c r="B9" s="356" t="inlineStr">
        <is>
          <t>ИНЖЕНЕРНОЕ ОБОРУДОВАНИЕ</t>
        </is>
      </c>
      <c r="C9" s="415" t="n"/>
      <c r="D9" s="415" t="n"/>
      <c r="E9" s="415" t="n"/>
      <c r="F9" s="415" t="n"/>
      <c r="G9" s="416" t="n"/>
    </row>
    <row r="10" ht="27" customHeight="1" s="296">
      <c r="A10" s="350" t="n"/>
      <c r="B10" s="342" t="n"/>
      <c r="C10" s="356" t="inlineStr">
        <is>
          <t>ИТОГО ИНЖЕНЕРНОЕ ОБОРУДОВАНИЕ</t>
        </is>
      </c>
      <c r="D10" s="342" t="n"/>
      <c r="E10" s="148" t="n"/>
      <c r="F10" s="358" t="n"/>
      <c r="G10" s="358" t="n">
        <v>0</v>
      </c>
    </row>
    <row r="11">
      <c r="A11" s="350" t="n"/>
      <c r="B11" s="356" t="inlineStr">
        <is>
          <t>ТЕХНОЛОГИЧЕСКОЕ ОБОРУДОВАНИЕ</t>
        </is>
      </c>
      <c r="C11" s="415" t="n"/>
      <c r="D11" s="415" t="n"/>
      <c r="E11" s="415" t="n"/>
      <c r="F11" s="415" t="n"/>
      <c r="G11" s="416" t="n"/>
    </row>
    <row r="12" ht="25.5" customHeight="1" s="296">
      <c r="A12" s="350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58" t="n"/>
      <c r="G12" s="285" t="n">
        <v>0</v>
      </c>
    </row>
    <row r="13" ht="19.5" customHeight="1" s="296">
      <c r="A13" s="350" t="n"/>
      <c r="B13" s="356" t="n"/>
      <c r="C13" s="356" t="inlineStr">
        <is>
          <t>Всего по разделу «Оборудование»</t>
        </is>
      </c>
      <c r="D13" s="356" t="n"/>
      <c r="E13" s="365" t="n"/>
      <c r="F13" s="358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 codeName="Лист1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245" t="n"/>
      <c r="C1" s="245" t="n"/>
      <c r="D1" s="366" t="inlineStr">
        <is>
          <t>Приложение №7</t>
        </is>
      </c>
    </row>
    <row r="2">
      <c r="A2" s="366" t="n"/>
      <c r="B2" s="366" t="n"/>
      <c r="C2" s="366" t="n"/>
      <c r="D2" s="366" t="n"/>
    </row>
    <row r="3" ht="24.75" customHeight="1" s="296">
      <c r="A3" s="319" t="inlineStr">
        <is>
          <t>Расчет показателя УНЦ</t>
        </is>
      </c>
    </row>
    <row r="4" ht="24.75" customHeight="1" s="296">
      <c r="A4" s="319" t="n"/>
      <c r="B4" s="319" t="n"/>
      <c r="C4" s="319" t="n"/>
      <c r="D4" s="319" t="n"/>
    </row>
    <row r="5" ht="24.6" customHeight="1" s="296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6">
      <c r="A6" s="322" t="inlineStr">
        <is>
          <t>Единица измерения  — 1 км</t>
        </is>
      </c>
      <c r="D6" s="322" t="n"/>
    </row>
    <row r="7">
      <c r="A7" s="245" t="n"/>
      <c r="B7" s="245" t="n"/>
      <c r="C7" s="245" t="n"/>
      <c r="D7" s="245" t="n"/>
    </row>
    <row r="8" ht="14.45" customHeight="1" s="296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 ht="15" customHeight="1" s="296">
      <c r="A9" s="418" t="n"/>
      <c r="B9" s="418" t="n"/>
      <c r="C9" s="418" t="n"/>
      <c r="D9" s="418" t="n"/>
    </row>
    <row r="10">
      <c r="A10" s="350" t="n">
        <v>1</v>
      </c>
      <c r="B10" s="350" t="n">
        <v>2</v>
      </c>
      <c r="C10" s="350" t="n">
        <v>3</v>
      </c>
      <c r="D10" s="350" t="n">
        <v>4</v>
      </c>
    </row>
    <row r="11" ht="41.45" customHeight="1" s="296">
      <c r="A11" s="350" t="inlineStr">
        <is>
          <t>О4.1-01-3</t>
        </is>
      </c>
      <c r="B11" s="350" t="inlineStr">
        <is>
          <t>УНЦ ВОК в трубе в земле</t>
        </is>
      </c>
      <c r="C11" s="240">
        <f>D5</f>
        <v/>
      </c>
      <c r="D11" s="12">
        <f>'Прил.4 РМ'!C41/1000</f>
        <v/>
      </c>
      <c r="E11" s="176" t="n"/>
    </row>
    <row r="12">
      <c r="A12" s="279" t="n"/>
      <c r="B12" s="151" t="n"/>
      <c r="C12" s="279" t="n"/>
      <c r="D12" s="279" t="n"/>
    </row>
    <row r="13">
      <c r="A13" s="245" t="inlineStr">
        <is>
          <t>Составил ______________________      Е. М. Добровольская</t>
        </is>
      </c>
      <c r="B13" s="267" t="n"/>
      <c r="C13" s="267" t="n"/>
      <c r="D13" s="279" t="n"/>
    </row>
    <row r="14">
      <c r="A14" s="280" t="inlineStr">
        <is>
          <t xml:space="preserve">                         (подпись, инициалы, фамилия)</t>
        </is>
      </c>
      <c r="B14" s="267" t="n"/>
      <c r="C14" s="267" t="n"/>
      <c r="D14" s="279" t="n"/>
    </row>
    <row r="15">
      <c r="A15" s="245" t="n"/>
      <c r="B15" s="267" t="n"/>
      <c r="C15" s="267" t="n"/>
      <c r="D15" s="279" t="n"/>
    </row>
    <row r="16">
      <c r="A16" s="245" t="inlineStr">
        <is>
          <t>Проверил ______________________        А.В. Костянецкая</t>
        </is>
      </c>
      <c r="B16" s="267" t="n"/>
      <c r="C16" s="267" t="n"/>
      <c r="D16" s="279" t="n"/>
    </row>
    <row r="17">
      <c r="A17" s="280" t="inlineStr">
        <is>
          <t xml:space="preserve">                        (подпись, инициалы, фамилия)</t>
        </is>
      </c>
      <c r="B17" s="267" t="n"/>
      <c r="C17" s="267" t="n"/>
      <c r="D17" s="2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 codeName="Лист10">
    <outlinePr summaryBelow="1" summaryRight="1"/>
    <pageSetUpPr fitToPage="1"/>
  </sheetPr>
  <dimension ref="B4:D30"/>
  <sheetViews>
    <sheetView view="pageBreakPreview" zoomScale="60" zoomScaleNormal="100" workbookViewId="0">
      <selection activeCell="D26" sqref="D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27" t="inlineStr">
        <is>
          <t>Приложение № 10</t>
        </is>
      </c>
    </row>
    <row r="5" ht="18.75" customHeight="1" s="296">
      <c r="B5" s="195" t="n"/>
    </row>
    <row r="6" ht="15.75" customHeight="1" s="296">
      <c r="B6" s="331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32" t="inlineStr">
        <is>
          <t>Наименование индекса / норм сопутствующих затрат</t>
        </is>
      </c>
      <c r="C8" s="332" t="inlineStr">
        <is>
          <t>Дата применения и обоснование индекса / норм сопутствующих затрат</t>
        </is>
      </c>
      <c r="D8" s="332" t="inlineStr">
        <is>
          <t>Размер индекса / норма сопутствующих затрат</t>
        </is>
      </c>
    </row>
    <row r="9" ht="15.75" customHeight="1" s="296">
      <c r="B9" s="332" t="n">
        <v>1</v>
      </c>
      <c r="C9" s="332" t="n">
        <v>2</v>
      </c>
      <c r="D9" s="332" t="n">
        <v>3</v>
      </c>
    </row>
    <row r="10" ht="45" customHeight="1" s="296">
      <c r="B10" s="332" t="inlineStr">
        <is>
          <t xml:space="preserve">Индекс изменения сметной стоимости на 1 квартал 2023 года. ОЗП </t>
        </is>
      </c>
      <c r="C10" s="332" t="inlineStr">
        <is>
          <t>Письмо Минстроя России от 30.03.2023г. №17106-ИФ/09  прил.1</t>
        </is>
      </c>
      <c r="D10" s="332" t="n">
        <v>44.29</v>
      </c>
    </row>
    <row r="11" ht="29.25" customHeight="1" s="296">
      <c r="B11" s="332" t="inlineStr">
        <is>
          <t>Индекс изменения сметной стоимости на 1 квартал 2023 года. ЭМ</t>
        </is>
      </c>
      <c r="C11" s="332" t="inlineStr">
        <is>
          <t>Письмо Минстроя России от 30.03.2023г. №17106-ИФ/09  прил.1</t>
        </is>
      </c>
      <c r="D11" s="332" t="n">
        <v>13.47</v>
      </c>
    </row>
    <row r="12" ht="29.25" customHeight="1" s="296">
      <c r="B12" s="332" t="inlineStr">
        <is>
          <t>Индекс изменения сметной стоимости на 1 квартал 2023 года. МАТ</t>
        </is>
      </c>
      <c r="C12" s="332" t="inlineStr">
        <is>
          <t>Письмо Минстроя России от 30.03.2023г. №17106-ИФ/09  прил.1</t>
        </is>
      </c>
      <c r="D12" s="332" t="n">
        <v>8.039999999999999</v>
      </c>
    </row>
    <row r="13" ht="30.75" customHeight="1" s="296">
      <c r="B13" s="332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32" t="n">
        <v>6.26</v>
      </c>
    </row>
    <row r="14" ht="89.25" customHeight="1" s="296">
      <c r="B14" s="332" t="inlineStr">
        <is>
          <t>Временные здания и сооружения</t>
        </is>
      </c>
      <c r="C14" s="3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32" t="inlineStr">
        <is>
          <t>Дополнительные затраты при производстве строительно-монтажных работ в зимнее время</t>
        </is>
      </c>
      <c r="C15" s="3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32" t="n"/>
      <c r="C16" s="332" t="n"/>
      <c r="D16" s="332" t="n"/>
    </row>
    <row r="17" ht="31.5" customHeight="1" s="296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32" t="inlineStr">
        <is>
          <t>Авторский надзор - 0,2%</t>
        </is>
      </c>
      <c r="C18" s="332" t="inlineStr">
        <is>
          <t>Приказ от 4.08.2020 № 421/пр п.173</t>
        </is>
      </c>
      <c r="D18" s="213" t="n">
        <v>0.002</v>
      </c>
    </row>
    <row r="19" ht="24" customHeight="1" s="296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21"/>
  <sheetViews>
    <sheetView view="pageBreakPreview" workbookViewId="0">
      <selection activeCell="E7" sqref="E7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90" t="inlineStr">
        <is>
          <t>№ пп.</t>
        </is>
      </c>
      <c r="B5" s="390" t="inlineStr">
        <is>
          <t>Наименование элемента</t>
        </is>
      </c>
      <c r="C5" s="390" t="inlineStr">
        <is>
          <t>Обозначение</t>
        </is>
      </c>
      <c r="D5" s="390" t="inlineStr">
        <is>
          <t>Формула</t>
        </is>
      </c>
      <c r="E5" s="390" t="inlineStr">
        <is>
          <t>Величина элемента</t>
        </is>
      </c>
      <c r="F5" s="390" t="inlineStr">
        <is>
          <t>Наименования обосновывающих документов</t>
        </is>
      </c>
    </row>
    <row r="6">
      <c r="A6" s="390" t="n">
        <v>1</v>
      </c>
      <c r="B6" s="390" t="n">
        <v>2</v>
      </c>
      <c r="C6" s="390" t="n">
        <v>3</v>
      </c>
      <c r="D6" s="390" t="n">
        <v>4</v>
      </c>
      <c r="E6" s="390" t="n">
        <v>5</v>
      </c>
      <c r="F6" s="390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9" t="inlineStr">
        <is>
          <t>С1ср</t>
        </is>
      </c>
      <c r="D7" s="389" t="inlineStr">
        <is>
          <t>-</t>
        </is>
      </c>
      <c r="E7" s="209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89" t="inlineStr">
        <is>
          <t>tср</t>
        </is>
      </c>
      <c r="D8" s="389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89" t="inlineStr">
        <is>
          <t>Кув</t>
        </is>
      </c>
      <c r="D9" s="389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89" t="n"/>
      <c r="D10" s="389" t="n"/>
      <c r="E10" s="432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89" t="inlineStr">
        <is>
          <t>КТ</t>
        </is>
      </c>
      <c r="D11" s="389" t="inlineStr">
        <is>
          <t>-</t>
        </is>
      </c>
      <c r="E11" s="433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310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81" t="inlineStr">
        <is>
          <t>Кинф</t>
        </is>
      </c>
      <c r="D12" s="381" t="inlineStr">
        <is>
          <t>-</t>
        </is>
      </c>
      <c r="E12" s="434" t="n">
        <v>1.139</v>
      </c>
      <c r="F12" s="3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313" t="inlineStr">
        <is>
          <t>1.7</t>
        </is>
      </c>
      <c r="B13" s="314" t="inlineStr">
        <is>
          <t>Размер средств на оплату труда рабочих-строителей в текущем уровне цен (ФОТр.тек.), руб/чел.-ч</t>
        </is>
      </c>
      <c r="C13" s="315" t="inlineStr">
        <is>
          <t>ФОТр.тек.</t>
        </is>
      </c>
      <c r="D13" s="315" t="inlineStr">
        <is>
          <t>(С1ср/tср*КТ*Т*Кув)*Кинф</t>
        </is>
      </c>
      <c r="E13" s="316">
        <f>((43361*E9/E8)*E11)*E12</f>
        <v/>
      </c>
      <c r="F13" s="3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318" t="n"/>
      <c r="B14" s="318" t="inlineStr">
        <is>
          <t>Инженер I категории</t>
        </is>
      </c>
      <c r="C14" s="318" t="n"/>
      <c r="D14" s="318" t="n"/>
      <c r="E14" s="318" t="n"/>
      <c r="F14" s="318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89" t="inlineStr">
        <is>
          <t>С1ср</t>
        </is>
      </c>
      <c r="D15" s="389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89" t="inlineStr">
        <is>
          <t>tср</t>
        </is>
      </c>
      <c r="D16" s="389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89" t="inlineStr">
        <is>
          <t>Кув</t>
        </is>
      </c>
      <c r="D17" s="389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89" t="n"/>
      <c r="D18" s="389" t="n"/>
      <c r="E18" s="432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89" t="inlineStr">
        <is>
          <t>КТ</t>
        </is>
      </c>
      <c r="D19" s="389" t="inlineStr">
        <is>
          <t>-</t>
        </is>
      </c>
      <c r="E19" s="433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89" t="inlineStr">
        <is>
          <t>Кинф</t>
        </is>
      </c>
      <c r="D20" s="389" t="inlineStr">
        <is>
          <t>-</t>
        </is>
      </c>
      <c r="E20" s="435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89" t="inlineStr">
        <is>
          <t>ФОТр.тек.</t>
        </is>
      </c>
      <c r="D21" s="389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2025-01-24T12:13:14Z</dcterms:modified>
  <cp:lastModifiedBy>Николай Трофименко</cp:lastModifiedBy>
  <cp:lastPrinted>2023-12-01T13:59:44Z</cp:lastPrinted>
</cp:coreProperties>
</file>