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1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  <font>
      <name val="Calibri"/>
      <charset val="204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1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1"/>
    <xf numFmtId="0" fontId="1" fillId="0" borderId="0" pivotButton="0" quotePrefix="0" xfId="1"/>
    <xf numFmtId="0" fontId="1" fillId="0" borderId="0" applyAlignment="1" pivotButton="0" quotePrefix="0" xfId="1">
      <alignment horizontal="right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4" fontId="1" fillId="0" borderId="0" applyAlignment="1" pivotButton="0" quotePrefix="0" xfId="1">
      <alignment horizontal="left" vertical="center" wrapText="1"/>
    </xf>
    <xf numFmtId="4" fontId="1" fillId="0" borderId="0" applyAlignment="1" pivotButton="0" quotePrefix="0" xfId="1">
      <alignment horizontal="left" vertical="center" wrapText="1"/>
    </xf>
    <xf numFmtId="0" fontId="19" fillId="0" borderId="1" applyAlignment="1" pivotButton="0" quotePrefix="0" xfId="1">
      <alignment horizontal="center" vertical="center" wrapText="1"/>
    </xf>
    <xf numFmtId="0" fontId="1" fillId="0" borderId="1" applyAlignment="1" pivotButton="0" quotePrefix="0" xfId="1">
      <alignment horizontal="center" vertical="center" wrapText="1"/>
    </xf>
    <xf numFmtId="4" fontId="1" fillId="0" borderId="1" applyAlignment="1" pivotButton="0" quotePrefix="0" xfId="1">
      <alignment vertical="center" wrapText="1"/>
    </xf>
    <xf numFmtId="4" fontId="1" fillId="0" borderId="1" applyAlignment="1" pivotButton="0" quotePrefix="0" xfId="1">
      <alignment horizontal="center" vertical="center"/>
    </xf>
    <xf numFmtId="0" fontId="1" fillId="0" borderId="0" applyAlignment="1" pivotButton="0" quotePrefix="0" xfId="1">
      <alignment vertical="center"/>
    </xf>
    <xf numFmtId="0" fontId="8" fillId="0" borderId="0" pivotButton="0" quotePrefix="0" xfId="1"/>
    <xf numFmtId="0" fontId="8" fillId="0" borderId="0" applyAlignment="1" pivotButton="0" quotePrefix="0" xfId="1">
      <alignment horizontal="right"/>
    </xf>
    <xf numFmtId="0" fontId="4" fillId="0" borderId="0" pivotButton="0" quotePrefix="0" xfId="1"/>
    <xf numFmtId="0" fontId="3" fillId="0" borderId="0" applyAlignment="1" pivotButton="0" quotePrefix="0" xfId="1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0" zoomScale="60" zoomScaleNormal="85" workbookViewId="0">
      <selection activeCell="D29" sqref="D29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15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24 волокон (МДРН 15кН)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6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6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6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7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7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15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</row>
    <row r="10" ht="15.75" customHeight="1" s="296">
      <c r="B10" s="430" t="n"/>
      <c r="C10" s="430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8" t="n"/>
      <c r="H10" s="428" t="n"/>
      <c r="I10" s="428" t="n"/>
      <c r="J10" s="429" t="n"/>
    </row>
    <row r="11" ht="48.75" customHeight="1" s="296">
      <c r="B11" s="431" t="n"/>
      <c r="C11" s="431" t="n"/>
      <c r="D11" s="431" t="n"/>
      <c r="E11" s="431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2" t="n"/>
      <c r="D12" s="432" t="n"/>
      <c r="E12" s="432" t="n"/>
      <c r="F12" s="432" t="n"/>
      <c r="G12" s="432" t="n"/>
      <c r="H12" s="432" t="n"/>
      <c r="I12" s="432" t="n"/>
      <c r="J12" s="433" t="n"/>
    </row>
    <row r="13" ht="15.75" customHeight="1" s="296">
      <c r="B13" s="434" t="n"/>
      <c r="J13" s="435" t="n"/>
    </row>
    <row r="14" ht="15.75" customHeight="1" s="296">
      <c r="B14" s="436" t="n"/>
      <c r="C14" s="437" t="n"/>
      <c r="D14" s="437" t="n"/>
      <c r="E14" s="437" t="n"/>
      <c r="F14" s="437" t="n"/>
      <c r="G14" s="437" t="n"/>
      <c r="H14" s="437" t="n"/>
      <c r="I14" s="437" t="n"/>
      <c r="J14" s="438" t="n"/>
    </row>
    <row r="15" ht="15.75" customHeight="1" s="296">
      <c r="B15" s="318" t="inlineStr">
        <is>
          <t>Всего по объекту:</t>
        </is>
      </c>
      <c r="C15" s="428" t="n"/>
      <c r="D15" s="428" t="n"/>
      <c r="E15" s="429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8" t="n"/>
      <c r="D16" s="428" t="n"/>
      <c r="E16" s="429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2" zoomScaleNormal="70" workbookViewId="0">
      <selection activeCell="C55" sqref="C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0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15 кН</t>
        </is>
      </c>
    </row>
    <row r="7" ht="15.75" customHeight="1" s="296">
      <c r="A7" s="330" t="n"/>
      <c r="B7" s="330" t="n"/>
      <c r="C7" s="330" t="n"/>
      <c r="D7" s="330" t="n"/>
      <c r="E7" s="330" t="n"/>
      <c r="F7" s="330" t="n"/>
      <c r="G7" s="330" t="n"/>
      <c r="H7" s="330" t="n"/>
    </row>
    <row r="8" ht="15.75" customHeight="1" s="296">
      <c r="A8" s="295" t="n"/>
      <c r="B8" s="330" t="n"/>
      <c r="C8" s="330" t="n"/>
      <c r="D8" s="330" t="n"/>
      <c r="E8" s="330" t="n"/>
      <c r="F8" s="330" t="n"/>
      <c r="G8" s="330" t="n"/>
      <c r="H8" s="330" t="n"/>
    </row>
    <row r="9" ht="38.25" customHeight="1" s="296">
      <c r="A9" s="332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9" t="n"/>
    </row>
    <row r="10" ht="40.5" customHeight="1" s="296">
      <c r="A10" s="431" t="n"/>
      <c r="B10" s="431" t="n"/>
      <c r="C10" s="431" t="n"/>
      <c r="D10" s="431" t="n"/>
      <c r="E10" s="431" t="n"/>
      <c r="F10" s="431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2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9" t="n"/>
    </row>
    <row r="12" ht="15" customHeight="1" s="296">
      <c r="A12" s="333" t="inlineStr">
        <is>
          <t>Затраты труда рабочих</t>
        </is>
      </c>
      <c r="B12" s="428" t="n"/>
      <c r="C12" s="428" t="n"/>
      <c r="D12" s="428" t="n"/>
      <c r="E12" s="428" t="n"/>
      <c r="F12" s="440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1" t="inlineStr">
        <is>
          <t>Затраты труда машинистов</t>
        </is>
      </c>
      <c r="B19" s="428" t="n"/>
      <c r="C19" s="428" t="n"/>
      <c r="D19" s="428" t="n"/>
      <c r="E19" s="429" t="n"/>
      <c r="F19" s="231" t="n"/>
      <c r="G19" s="231" t="n"/>
      <c r="H19" s="440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1" t="n">
        <v>7139.11</v>
      </c>
      <c r="J20" s="439" t="n"/>
      <c r="L20" s="208" t="n"/>
    </row>
    <row r="21" ht="15" customHeight="1" s="296">
      <c r="A21" s="331" t="inlineStr">
        <is>
          <t>Машины и механизмы</t>
        </is>
      </c>
      <c r="B21" s="428" t="n"/>
      <c r="C21" s="428" t="n"/>
      <c r="D21" s="428" t="n"/>
      <c r="E21" s="429" t="n"/>
      <c r="F21" s="231" t="n"/>
      <c r="G21" s="231" t="n"/>
      <c r="H21" s="440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1" t="inlineStr">
        <is>
          <t>Оборудование</t>
        </is>
      </c>
      <c r="B30" s="428" t="n"/>
      <c r="C30" s="428" t="n"/>
      <c r="D30" s="428" t="n"/>
      <c r="E30" s="429" t="n"/>
      <c r="F30" s="231" t="n"/>
      <c r="G30" s="231" t="n"/>
      <c r="H30" s="440" t="n">
        <v>0</v>
      </c>
    </row>
    <row r="31" ht="15" customHeight="1" s="296">
      <c r="A31" s="331" t="inlineStr">
        <is>
          <t>Материалы</t>
        </is>
      </c>
      <c r="B31" s="428" t="n"/>
      <c r="C31" s="428" t="n"/>
      <c r="D31" s="428" t="n"/>
      <c r="E31" s="429" t="n"/>
      <c r="F31" s="231" t="n"/>
      <c r="G31" s="231" t="n"/>
      <c r="H31" s="440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9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15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6" workbookViewId="0">
      <selection activeCell="B71" sqref="B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44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9" t="inlineStr">
        <is>
          <t>ВОК в трубе в земле количество волокон 24 шт., максимально-допустимая растягивающая нагрузка 15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9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9" t="n"/>
    </row>
    <row r="10" ht="28.5" customHeight="1" s="296">
      <c r="A10" s="431" t="n"/>
      <c r="B10" s="431" t="n"/>
      <c r="C10" s="431" t="n"/>
      <c r="D10" s="431" t="n"/>
      <c r="E10" s="431" t="n"/>
      <c r="F10" s="338" t="inlineStr">
        <is>
          <t>на ед. изм.</t>
        </is>
      </c>
      <c r="G10" s="338" t="inlineStr">
        <is>
          <t>общая</t>
        </is>
      </c>
      <c r="H10" s="431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1" t="inlineStr">
        <is>
          <t>Затраты труда рабочих-строителей</t>
        </is>
      </c>
      <c r="C12" s="428" t="n"/>
      <c r="D12" s="428" t="n"/>
      <c r="E12" s="428" t="n"/>
      <c r="F12" s="428" t="n"/>
      <c r="G12" s="428" t="n"/>
      <c r="H12" s="429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37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2">
        <f>G13/F13</f>
        <v/>
      </c>
      <c r="F13" s="285" t="n">
        <v>9.92</v>
      </c>
      <c r="G13" s="285">
        <f>'Прил. 3'!H12-'Прил. 3'!H17</f>
        <v/>
      </c>
      <c r="H13" s="342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37" t="inlineStr">
        <is>
          <t>Инженер I категории</t>
        </is>
      </c>
      <c r="D14" s="338" t="inlineStr">
        <is>
          <t>чел.-ч.</t>
        </is>
      </c>
      <c r="E14" s="442">
        <f>'Прил. 3'!F17</f>
        <v/>
      </c>
      <c r="F14" s="285">
        <f>'Прил. 3'!G17</f>
        <v/>
      </c>
      <c r="G14" s="285">
        <f>'Прил. 3'!H17</f>
        <v/>
      </c>
      <c r="H14" s="342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1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2">
        <f>SUM(E13:E13)+E14</f>
        <v/>
      </c>
      <c r="F15" s="285" t="n"/>
      <c r="G15" s="285">
        <f>G13+G14</f>
        <v/>
      </c>
      <c r="H15" s="342" t="n">
        <v>1</v>
      </c>
      <c r="I15" s="285" t="n"/>
      <c r="J15" s="285">
        <f>SUM(J13:J13)+J14</f>
        <v/>
      </c>
      <c r="K15" s="443" t="n"/>
    </row>
    <row r="16" ht="14.25" customFormat="1" customHeight="1" s="267">
      <c r="A16" s="338" t="n"/>
      <c r="B16" s="337" t="inlineStr">
        <is>
          <t>Затраты труда машинистов</t>
        </is>
      </c>
      <c r="C16" s="428" t="n"/>
      <c r="D16" s="428" t="n"/>
      <c r="E16" s="428" t="n"/>
      <c r="F16" s="428" t="n"/>
      <c r="G16" s="428" t="n"/>
      <c r="H16" s="429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37" t="inlineStr">
        <is>
          <t>Затраты труда машинистов</t>
        </is>
      </c>
      <c r="D17" s="338" t="inlineStr">
        <is>
          <t>чел.-ч.</t>
        </is>
      </c>
      <c r="E17" s="442">
        <f>'Прил. 3'!F20</f>
        <v/>
      </c>
      <c r="F17" s="285">
        <f>G17/E17</f>
        <v/>
      </c>
      <c r="G17" s="285">
        <f>'Прил. 3'!H20</f>
        <v/>
      </c>
      <c r="H17" s="342" t="n">
        <v>1</v>
      </c>
      <c r="I17" s="285">
        <f>ROUND(F17*'Прил. 10'!D10,2)</f>
        <v/>
      </c>
      <c r="J17" s="285">
        <f>ROUND(I17*E17,2)</f>
        <v/>
      </c>
      <c r="K17" s="443" t="n"/>
    </row>
    <row r="18" ht="14.25" customFormat="1" customHeight="1" s="267">
      <c r="A18" s="338" t="n"/>
      <c r="B18" s="331" t="inlineStr">
        <is>
          <t>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342" t="n"/>
      <c r="J18" s="342" t="n"/>
    </row>
    <row r="19" ht="14.25" customFormat="1" customHeight="1" s="267">
      <c r="A19" s="338" t="n"/>
      <c r="B19" s="337" t="inlineStr">
        <is>
          <t>Основные машины и механизмы</t>
        </is>
      </c>
      <c r="C19" s="428" t="n"/>
      <c r="D19" s="428" t="n"/>
      <c r="E19" s="428" t="n"/>
      <c r="F19" s="428" t="n"/>
      <c r="G19" s="428" t="n"/>
      <c r="H19" s="429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2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2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2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37" t="inlineStr">
        <is>
          <t>Итого основные машины и механизмы</t>
        </is>
      </c>
      <c r="D23" s="338" t="n"/>
      <c r="E23" s="444" t="n"/>
      <c r="F23" s="285" t="n"/>
      <c r="G23" s="285">
        <f>SUM(G20:G22)</f>
        <v/>
      </c>
      <c r="H23" s="342">
        <f>G23/G30</f>
        <v/>
      </c>
      <c r="I23" s="285" t="n"/>
      <c r="J23" s="285">
        <f>SUM(J20:J22)</f>
        <v/>
      </c>
      <c r="L23" s="443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2">
        <f>G24/$G$30</f>
        <v/>
      </c>
      <c r="I24" s="353">
        <f>ROUND(F24*'Прил. 10'!$D$11,2)</f>
        <v/>
      </c>
      <c r="J24" s="285">
        <f>ROUND(I24*E24,2)</f>
        <v/>
      </c>
      <c r="L24" s="443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2">
        <f>G25/$G$30</f>
        <v/>
      </c>
      <c r="I25" s="353">
        <f>ROUND(F25*'Прил. 10'!$D$11,2)</f>
        <v/>
      </c>
      <c r="J25" s="285">
        <f>ROUND(I25*E25,2)</f>
        <v/>
      </c>
      <c r="L25" s="443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2">
        <f>G26/$G$30</f>
        <v/>
      </c>
      <c r="I26" s="353">
        <f>ROUND(F26*'Прил. 10'!$D$11,2)</f>
        <v/>
      </c>
      <c r="J26" s="285">
        <f>ROUND(I26*E26,2)</f>
        <v/>
      </c>
      <c r="L26" s="443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2">
        <f>G27/$G$30</f>
        <v/>
      </c>
      <c r="I27" s="353">
        <f>ROUND(F27*'Прил. 10'!$D$11,2)</f>
        <v/>
      </c>
      <c r="J27" s="285">
        <f>ROUND(I27*E27,2)</f>
        <v/>
      </c>
      <c r="L27" s="443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2">
        <f>G28/$G$30</f>
        <v/>
      </c>
      <c r="I28" s="353">
        <f>ROUND(F28*'Прил. 10'!$D$11,2)</f>
        <v/>
      </c>
      <c r="J28" s="285">
        <f>ROUND(I28*E28,2)</f>
        <v/>
      </c>
      <c r="L28" s="443" t="n"/>
    </row>
    <row r="29" collapsed="1" ht="14.25" customFormat="1" customHeight="1" s="267">
      <c r="A29" s="338" t="n"/>
      <c r="B29" s="338" t="n"/>
      <c r="C29" s="337" t="inlineStr">
        <is>
          <t>Итого прочие машины и механизмы</t>
        </is>
      </c>
      <c r="D29" s="338" t="n"/>
      <c r="E29" s="339" t="n"/>
      <c r="F29" s="285" t="n"/>
      <c r="G29" s="285">
        <f>SUM(G24:G28)</f>
        <v/>
      </c>
      <c r="H29" s="342">
        <f>G29/G30</f>
        <v/>
      </c>
      <c r="I29" s="285" t="n"/>
      <c r="J29" s="285">
        <f>SUM(J24:J28)</f>
        <v/>
      </c>
      <c r="K29" s="443" t="n"/>
      <c r="L29" s="443" t="n"/>
    </row>
    <row r="30" ht="25.5" customFormat="1" customHeight="1" s="267">
      <c r="A30" s="338" t="n"/>
      <c r="B30" s="345" t="n"/>
      <c r="C30" s="262" t="inlineStr">
        <is>
          <t>Итого по разделу «Машины и механизмы»</t>
        </is>
      </c>
      <c r="D30" s="345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3" t="n"/>
    </row>
    <row r="31" s="296">
      <c r="A31" s="347" t="n"/>
      <c r="B31" s="331" t="inlineStr">
        <is>
          <t>Оборудование</t>
        </is>
      </c>
      <c r="C31" s="428" t="n"/>
      <c r="D31" s="428" t="n"/>
      <c r="E31" s="428" t="n"/>
      <c r="F31" s="428" t="n"/>
      <c r="G31" s="428" t="n"/>
      <c r="H31" s="428" t="n"/>
      <c r="I31" s="428" t="n"/>
      <c r="J31" s="429" t="n"/>
      <c r="K31" s="267" t="n"/>
      <c r="L31" s="267" t="n"/>
      <c r="M31" s="267" t="n"/>
      <c r="N31" s="267" t="n"/>
    </row>
    <row r="32" ht="15" customHeight="1" s="296">
      <c r="A32" s="338" t="n"/>
      <c r="B32" s="343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37" t="inlineStr">
        <is>
          <t>Итого основное оборудование</t>
        </is>
      </c>
      <c r="D33" s="338" t="n"/>
      <c r="E33" s="442" t="n"/>
      <c r="F33" s="340" t="n"/>
      <c r="G33" s="285" t="n">
        <v>0</v>
      </c>
      <c r="H33" s="342" t="n"/>
      <c r="I33" s="340" t="n"/>
      <c r="J33" s="285" t="n">
        <v>0</v>
      </c>
      <c r="K33" s="443" t="n"/>
      <c r="L33" s="267" t="n"/>
      <c r="M33" s="267" t="n"/>
      <c r="N33" s="267" t="n"/>
    </row>
    <row r="34" s="296">
      <c r="A34" s="338" t="n"/>
      <c r="B34" s="338" t="n"/>
      <c r="C34" s="337" t="inlineStr">
        <is>
          <t>Итого прочее оборудование</t>
        </is>
      </c>
      <c r="D34" s="338" t="n"/>
      <c r="E34" s="339" t="n"/>
      <c r="F34" s="340" t="n"/>
      <c r="G34" s="285" t="n">
        <v>0</v>
      </c>
      <c r="H34" s="342" t="n"/>
      <c r="I34" s="340" t="n"/>
      <c r="J34" s="285" t="n">
        <v>0</v>
      </c>
      <c r="K34" s="443" t="n"/>
      <c r="L34" s="267" t="n"/>
      <c r="M34" s="267" t="n"/>
      <c r="N34" s="267" t="n"/>
    </row>
    <row r="35" s="296">
      <c r="A35" s="338" t="n"/>
      <c r="B35" s="338" t="n"/>
      <c r="C35" s="331" t="inlineStr">
        <is>
          <t>Итого по разделу «Оборудование»</t>
        </is>
      </c>
      <c r="D35" s="338" t="n"/>
      <c r="E35" s="339" t="n"/>
      <c r="F35" s="340" t="n"/>
      <c r="G35" s="285">
        <f>G34+G33</f>
        <v/>
      </c>
      <c r="H35" s="342" t="n"/>
      <c r="I35" s="340" t="n"/>
      <c r="J35" s="285" t="n">
        <v>0</v>
      </c>
      <c r="K35" s="443" t="n"/>
      <c r="L35" s="267" t="n"/>
      <c r="M35" s="267" t="n"/>
      <c r="N35" s="267" t="n"/>
    </row>
    <row r="36" ht="25.5" customHeight="1" s="296">
      <c r="A36" s="338" t="n"/>
      <c r="B36" s="338" t="n"/>
      <c r="C36" s="337" t="inlineStr">
        <is>
          <t>в том числе технологическое оборудование</t>
        </is>
      </c>
      <c r="D36" s="338" t="n"/>
      <c r="E36" s="339" t="n"/>
      <c r="F36" s="340" t="n"/>
      <c r="G36" s="285">
        <f>G35</f>
        <v/>
      </c>
      <c r="H36" s="342" t="n"/>
      <c r="I36" s="274" t="n"/>
      <c r="J36" s="264">
        <f>J35</f>
        <v/>
      </c>
      <c r="K36" s="443" t="n"/>
      <c r="L36" s="267" t="n"/>
      <c r="M36" s="267" t="n"/>
      <c r="N36" s="267" t="n"/>
    </row>
    <row r="37" ht="14.25" customFormat="1" customHeight="1" s="267">
      <c r="A37" s="338" t="n"/>
      <c r="B37" s="331" t="inlineStr">
        <is>
          <t>Материалы</t>
        </is>
      </c>
      <c r="C37" s="428" t="n"/>
      <c r="D37" s="428" t="n"/>
      <c r="E37" s="428" t="n"/>
      <c r="F37" s="428" t="n"/>
      <c r="G37" s="428" t="n"/>
      <c r="H37" s="429" t="n"/>
      <c r="I37" s="342" t="n"/>
      <c r="J37" s="342" t="n"/>
      <c r="K37" s="443" t="n"/>
    </row>
    <row r="38" ht="14.25" customFormat="1" customHeight="1" s="267">
      <c r="A38" s="338" t="n"/>
      <c r="B38" s="337" t="inlineStr">
        <is>
          <t>Основные материалы</t>
        </is>
      </c>
      <c r="C38" s="428" t="n"/>
      <c r="D38" s="428" t="n"/>
      <c r="E38" s="428" t="n"/>
      <c r="F38" s="428" t="n"/>
      <c r="G38" s="428" t="n"/>
      <c r="H38" s="429" t="n"/>
      <c r="I38" s="342" t="n"/>
      <c r="J38" s="342" t="n"/>
    </row>
    <row r="39" ht="14.25" customFormat="1" customHeight="1" s="267">
      <c r="A39" s="338" t="n">
        <v>12</v>
      </c>
      <c r="B39" s="338" t="inlineStr">
        <is>
          <t>БЦ.88.22</t>
        </is>
      </c>
      <c r="C39" s="337" t="inlineStr">
        <is>
          <t>ВОК 24 волокон МДРН 15кН</t>
        </is>
      </c>
      <c r="D39" s="338" t="inlineStr">
        <is>
          <t>1000 м</t>
        </is>
      </c>
      <c r="E39" s="442" t="n">
        <v>14.4431</v>
      </c>
      <c r="F39" s="285">
        <f>ROUND(I39/'Прил. 10'!D12,2)</f>
        <v/>
      </c>
      <c r="G39" s="285">
        <f>ROUND(E39*F39,2)</f>
        <v/>
      </c>
      <c r="H39" s="342">
        <f>G39/$G$62</f>
        <v/>
      </c>
      <c r="I39" s="353" t="n">
        <v>70656.25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37" t="inlineStr">
        <is>
          <t>Столбик замерный железобетонный СЗК</t>
        </is>
      </c>
      <c r="D40" s="338" t="inlineStr">
        <is>
          <t>шт</t>
        </is>
      </c>
      <c r="E40" s="442" t="n">
        <v>75</v>
      </c>
      <c r="F40" s="285" t="n">
        <v>238.7</v>
      </c>
      <c r="G40" s="285">
        <f>ROUND(E40*F40,2)</f>
        <v/>
      </c>
      <c r="H40" s="342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37" t="inlineStr">
        <is>
          <t>Итого основные материалы</t>
        </is>
      </c>
      <c r="D41" s="338" t="n"/>
      <c r="E41" s="442" t="n"/>
      <c r="F41" s="340" t="n"/>
      <c r="G41" s="285">
        <f>SUM(G39:G40)</f>
        <v/>
      </c>
      <c r="H41" s="342">
        <f>G41/$G$62</f>
        <v/>
      </c>
      <c r="I41" s="340" t="n"/>
      <c r="J41" s="285">
        <f>SUM(J39:J40)</f>
        <v/>
      </c>
      <c r="K41" s="443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3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2" t="n">
        <v>4</v>
      </c>
      <c r="F42" s="285" t="n">
        <v>1194.89</v>
      </c>
      <c r="G42" s="285">
        <f>ROUND(F42*E42,2)</f>
        <v/>
      </c>
      <c r="H42" s="342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37" t="inlineStr">
        <is>
          <t>Муфта защитная чугунная МЧЗ</t>
        </is>
      </c>
      <c r="D43" s="338" t="inlineStr">
        <is>
          <t>шт</t>
        </is>
      </c>
      <c r="E43" s="442" t="n">
        <v>2</v>
      </c>
      <c r="F43" s="285" t="n">
        <v>806.5</v>
      </c>
      <c r="G43" s="285">
        <f>ROUND(F43*E43,2)</f>
        <v/>
      </c>
      <c r="H43" s="342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37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2" t="n">
        <v>14.4431</v>
      </c>
      <c r="F44" s="285" t="n">
        <v>108</v>
      </c>
      <c r="G44" s="285">
        <f>ROUND(F44*E44,2)</f>
        <v/>
      </c>
      <c r="H44" s="342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37" t="inlineStr">
        <is>
          <t>Комплект №4 для ввода ОК</t>
        </is>
      </c>
      <c r="D45" s="338" t="inlineStr">
        <is>
          <t>шт.</t>
        </is>
      </c>
      <c r="E45" s="442" t="n">
        <v>8</v>
      </c>
      <c r="F45" s="285">
        <f>ROUND(I45/'Прил. 10'!D12,2)</f>
        <v/>
      </c>
      <c r="G45" s="285">
        <f>ROUND(F45*E45,2)</f>
        <v/>
      </c>
      <c r="H45" s="342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37" t="inlineStr">
        <is>
          <t>Муфта МПЗ</t>
        </is>
      </c>
      <c r="D46" s="338" t="inlineStr">
        <is>
          <t>шт.</t>
        </is>
      </c>
      <c r="E46" s="442" t="n">
        <v>2</v>
      </c>
      <c r="F46" s="285" t="n">
        <v>170.7</v>
      </c>
      <c r="G46" s="285">
        <f>ROUND(F46*E46,2)</f>
        <v/>
      </c>
      <c r="H46" s="342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37" t="inlineStr">
        <is>
          <t>Эмаль перхлорвиниловая фасадная ХВ-161</t>
        </is>
      </c>
      <c r="D47" s="338" t="inlineStr">
        <is>
          <t>т</t>
        </is>
      </c>
      <c r="E47" s="442" t="n">
        <v>0.02088</v>
      </c>
      <c r="F47" s="285" t="n">
        <v>15989</v>
      </c>
      <c r="G47" s="285">
        <f>ROUND(F47*E47,2)</f>
        <v/>
      </c>
      <c r="H47" s="342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37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2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37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2" t="n">
        <v>0.00272</v>
      </c>
      <c r="F49" s="285" t="n">
        <v>63598.66</v>
      </c>
      <c r="G49" s="285">
        <f>ROUND(F49*E49,2)</f>
        <v/>
      </c>
      <c r="H49" s="342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37" t="inlineStr">
        <is>
          <t>Смола эпоксидная ЭД-20</t>
        </is>
      </c>
      <c r="D50" s="338" t="inlineStr">
        <is>
          <t>т</t>
        </is>
      </c>
      <c r="E50" s="442" t="n">
        <v>0.0027</v>
      </c>
      <c r="F50" s="285" t="n">
        <v>53562</v>
      </c>
      <c r="G50" s="285">
        <f>ROUND(F50*E50,2)</f>
        <v/>
      </c>
      <c r="H50" s="342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37" t="inlineStr">
        <is>
          <t>Комплект герметика для муфт МПЗ и МЧЗ</t>
        </is>
      </c>
      <c r="D51" s="338" t="inlineStr">
        <is>
          <t>компл.</t>
        </is>
      </c>
      <c r="E51" s="442" t="n">
        <v>2</v>
      </c>
      <c r="F51" s="285" t="n">
        <v>55.14</v>
      </c>
      <c r="G51" s="285">
        <f>ROUND(F51*E51,2)</f>
        <v/>
      </c>
      <c r="H51" s="342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37" t="inlineStr">
        <is>
          <t>Грунтовка ГФ-021</t>
        </is>
      </c>
      <c r="D52" s="338" t="inlineStr">
        <is>
          <t>т</t>
        </is>
      </c>
      <c r="E52" s="442" t="n">
        <v>0.00609</v>
      </c>
      <c r="F52" s="285" t="n">
        <v>15620</v>
      </c>
      <c r="G52" s="285">
        <f>ROUND(F52*E52,2)</f>
        <v/>
      </c>
      <c r="H52" s="342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37" t="inlineStr">
        <is>
          <t>Бензин авиационный Б-70</t>
        </is>
      </c>
      <c r="D53" s="338" t="inlineStr">
        <is>
          <t>т</t>
        </is>
      </c>
      <c r="E53" s="442" t="n">
        <v>0.0048</v>
      </c>
      <c r="F53" s="285" t="n">
        <v>4488.4</v>
      </c>
      <c r="G53" s="285">
        <f>ROUND(F53*E53,2)</f>
        <v/>
      </c>
      <c r="H53" s="342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37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2" t="n">
        <v>0.4125</v>
      </c>
      <c r="F54" s="285" t="n">
        <v>35.49</v>
      </c>
      <c r="G54" s="285">
        <f>ROUND(F54*E54,2)</f>
        <v/>
      </c>
      <c r="H54" s="342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37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2" t="n">
        <v>0.624</v>
      </c>
      <c r="F55" s="285" t="n">
        <v>21.3</v>
      </c>
      <c r="G55" s="285">
        <f>ROUND(F55*E55,2)</f>
        <v/>
      </c>
      <c r="H55" s="342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37" t="inlineStr">
        <is>
          <t>Кислота стеариновая техническая</t>
        </is>
      </c>
      <c r="D56" s="338" t="inlineStr">
        <is>
          <t>кг</t>
        </is>
      </c>
      <c r="E56" s="442" t="n">
        <v>0.2</v>
      </c>
      <c r="F56" s="285" t="n">
        <v>16.8</v>
      </c>
      <c r="G56" s="285">
        <f>ROUND(F56*E56,2)</f>
        <v/>
      </c>
      <c r="H56" s="342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37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2" t="n">
        <v>0.112</v>
      </c>
      <c r="F57" s="285" t="n">
        <v>21.32</v>
      </c>
      <c r="G57" s="285">
        <f>ROUND(F57*E57,2)</f>
        <v/>
      </c>
      <c r="H57" s="342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37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2" t="n">
        <v>0.07199999999999999</v>
      </c>
      <c r="F58" s="285" t="n">
        <v>30.1</v>
      </c>
      <c r="G58" s="285">
        <f>ROUND(F58*E58,2)</f>
        <v/>
      </c>
      <c r="H58" s="342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37" t="inlineStr">
        <is>
          <t>Лак битумный БТ-577</t>
        </is>
      </c>
      <c r="D59" s="338" t="inlineStr">
        <is>
          <t>т</t>
        </is>
      </c>
      <c r="E59" s="442" t="n">
        <v>0.00016</v>
      </c>
      <c r="F59" s="285" t="n">
        <v>9550.01</v>
      </c>
      <c r="G59" s="285">
        <f>ROUND(F59*E59,2)</f>
        <v/>
      </c>
      <c r="H59" s="342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37" t="inlineStr">
        <is>
          <t>Канифоль сосновая</t>
        </is>
      </c>
      <c r="D60" s="338" t="inlineStr">
        <is>
          <t>кг</t>
        </is>
      </c>
      <c r="E60" s="442" t="n">
        <v>0.024</v>
      </c>
      <c r="F60" s="285" t="n">
        <v>27.74</v>
      </c>
      <c r="G60" s="285">
        <f>ROUND(F60*E60,2)</f>
        <v/>
      </c>
      <c r="H60" s="342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37" t="inlineStr">
        <is>
          <t>Итого прочие материалы</t>
        </is>
      </c>
      <c r="D61" s="338" t="n"/>
      <c r="E61" s="339" t="n"/>
      <c r="F61" s="340" t="n"/>
      <c r="G61" s="285">
        <f>SUM(G42:G60)</f>
        <v/>
      </c>
      <c r="H61" s="342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1" t="inlineStr">
        <is>
          <t>Итого по разделу «Материалы»</t>
        </is>
      </c>
      <c r="D62" s="338" t="n"/>
      <c r="E62" s="339" t="n"/>
      <c r="F62" s="340" t="n"/>
      <c r="G62" s="285">
        <f>G41+G61</f>
        <v/>
      </c>
      <c r="H62" s="342" t="n">
        <v>1</v>
      </c>
      <c r="I62" s="340" t="n"/>
      <c r="J62" s="285">
        <f>J41+J61</f>
        <v/>
      </c>
      <c r="K62" s="443" t="n"/>
    </row>
    <row r="63" ht="14.25" customFormat="1" customHeight="1" s="267">
      <c r="A63" s="338" t="n"/>
      <c r="B63" s="338" t="n"/>
      <c r="C63" s="337" t="inlineStr">
        <is>
          <t>ИТОГО ПО РМ</t>
        </is>
      </c>
      <c r="D63" s="338" t="n"/>
      <c r="E63" s="339" t="n"/>
      <c r="F63" s="340" t="n"/>
      <c r="G63" s="285">
        <f>G15+G30+G62</f>
        <v/>
      </c>
      <c r="H63" s="342" t="n"/>
      <c r="I63" s="340" t="n"/>
      <c r="J63" s="285">
        <f>J15+J30+J62</f>
        <v/>
      </c>
    </row>
    <row r="64" ht="14.25" customFormat="1" customHeight="1" s="267">
      <c r="A64" s="338" t="n"/>
      <c r="B64" s="338" t="n"/>
      <c r="C64" s="337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0" t="n"/>
      <c r="G64" s="285" t="n">
        <v>16870.33</v>
      </c>
      <c r="H64" s="342" t="n"/>
      <c r="I64" s="340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37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0" t="n"/>
      <c r="G65" s="285" t="n">
        <v>8868.889999999999</v>
      </c>
      <c r="H65" s="342" t="n"/>
      <c r="I65" s="340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37" t="inlineStr">
        <is>
          <t>Итого СМР (с НР и СП)</t>
        </is>
      </c>
      <c r="D66" s="338" t="n"/>
      <c r="E66" s="339" t="n"/>
      <c r="F66" s="340" t="n"/>
      <c r="G66" s="285">
        <f>G15+G30+G62+G64+G65</f>
        <v/>
      </c>
      <c r="H66" s="342" t="n"/>
      <c r="I66" s="340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37" t="inlineStr">
        <is>
          <t>ВСЕГО СМР + ОБОРУДОВАНИЕ</t>
        </is>
      </c>
      <c r="D67" s="338" t="n"/>
      <c r="E67" s="339" t="n"/>
      <c r="F67" s="340" t="n"/>
      <c r="G67" s="285">
        <f>G66+G35</f>
        <v/>
      </c>
      <c r="H67" s="342" t="n"/>
      <c r="I67" s="340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37" t="inlineStr">
        <is>
          <t>ИТОГО ПОКАЗАТЕЛЬ НА ЕД. ИЗМ.</t>
        </is>
      </c>
      <c r="D68" s="338" t="inlineStr">
        <is>
          <t>ед.</t>
        </is>
      </c>
      <c r="E68" s="442">
        <f>'Прил.1 Сравнит табл'!D15</f>
        <v/>
      </c>
      <c r="F68" s="340" t="n"/>
      <c r="G68" s="285">
        <f>G67/E68</f>
        <v/>
      </c>
      <c r="H68" s="342" t="n"/>
      <c r="I68" s="340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37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296">
      <c r="A10" s="338" t="n"/>
      <c r="B10" s="331" t="n"/>
      <c r="C10" s="337" t="inlineStr">
        <is>
          <t>ИТОГО ИНЖЕНЕРНОЕ ОБОРУДОВАНИЕ</t>
        </is>
      </c>
      <c r="D10" s="331" t="n"/>
      <c r="E10" s="148" t="n"/>
      <c r="F10" s="340" t="n"/>
      <c r="G10" s="340" t="n">
        <v>0</v>
      </c>
    </row>
    <row r="11">
      <c r="A11" s="338" t="n"/>
      <c r="B11" s="337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0" t="n"/>
      <c r="G12" s="285" t="n">
        <v>0</v>
      </c>
    </row>
    <row r="13" ht="19.5" customHeight="1" s="296">
      <c r="A13" s="338" t="n"/>
      <c r="B13" s="337" t="n"/>
      <c r="C13" s="337" t="inlineStr">
        <is>
          <t>Всего по разделу «Оборудование»</t>
        </is>
      </c>
      <c r="D13" s="337" t="n"/>
      <c r="E13" s="353" t="n"/>
      <c r="F13" s="340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402" min="1" max="1"/>
    <col width="29.5703125" customWidth="1" style="402" min="2" max="2"/>
    <col width="39.140625" customWidth="1" style="402" min="3" max="3"/>
    <col width="48.140625" customWidth="1" style="402" min="4" max="4"/>
    <col width="8.85546875" customWidth="1" style="402" min="5" max="16384"/>
  </cols>
  <sheetData>
    <row r="1">
      <c r="B1" s="403" t="n"/>
      <c r="C1" s="403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296">
      <c r="A3" s="406" t="inlineStr">
        <is>
          <t>Расчет показателя УНЦ</t>
        </is>
      </c>
    </row>
    <row r="4" ht="24.75" customHeight="1" s="296">
      <c r="A4" s="406" t="n"/>
      <c r="B4" s="406" t="n"/>
      <c r="C4" s="406" t="n"/>
      <c r="D4" s="406" t="n"/>
    </row>
    <row r="5" ht="24.6" customHeight="1" s="296">
      <c r="A5" s="408" t="inlineStr">
        <is>
          <t xml:space="preserve">Наименование разрабатываемого показателя УНЦ - </t>
        </is>
      </c>
      <c r="D5" s="408">
        <f>'Прил.5 Расчет СМР и ОБ'!D6:J6</f>
        <v/>
      </c>
    </row>
    <row r="6" ht="19.9" customHeight="1" s="296">
      <c r="A6" s="408" t="inlineStr">
        <is>
          <t>Единица измерения  — 1 км</t>
        </is>
      </c>
      <c r="D6" s="408" t="n"/>
    </row>
    <row r="7">
      <c r="A7" s="403" t="n"/>
      <c r="B7" s="403" t="n"/>
      <c r="C7" s="403" t="n"/>
      <c r="D7" s="403" t="n"/>
    </row>
    <row r="8" ht="14.45" customHeight="1" s="296">
      <c r="A8" s="409" t="inlineStr">
        <is>
          <t>Код показателя</t>
        </is>
      </c>
      <c r="B8" s="409" t="inlineStr">
        <is>
          <t>Наименование показателя</t>
        </is>
      </c>
      <c r="C8" s="409" t="inlineStr">
        <is>
          <t>Наименование РМ, входящих в состав показателя</t>
        </is>
      </c>
      <c r="D8" s="409" t="inlineStr">
        <is>
          <t>Норматив цены на 01.01.2023, тыс.руб.</t>
        </is>
      </c>
    </row>
    <row r="9" ht="15" customHeight="1" s="296">
      <c r="A9" s="431" t="n"/>
      <c r="B9" s="431" t="n"/>
      <c r="C9" s="431" t="n"/>
      <c r="D9" s="431" t="n"/>
    </row>
    <row r="10">
      <c r="A10" s="410" t="n">
        <v>1</v>
      </c>
      <c r="B10" s="410" t="n">
        <v>2</v>
      </c>
      <c r="C10" s="410" t="n">
        <v>3</v>
      </c>
      <c r="D10" s="410" t="n">
        <v>4</v>
      </c>
    </row>
    <row r="11" ht="41.45" customHeight="1" s="296">
      <c r="A11" s="410" t="inlineStr">
        <is>
          <t>О4.1-03-2</t>
        </is>
      </c>
      <c r="B11" s="410" t="inlineStr">
        <is>
          <t>УНЦ ВОК в трубе в земле</t>
        </is>
      </c>
      <c r="C11" s="411">
        <f>D5</f>
        <v/>
      </c>
      <c r="D11" s="412">
        <f>'Прил.4 РМ'!C41/1000</f>
        <v/>
      </c>
      <c r="E11" s="413" t="n"/>
    </row>
    <row r="12">
      <c r="A12" s="414" t="n"/>
      <c r="B12" s="415" t="n"/>
      <c r="C12" s="414" t="n"/>
      <c r="D12" s="414" t="n"/>
    </row>
    <row r="13">
      <c r="A13" s="403" t="inlineStr">
        <is>
          <t>Составил ______________________      Е. М. Добровольская</t>
        </is>
      </c>
      <c r="B13" s="416" t="n"/>
      <c r="C13" s="416" t="n"/>
      <c r="D13" s="414" t="n"/>
    </row>
    <row r="14">
      <c r="A14" s="417" t="inlineStr">
        <is>
          <t xml:space="preserve">                         (подпись, инициалы, фамилия)</t>
        </is>
      </c>
      <c r="B14" s="416" t="n"/>
      <c r="C14" s="416" t="n"/>
      <c r="D14" s="414" t="n"/>
    </row>
    <row r="15">
      <c r="A15" s="403" t="n"/>
      <c r="B15" s="416" t="n"/>
      <c r="C15" s="416" t="n"/>
      <c r="D15" s="414" t="n"/>
    </row>
    <row r="16">
      <c r="A16" s="403" t="inlineStr">
        <is>
          <t>Проверил ______________________        А.В. Костянецкая</t>
        </is>
      </c>
      <c r="B16" s="416" t="n"/>
      <c r="C16" s="416" t="n"/>
      <c r="D16" s="414" t="n"/>
    </row>
    <row r="17">
      <c r="A17" s="417" t="inlineStr">
        <is>
          <t xml:space="preserve">                        (подпись, инициалы, фамилия)</t>
        </is>
      </c>
      <c r="B17" s="416" t="n"/>
      <c r="C17" s="416" t="n"/>
      <c r="D17" s="41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A1" sqref="A1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81" t="inlineStr">
        <is>
          <t>№ пп.</t>
        </is>
      </c>
      <c r="B5" s="381" t="inlineStr">
        <is>
          <t>Наименование элемента</t>
        </is>
      </c>
      <c r="C5" s="381" t="inlineStr">
        <is>
          <t>Обозначение</t>
        </is>
      </c>
      <c r="D5" s="381" t="inlineStr">
        <is>
          <t>Формула</t>
        </is>
      </c>
      <c r="E5" s="381" t="inlineStr">
        <is>
          <t>Величина элемента</t>
        </is>
      </c>
      <c r="F5" s="381" t="inlineStr">
        <is>
          <t>Наименования обосновывающих документов</t>
        </is>
      </c>
    </row>
    <row r="6">
      <c r="A6" s="381" t="n">
        <v>1</v>
      </c>
      <c r="B6" s="381" t="n">
        <v>2</v>
      </c>
      <c r="C6" s="381" t="n">
        <v>3</v>
      </c>
      <c r="D6" s="381" t="n">
        <v>4</v>
      </c>
      <c r="E6" s="381" t="n">
        <v>5</v>
      </c>
      <c r="F6" s="381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80" t="n"/>
      <c r="D10" s="380" t="n"/>
      <c r="E10" s="445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446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0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47" t="n">
        <v>1.139</v>
      </c>
      <c r="F12" s="4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1" t="inlineStr">
        <is>
          <t>1.7</t>
        </is>
      </c>
      <c r="B13" s="422" t="inlineStr">
        <is>
          <t>Размер средств на оплату труда рабочих-строителей в текущем уровне цен (ФОТр.тек.), руб/чел.-ч</t>
        </is>
      </c>
      <c r="C13" s="423" t="inlineStr">
        <is>
          <t>ФОТр.тек.</t>
        </is>
      </c>
      <c r="D13" s="423" t="inlineStr">
        <is>
          <t>(С1ср/tср*КТ*Т*Кув)*Кинф</t>
        </is>
      </c>
      <c r="E13" s="424">
        <f>((43361*E9/E8)*E11)*E12</f>
        <v/>
      </c>
      <c r="F13" s="4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20" t="n"/>
      <c r="B14" s="420" t="inlineStr">
        <is>
          <t>Инженер I категории</t>
        </is>
      </c>
      <c r="C14" s="420" t="n"/>
      <c r="D14" s="420" t="n"/>
      <c r="E14" s="420" t="n"/>
      <c r="F14" s="420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80" t="inlineStr">
        <is>
          <t>С1ср</t>
        </is>
      </c>
      <c r="D15" s="380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80" t="inlineStr">
        <is>
          <t>tср</t>
        </is>
      </c>
      <c r="D16" s="380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80" t="inlineStr">
        <is>
          <t>Кув</t>
        </is>
      </c>
      <c r="D17" s="380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80" t="n"/>
      <c r="D18" s="380" t="n"/>
      <c r="E18" s="445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80" t="inlineStr">
        <is>
          <t>КТ</t>
        </is>
      </c>
      <c r="D19" s="380" t="inlineStr">
        <is>
          <t>-</t>
        </is>
      </c>
      <c r="E19" s="446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80" t="inlineStr">
        <is>
          <t>Кинф</t>
        </is>
      </c>
      <c r="D20" s="380" t="inlineStr">
        <is>
          <t>-</t>
        </is>
      </c>
      <c r="E20" s="448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80" t="inlineStr">
        <is>
          <t>ФОТр.тек.</t>
        </is>
      </c>
      <c r="D21" s="380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2025-01-24T12:13:16Z</dcterms:modified>
  <cp:lastModifiedBy>Николай Трофименко</cp:lastModifiedBy>
  <cp:lastPrinted>2023-12-01T14:40:11Z</cp:lastPrinted>
</cp:coreProperties>
</file>