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_-* #,##0.00\ _₽_-;\-* #,##0.00\ _₽_-;_-* &quot;-&quot;??\ _₽_-;_-@_-"/>
    <numFmt numFmtId="170" formatCode="#,##0.0"/>
    <numFmt numFmtId="171" formatCode="#,##0.000"/>
  </numFmts>
  <fonts count="32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b val="1"/>
      <color rgb="FF000000"/>
      <sz val="12"/>
    </font>
    <font>
      <name val="Calibri"/>
      <charset val="204"/>
      <family val="2"/>
      <b val="1"/>
      <color rgb="FF000000"/>
      <sz val="12"/>
    </font>
    <font>
      <name val="Times New Roman"/>
      <charset val="204"/>
      <family val="1"/>
      <b val="1"/>
      <color rgb="FF000000"/>
      <sz val="14"/>
    </font>
    <font>
      <name val="Times New Roman"/>
      <charset val="204"/>
      <family val="1"/>
      <color rgb="FF0000FF"/>
      <sz val="12"/>
      <u val="single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0" fillId="0" borderId="0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8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8" fillId="0" borderId="0" pivotButton="0" quotePrefix="0" xfId="0"/>
    <xf numFmtId="0" fontId="4" fillId="0" borderId="0" pivotButton="0" quotePrefix="0" xfId="0"/>
    <xf numFmtId="0" fontId="1" fillId="0" borderId="0" pivotButton="0" quotePrefix="0" xfId="0"/>
    <xf numFmtId="0" fontId="3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horizontal="center" vertical="center"/>
    </xf>
    <xf numFmtId="4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right"/>
    </xf>
    <xf numFmtId="0" fontId="1" fillId="0" borderId="0" pivotButton="0" quotePrefix="0" xfId="0"/>
    <xf numFmtId="0" fontId="15" fillId="0" borderId="1" applyAlignment="1" pivotButton="0" quotePrefix="0" xfId="0">
      <alignment vertical="center" wrapText="1"/>
    </xf>
    <xf numFmtId="169" fontId="15" fillId="0" borderId="1" applyAlignment="1" pivotButton="0" quotePrefix="0" xfId="0">
      <alignment vertical="center" wrapText="1"/>
    </xf>
    <xf numFmtId="0" fontId="21" fillId="0" borderId="4" applyAlignment="1" pivotButton="0" quotePrefix="0" xfId="0">
      <alignment vertical="center" wrapText="1"/>
    </xf>
    <xf numFmtId="169" fontId="21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9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9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9" fontId="15" fillId="0" borderId="1" applyAlignment="1" pivotButton="0" quotePrefix="0" xfId="0">
      <alignment horizontal="center" vertical="center" wrapText="1"/>
    </xf>
    <xf numFmtId="169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69" fontId="21" fillId="0" borderId="1" applyAlignment="1" pivotButton="0" quotePrefix="0" xfId="0">
      <alignment horizontal="center" vertical="center" wrapText="1"/>
    </xf>
    <xf numFmtId="169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7" zoomScale="60" zoomScaleNormal="55" workbookViewId="0">
      <selection activeCell="A24" sqref="A24:XFD24"/>
    </sheetView>
  </sheetViews>
  <sheetFormatPr baseColWidth="8" defaultColWidth="9.140625" defaultRowHeight="15.75"/>
  <cols>
    <col width="9.140625" customWidth="1" style="340" min="1" max="2"/>
    <col width="51.7109375" customWidth="1" style="340" min="3" max="3"/>
    <col width="47" customWidth="1" style="340" min="4" max="4"/>
    <col width="37.42578125" customWidth="1" style="340" min="5" max="5"/>
    <col width="9.140625" customWidth="1" style="340" min="6" max="6"/>
  </cols>
  <sheetData>
    <row r="3">
      <c r="B3" s="362" t="inlineStr">
        <is>
          <t>Приложение № 1</t>
        </is>
      </c>
    </row>
    <row r="4">
      <c r="B4" s="363" t="inlineStr">
        <is>
          <t>Сравнительная таблица отбора объекта-представителя</t>
        </is>
      </c>
    </row>
    <row r="5" ht="84.2" customHeight="1" s="338">
      <c r="B5" s="36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38">
      <c r="B6" s="258" t="n"/>
      <c r="C6" s="258" t="n"/>
      <c r="D6" s="258" t="n"/>
    </row>
    <row r="7" ht="64.5" customHeight="1" s="338">
      <c r="B7" s="364" t="inlineStr">
        <is>
          <t>Наименование разрабатываемого показателя УНЦ - Ячейка реактора ДГР 35 кВ, мощность 360 кВА</t>
        </is>
      </c>
    </row>
    <row r="8" ht="31.7" customHeight="1" s="338">
      <c r="B8" s="364" t="inlineStr">
        <is>
          <t>Сопоставимый уровень цен: 3 кв. 2016</t>
        </is>
      </c>
    </row>
    <row r="9" ht="15.75" customHeight="1" s="338">
      <c r="B9" s="364" t="inlineStr">
        <is>
          <t>Единица измерения  — 1 ячейка</t>
        </is>
      </c>
    </row>
    <row r="10">
      <c r="B10" s="364" t="n"/>
    </row>
    <row r="11">
      <c r="B11" s="371" t="inlineStr">
        <is>
          <t>№ п/п</t>
        </is>
      </c>
      <c r="C11" s="371" t="inlineStr">
        <is>
          <t>Параметр</t>
        </is>
      </c>
      <c r="D11" s="371" t="inlineStr">
        <is>
          <t xml:space="preserve">Объект-представитель </t>
        </is>
      </c>
      <c r="E11" s="233" t="n"/>
    </row>
    <row r="12" ht="96.75" customHeight="1" s="338">
      <c r="B12" s="371" t="n">
        <v>1</v>
      </c>
      <c r="C12" s="228" t="inlineStr">
        <is>
          <t>Наименование объекта-представителя</t>
        </is>
      </c>
      <c r="D12" s="371" t="inlineStr">
        <is>
          <t xml:space="preserve">ПС 220 кВ Порт </t>
        </is>
      </c>
    </row>
    <row r="13">
      <c r="B13" s="371" t="n">
        <v>2</v>
      </c>
      <c r="C13" s="228" t="inlineStr">
        <is>
          <t>Наименование субъекта Российской Федерации</t>
        </is>
      </c>
      <c r="D13" s="371" t="inlineStr">
        <is>
          <t>Краснодарский край</t>
        </is>
      </c>
    </row>
    <row r="14">
      <c r="B14" s="371" t="n">
        <v>3</v>
      </c>
      <c r="C14" s="228" t="inlineStr">
        <is>
          <t>Климатический район и подрайон</t>
        </is>
      </c>
      <c r="D14" s="371" t="inlineStr">
        <is>
          <t>IIIБ</t>
        </is>
      </c>
    </row>
    <row r="15">
      <c r="B15" s="371" t="n">
        <v>4</v>
      </c>
      <c r="C15" s="228" t="inlineStr">
        <is>
          <t>Мощность объекта</t>
        </is>
      </c>
      <c r="D15" s="371" t="n">
        <v>2</v>
      </c>
    </row>
    <row r="16" ht="116.45" customHeight="1" s="338">
      <c r="B16" s="371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71" t="inlineStr">
        <is>
          <t>Реактор дугогасящий - 2 комплекта</t>
        </is>
      </c>
    </row>
    <row r="17" ht="79.5" customHeight="1" s="338">
      <c r="B17" s="371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42">
        <f>D18+D19</f>
        <v/>
      </c>
      <c r="E17" s="257" t="n"/>
    </row>
    <row r="18">
      <c r="B18" s="232" t="inlineStr">
        <is>
          <t>6.1</t>
        </is>
      </c>
      <c r="C18" s="228" t="inlineStr">
        <is>
          <t>строительно-монтажные работы</t>
        </is>
      </c>
      <c r="D18" s="242">
        <f>'Прил.2 Расч стоим'!F14</f>
        <v/>
      </c>
    </row>
    <row r="19" ht="15.75" customHeight="1" s="338">
      <c r="B19" s="232" t="inlineStr">
        <is>
          <t>6.2</t>
        </is>
      </c>
      <c r="C19" s="228" t="inlineStr">
        <is>
          <t>оборудование и инвентарь</t>
        </is>
      </c>
      <c r="D19" s="242">
        <f>'Прил.2 Расч стоим'!H14</f>
        <v/>
      </c>
    </row>
    <row r="20" ht="16.5" customHeight="1" s="338">
      <c r="B20" s="232" t="inlineStr">
        <is>
          <t>6.3</t>
        </is>
      </c>
      <c r="C20" s="228" t="inlineStr">
        <is>
          <t>пусконаладочные работы</t>
        </is>
      </c>
      <c r="D20" s="242" t="n"/>
    </row>
    <row r="21" ht="35.45" customHeight="1" s="338">
      <c r="B21" s="232" t="inlineStr">
        <is>
          <t>6.4</t>
        </is>
      </c>
      <c r="C21" s="231" t="inlineStr">
        <is>
          <t>прочие и лимитированные затраты</t>
        </is>
      </c>
      <c r="D21" s="242" t="n"/>
    </row>
    <row r="22">
      <c r="B22" s="371" t="n">
        <v>7</v>
      </c>
      <c r="C22" s="231" t="inlineStr">
        <is>
          <t>Сопоставимый уровень цен</t>
        </is>
      </c>
      <c r="D22" s="286" t="inlineStr">
        <is>
          <t>3 кв. 2016</t>
        </is>
      </c>
      <c r="E22" s="229" t="n"/>
    </row>
    <row r="23" ht="78.75" customHeight="1" s="338">
      <c r="B23" s="371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42">
        <f>D17</f>
        <v/>
      </c>
      <c r="E23" s="257" t="n"/>
    </row>
    <row r="24" ht="31.5" customHeight="1" s="338">
      <c r="B24" s="371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42">
        <f>D17/D15</f>
        <v/>
      </c>
      <c r="E24" s="229" t="n"/>
    </row>
    <row r="25">
      <c r="B25" s="371" t="n">
        <v>10</v>
      </c>
      <c r="C25" s="228" t="inlineStr">
        <is>
          <t>Примечание</t>
        </is>
      </c>
      <c r="D25" s="371" t="n"/>
    </row>
    <row r="26">
      <c r="B26" s="227" t="n"/>
      <c r="C26" s="226" t="n"/>
      <c r="D26" s="226" t="n"/>
    </row>
    <row r="27">
      <c r="B27" s="225" t="n"/>
    </row>
    <row r="28">
      <c r="B28" s="340" t="inlineStr">
        <is>
          <t>Составил ______________________    Е. М. Добровольская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40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40" min="1" max="1"/>
    <col width="9.140625" customWidth="1" style="340" min="2" max="2"/>
    <col width="35.28515625" customWidth="1" style="340" min="3" max="3"/>
    <col width="13.85546875" customWidth="1" style="340" min="4" max="4"/>
    <col width="24.85546875" customWidth="1" style="340" min="5" max="5"/>
    <col width="15.5703125" customWidth="1" style="340" min="6" max="6"/>
    <col width="14.85546875" customWidth="1" style="340" min="7" max="7"/>
    <col width="16.7109375" customWidth="1" style="340" min="8" max="8"/>
    <col width="13" customWidth="1" style="340" min="9" max="10"/>
    <col width="18" customWidth="1" style="340" min="11" max="11"/>
    <col width="9.140625" customWidth="1" style="340" min="12" max="12"/>
  </cols>
  <sheetData>
    <row r="3">
      <c r="B3" s="362" t="inlineStr">
        <is>
          <t>Приложение № 2</t>
        </is>
      </c>
      <c r="K3" s="225" t="n"/>
    </row>
    <row r="4">
      <c r="B4" s="363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38">
      <c r="B6" s="364">
        <f>'Прил.1 Сравнит табл'!B7:D7</f>
        <v/>
      </c>
    </row>
    <row r="7">
      <c r="B7" s="364">
        <f>'Прил.1 Сравнит табл'!B9:D9</f>
        <v/>
      </c>
    </row>
    <row r="8" ht="18" customHeight="1" s="338">
      <c r="B8" s="259" t="n"/>
    </row>
    <row r="9" ht="15.75" customHeight="1" s="338">
      <c r="B9" s="371" t="inlineStr">
        <is>
          <t>№ п/п</t>
        </is>
      </c>
      <c r="C9" s="37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1" t="inlineStr">
        <is>
          <t>Объект-представитель 1</t>
        </is>
      </c>
      <c r="E9" s="460" t="n"/>
      <c r="F9" s="460" t="n"/>
      <c r="G9" s="460" t="n"/>
      <c r="H9" s="460" t="n"/>
      <c r="I9" s="460" t="n"/>
      <c r="J9" s="461" t="n"/>
    </row>
    <row r="10" ht="15.75" customHeight="1" s="338">
      <c r="B10" s="462" t="n"/>
      <c r="C10" s="462" t="n"/>
      <c r="D10" s="371" t="inlineStr">
        <is>
          <t>Номер сметы</t>
        </is>
      </c>
      <c r="E10" s="371" t="inlineStr">
        <is>
          <t>Наименование сметы</t>
        </is>
      </c>
      <c r="F10" s="371" t="inlineStr">
        <is>
          <t>Сметная стоимость в уровне цен 3 кв. 2016 г., тыс. руб.</t>
        </is>
      </c>
      <c r="G10" s="460" t="n"/>
      <c r="H10" s="460" t="n"/>
      <c r="I10" s="460" t="n"/>
      <c r="J10" s="461" t="n"/>
    </row>
    <row r="11" ht="31.15" customHeight="1" s="338">
      <c r="B11" s="463" t="n"/>
      <c r="C11" s="463" t="n"/>
      <c r="D11" s="463" t="n"/>
      <c r="E11" s="463" t="n"/>
      <c r="F11" s="372" t="inlineStr">
        <is>
          <t>Строительные работы</t>
        </is>
      </c>
      <c r="G11" s="372" t="inlineStr">
        <is>
          <t>Монтажные работы</t>
        </is>
      </c>
      <c r="H11" s="372" t="inlineStr">
        <is>
          <t>Оборудование</t>
        </is>
      </c>
      <c r="I11" s="372" t="inlineStr">
        <is>
          <t>Прочее</t>
        </is>
      </c>
      <c r="J11" s="372" t="inlineStr">
        <is>
          <t>Всего</t>
        </is>
      </c>
    </row>
    <row r="12" ht="31.5" customHeight="1" s="338">
      <c r="B12" s="334" t="n"/>
      <c r="C12" s="334" t="inlineStr">
        <is>
          <t>Ячейка реактора ДГР 35 кВ, 360 кВА</t>
        </is>
      </c>
      <c r="D12" s="334" t="n"/>
      <c r="E12" s="334" t="n"/>
      <c r="F12" s="464">
        <f>('Прил. 3'!H12+'Прил. 3'!H26+'Прил. 3'!H28+'Прил. 3'!H65)*8.42/1000</f>
        <v/>
      </c>
      <c r="G12" s="461" t="n"/>
      <c r="H12" s="465">
        <f>'Прил. 3'!H61*4.28/1000</f>
        <v/>
      </c>
      <c r="I12" s="334" t="n"/>
      <c r="J12" s="465">
        <f>F12+H12</f>
        <v/>
      </c>
    </row>
    <row r="13" ht="14.45" customHeight="1" s="338">
      <c r="B13" s="375" t="inlineStr">
        <is>
          <t>Всего по объекту:</t>
        </is>
      </c>
      <c r="C13" s="466" t="n"/>
      <c r="D13" s="466" t="n"/>
      <c r="E13" s="467" t="n"/>
      <c r="F13" s="336" t="n"/>
      <c r="G13" s="336" t="n"/>
      <c r="H13" s="336" t="n"/>
      <c r="I13" s="336" t="n"/>
      <c r="J13" s="336" t="n"/>
    </row>
    <row r="14" ht="15.75" customHeight="1" s="338">
      <c r="B14" s="376" t="inlineStr">
        <is>
          <t>Всего по объекту в сопоставимом уровне цен 3 кв. 2016 г:</t>
        </is>
      </c>
      <c r="C14" s="460" t="n"/>
      <c r="D14" s="460" t="n"/>
      <c r="E14" s="461" t="n"/>
      <c r="F14" s="468">
        <f>F12</f>
        <v/>
      </c>
      <c r="G14" s="461" t="n"/>
      <c r="H14" s="469">
        <f>H12</f>
        <v/>
      </c>
      <c r="I14" s="260" t="n"/>
      <c r="J14" s="469">
        <f>J12</f>
        <v/>
      </c>
    </row>
    <row r="15" ht="14.45" customHeight="1" s="338"/>
    <row r="16" ht="14.45" customHeight="1" s="338"/>
    <row r="17" ht="14.45" customHeight="1" s="338"/>
    <row r="18" ht="14.45" customHeight="1" s="338">
      <c r="C18" s="333" t="inlineStr">
        <is>
          <t>Составил ______________________     Е. М. Добровольская</t>
        </is>
      </c>
      <c r="D18" s="322" t="n"/>
      <c r="E18" s="322" t="n"/>
    </row>
    <row r="19" ht="14.45" customHeight="1" s="338">
      <c r="C19" s="324" t="inlineStr">
        <is>
          <t xml:space="preserve">                         (подпись, инициалы, фамилия)</t>
        </is>
      </c>
      <c r="D19" s="322" t="n"/>
      <c r="E19" s="322" t="n"/>
    </row>
    <row r="20" ht="14.45" customHeight="1" s="338">
      <c r="C20" s="333" t="n"/>
      <c r="D20" s="322" t="n"/>
      <c r="E20" s="322" t="n"/>
    </row>
    <row r="21" ht="14.45" customHeight="1" s="338">
      <c r="C21" s="333" t="inlineStr">
        <is>
          <t>Проверил ______________________        А.В. Костянецкая</t>
        </is>
      </c>
      <c r="D21" s="322" t="n"/>
      <c r="E21" s="322" t="n"/>
    </row>
    <row r="22" ht="14.45" customHeight="1" s="338">
      <c r="C22" s="324" t="inlineStr">
        <is>
          <t xml:space="preserve">                        (подпись, инициалы, фамилия)</t>
        </is>
      </c>
      <c r="D22" s="322" t="n"/>
      <c r="E22" s="322" t="n"/>
    </row>
    <row r="23" ht="14.45" customHeight="1" s="338"/>
    <row r="24" ht="14.45" customHeight="1" s="338"/>
    <row r="25" ht="14.45" customHeight="1" s="338"/>
    <row r="26" ht="14.45" customHeight="1" s="338"/>
    <row r="27" ht="14.45" customHeight="1" s="338"/>
    <row r="28" ht="14.45" customHeight="1" s="338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33" zoomScale="70" workbookViewId="0">
      <selection activeCell="C148" sqref="C148"/>
    </sheetView>
  </sheetViews>
  <sheetFormatPr baseColWidth="8" defaultColWidth="9.140625" defaultRowHeight="15.75"/>
  <cols>
    <col width="9.140625" customWidth="1" style="340" min="1" max="1"/>
    <col width="12.5703125" customWidth="1" style="340" min="2" max="2"/>
    <col width="22.42578125" customWidth="1" style="340" min="3" max="3"/>
    <col width="49.7109375" customWidth="1" style="340" min="4" max="4"/>
    <col width="10.140625" customWidth="1" style="340" min="5" max="5"/>
    <col width="20.7109375" customWidth="1" style="340" min="6" max="6"/>
    <col width="20" customWidth="1" style="340" min="7" max="7"/>
    <col width="16.7109375" customWidth="1" style="340" min="8" max="8"/>
    <col width="9.140625" customWidth="1" style="340" min="9" max="10"/>
    <col width="15" customWidth="1" style="340" min="11" max="11"/>
    <col width="9.140625" customWidth="1" style="340" min="12" max="12"/>
  </cols>
  <sheetData>
    <row r="2">
      <c r="A2" s="362" t="inlineStr">
        <is>
          <t xml:space="preserve">Приложение № 3 </t>
        </is>
      </c>
    </row>
    <row r="3">
      <c r="A3" s="363" t="inlineStr">
        <is>
          <t>Объектная ресурсная ведомость</t>
        </is>
      </c>
    </row>
    <row r="4" ht="17.45" customHeight="1" s="338">
      <c r="A4" s="277" t="n"/>
      <c r="B4" s="277" t="n"/>
      <c r="C4" s="38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4" t="n"/>
    </row>
    <row r="6">
      <c r="A6" s="381" t="inlineStr">
        <is>
          <t>Наименование разрабатываемого показателя УНЦ -  Ячейка реактора ДГР 35 кВ, мощность 360 кВА</t>
        </is>
      </c>
    </row>
    <row r="7" s="338">
      <c r="A7" s="381" t="n"/>
      <c r="B7" s="381" t="n"/>
      <c r="C7" s="381" t="n"/>
      <c r="D7" s="381" t="n"/>
      <c r="E7" s="381" t="n"/>
      <c r="F7" s="381" t="n"/>
      <c r="G7" s="381" t="n"/>
      <c r="H7" s="381" t="n"/>
      <c r="I7" s="340" t="n"/>
      <c r="J7" s="340" t="n"/>
      <c r="K7" s="340" t="n"/>
      <c r="L7" s="340" t="n"/>
    </row>
    <row r="8">
      <c r="A8" s="381" t="n"/>
      <c r="B8" s="381" t="n"/>
      <c r="C8" s="381" t="n"/>
      <c r="D8" s="381" t="n"/>
      <c r="E8" s="381" t="n"/>
      <c r="F8" s="381" t="n"/>
      <c r="G8" s="381" t="n"/>
      <c r="H8" s="381" t="n"/>
    </row>
    <row r="9" ht="38.25" customHeight="1" s="338">
      <c r="A9" s="371" t="inlineStr">
        <is>
          <t>п/п</t>
        </is>
      </c>
      <c r="B9" s="371" t="inlineStr">
        <is>
          <t>№ЛСР</t>
        </is>
      </c>
      <c r="C9" s="371" t="inlineStr">
        <is>
          <t>Код ресурса</t>
        </is>
      </c>
      <c r="D9" s="371" t="inlineStr">
        <is>
          <t>Наименование ресурса</t>
        </is>
      </c>
      <c r="E9" s="371" t="inlineStr">
        <is>
          <t>Ед. изм.</t>
        </is>
      </c>
      <c r="F9" s="371" t="inlineStr">
        <is>
          <t>Кол-во единиц по данным объекта-представителя</t>
        </is>
      </c>
      <c r="G9" s="371" t="inlineStr">
        <is>
          <t>Сметная стоимость в ценах на 01.01.2000 (руб.)</t>
        </is>
      </c>
      <c r="H9" s="461" t="n"/>
    </row>
    <row r="10" ht="40.7" customHeight="1" s="338">
      <c r="A10" s="463" t="n"/>
      <c r="B10" s="463" t="n"/>
      <c r="C10" s="463" t="n"/>
      <c r="D10" s="463" t="n"/>
      <c r="E10" s="463" t="n"/>
      <c r="F10" s="463" t="n"/>
      <c r="G10" s="371" t="inlineStr">
        <is>
          <t>на ед.изм.</t>
        </is>
      </c>
      <c r="H10" s="371" t="inlineStr">
        <is>
          <t>общая</t>
        </is>
      </c>
    </row>
    <row r="11">
      <c r="A11" s="372" t="n">
        <v>1</v>
      </c>
      <c r="B11" s="372" t="n"/>
      <c r="C11" s="372" t="n">
        <v>2</v>
      </c>
      <c r="D11" s="372" t="inlineStr">
        <is>
          <t>З</t>
        </is>
      </c>
      <c r="E11" s="372" t="n">
        <v>4</v>
      </c>
      <c r="F11" s="372" t="n">
        <v>5</v>
      </c>
      <c r="G11" s="372" t="n">
        <v>6</v>
      </c>
      <c r="H11" s="372" t="n">
        <v>7</v>
      </c>
    </row>
    <row r="12" customFormat="1" s="237">
      <c r="A12" s="378" t="inlineStr">
        <is>
          <t>Затраты труда рабочих</t>
        </is>
      </c>
      <c r="B12" s="460" t="n"/>
      <c r="C12" s="460" t="n"/>
      <c r="D12" s="460" t="n"/>
      <c r="E12" s="461" t="n"/>
      <c r="F12" s="470" t="n">
        <v>1554.9319955407</v>
      </c>
      <c r="G12" s="268" t="n"/>
      <c r="H12" s="470">
        <f>SUM(H13:H25)</f>
        <v/>
      </c>
    </row>
    <row r="13">
      <c r="A13" s="270" t="n">
        <v>1</v>
      </c>
      <c r="B13" s="240" t="n"/>
      <c r="C13" s="270" t="inlineStr">
        <is>
          <t>1-3-8</t>
        </is>
      </c>
      <c r="D13" s="271" t="inlineStr">
        <is>
          <t>Затраты труда рабочих (средний разряд работы 3,8)</t>
        </is>
      </c>
      <c r="E13" s="407" t="inlineStr">
        <is>
          <t>чел.-ч</t>
        </is>
      </c>
      <c r="F13" s="471" t="n">
        <v>552.94782201254</v>
      </c>
      <c r="G13" s="266" t="n">
        <v>9.4</v>
      </c>
      <c r="H13" s="266">
        <f>ROUND(F13*G13,2)</f>
        <v/>
      </c>
    </row>
    <row r="14">
      <c r="A14" s="276" t="n">
        <v>2</v>
      </c>
      <c r="B14" s="240" t="n"/>
      <c r="C14" s="270" t="inlineStr">
        <is>
          <t>1-3-3</t>
        </is>
      </c>
      <c r="D14" s="271" t="inlineStr">
        <is>
          <t>Затраты труда рабочих (средний разряд работы 3,3)</t>
        </is>
      </c>
      <c r="E14" s="407" t="inlineStr">
        <is>
          <t>чел.-ч</t>
        </is>
      </c>
      <c r="F14" s="471" t="n">
        <v>334.62258635721</v>
      </c>
      <c r="G14" s="266" t="n">
        <v>8.859999999999999</v>
      </c>
      <c r="H14" s="266">
        <f>ROUND(F14*G14,2)</f>
        <v/>
      </c>
    </row>
    <row r="15">
      <c r="A15" s="407" t="n">
        <v>3</v>
      </c>
      <c r="B15" s="240" t="n"/>
      <c r="C15" s="270" t="inlineStr">
        <is>
          <t>1-3-2</t>
        </is>
      </c>
      <c r="D15" s="271" t="inlineStr">
        <is>
          <t>Затраты труда рабочих (средний разряд работы 3,2)</t>
        </is>
      </c>
      <c r="E15" s="407" t="inlineStr">
        <is>
          <t>чел.-ч</t>
        </is>
      </c>
      <c r="F15" s="471" t="n">
        <v>186.01612094109</v>
      </c>
      <c r="G15" s="266" t="n">
        <v>8.74</v>
      </c>
      <c r="H15" s="266">
        <f>ROUND(F15*G15,2)</f>
        <v/>
      </c>
    </row>
    <row r="16">
      <c r="A16" s="276" t="n">
        <v>4</v>
      </c>
      <c r="B16" s="240" t="n"/>
      <c r="C16" s="270" t="inlineStr">
        <is>
          <t>1-4-0</t>
        </is>
      </c>
      <c r="D16" s="271" t="inlineStr">
        <is>
          <t>Затраты труда рабочих (средний разряд работы 4,0)</t>
        </is>
      </c>
      <c r="E16" s="407" t="inlineStr">
        <is>
          <t>чел.-ч</t>
        </is>
      </c>
      <c r="F16" s="471" t="n">
        <v>99.358133375552</v>
      </c>
      <c r="G16" s="266" t="n">
        <v>9.619999999999999</v>
      </c>
      <c r="H16" s="266">
        <f>ROUND(F16*G16,2)</f>
        <v/>
      </c>
    </row>
    <row r="17">
      <c r="A17" s="407" t="n">
        <v>5</v>
      </c>
      <c r="B17" s="240" t="n"/>
      <c r="C17" s="270" t="inlineStr">
        <is>
          <t>1-2-5</t>
        </is>
      </c>
      <c r="D17" s="271" t="inlineStr">
        <is>
          <t>Затраты труда рабочих (средний разряд работы 2,5)</t>
        </is>
      </c>
      <c r="E17" s="407" t="inlineStr">
        <is>
          <t>чел.-ч</t>
        </is>
      </c>
      <c r="F17" s="471" t="n">
        <v>85.703142228727</v>
      </c>
      <c r="G17" s="266" t="n">
        <v>8.17</v>
      </c>
      <c r="H17" s="266">
        <f>ROUND(F17*G17,2)</f>
        <v/>
      </c>
    </row>
    <row r="18">
      <c r="A18" s="276" t="n">
        <v>6</v>
      </c>
      <c r="B18" s="240" t="n"/>
      <c r="C18" s="270" t="inlineStr">
        <is>
          <t>1-3-5</t>
        </is>
      </c>
      <c r="D18" s="271" t="inlineStr">
        <is>
          <t>Затраты труда рабочих (средний разряд работы 3,5)</t>
        </is>
      </c>
      <c r="E18" s="407" t="inlineStr">
        <is>
          <t>чел.-ч</t>
        </is>
      </c>
      <c r="F18" s="471" t="n">
        <v>76.977000459826</v>
      </c>
      <c r="G18" s="266" t="n">
        <v>9.07</v>
      </c>
      <c r="H18" s="266">
        <f>ROUND(F18*G18,2)</f>
        <v/>
      </c>
    </row>
    <row r="19">
      <c r="A19" s="270" t="inlineStr">
        <is>
          <t>7</t>
        </is>
      </c>
      <c r="B19" s="240" t="n"/>
      <c r="C19" s="270" t="inlineStr">
        <is>
          <t>1-2-8</t>
        </is>
      </c>
      <c r="D19" s="271" t="inlineStr">
        <is>
          <t>Затраты труда рабочих (средний разряд работы 2,8)</t>
        </is>
      </c>
      <c r="E19" s="407" t="inlineStr">
        <is>
          <t>чел.-ч</t>
        </is>
      </c>
      <c r="F19" s="471" t="n">
        <v>83.243235735365</v>
      </c>
      <c r="G19" s="266" t="n">
        <v>8.380000000000001</v>
      </c>
      <c r="H19" s="266">
        <f>ROUND(F19*G19,2)</f>
        <v/>
      </c>
    </row>
    <row r="20">
      <c r="A20" s="276" t="n">
        <v>8</v>
      </c>
      <c r="B20" s="240" t="n"/>
      <c r="C20" s="270" t="inlineStr">
        <is>
          <t>1-3-0</t>
        </is>
      </c>
      <c r="D20" s="271" t="inlineStr">
        <is>
          <t>Затраты труда рабочих (средний разряд работы 3,0)</t>
        </is>
      </c>
      <c r="E20" s="407" t="inlineStr">
        <is>
          <t>чел.-ч</t>
        </is>
      </c>
      <c r="F20" s="471" t="n">
        <v>59.673315355092</v>
      </c>
      <c r="G20" s="266" t="n">
        <v>8.529999999999999</v>
      </c>
      <c r="H20" s="266">
        <f>ROUND(F20*G20,2)</f>
        <v/>
      </c>
    </row>
    <row r="21">
      <c r="A21" s="407" t="n">
        <v>9</v>
      </c>
      <c r="B21" s="240" t="n"/>
      <c r="C21" s="270" t="inlineStr">
        <is>
          <t>1-2-9</t>
        </is>
      </c>
      <c r="D21" s="271" t="inlineStr">
        <is>
          <t>Затраты труда рабочих (средний разряд работы 2,9)</t>
        </is>
      </c>
      <c r="E21" s="407" t="inlineStr">
        <is>
          <t>чел.-ч</t>
        </is>
      </c>
      <c r="F21" s="471" t="n">
        <v>39.39163732819</v>
      </c>
      <c r="G21" s="266" t="n">
        <v>8.460000000000001</v>
      </c>
      <c r="H21" s="266">
        <f>ROUND(F21*G21,2)</f>
        <v/>
      </c>
    </row>
    <row r="22">
      <c r="A22" s="276" t="n">
        <v>10</v>
      </c>
      <c r="B22" s="240" t="n"/>
      <c r="C22" s="270" t="inlineStr">
        <is>
          <t>1-3-7</t>
        </is>
      </c>
      <c r="D22" s="271" t="inlineStr">
        <is>
          <t>Затраты труда рабочих (средний разряд работы 3,7)</t>
        </is>
      </c>
      <c r="E22" s="407" t="inlineStr">
        <is>
          <t>чел.-ч</t>
        </is>
      </c>
      <c r="F22" s="471" t="n">
        <v>18.323793266879</v>
      </c>
      <c r="G22" s="266" t="n">
        <v>9.289999999999999</v>
      </c>
      <c r="H22" s="266">
        <f>ROUND(F22*G22,2)</f>
        <v/>
      </c>
    </row>
    <row r="23">
      <c r="A23" s="407" t="n">
        <v>11</v>
      </c>
      <c r="B23" s="240" t="n"/>
      <c r="C23" s="270" t="inlineStr">
        <is>
          <t>1-2-0</t>
        </is>
      </c>
      <c r="D23" s="271" t="inlineStr">
        <is>
          <t>Затраты труда рабочих (средний разряд работы 2,0)</t>
        </is>
      </c>
      <c r="E23" s="407" t="inlineStr">
        <is>
          <t>чел.-ч</t>
        </is>
      </c>
      <c r="F23" s="471" t="n">
        <v>14.676103352437</v>
      </c>
      <c r="G23" s="266" t="n">
        <v>7.8</v>
      </c>
      <c r="H23" s="266">
        <f>ROUND(F23*G23,2)</f>
        <v/>
      </c>
    </row>
    <row r="24">
      <c r="A24" s="276" t="n">
        <v>12</v>
      </c>
      <c r="B24" s="240" t="n"/>
      <c r="C24" s="270" t="inlineStr">
        <is>
          <t>1-4-7</t>
        </is>
      </c>
      <c r="D24" s="271" t="inlineStr">
        <is>
          <t>Затраты труда рабочих (средний разряд работы 4,7)</t>
        </is>
      </c>
      <c r="E24" s="407" t="inlineStr">
        <is>
          <t>чел.-ч</t>
        </is>
      </c>
      <c r="F24" s="471" t="n">
        <v>1.9910181944231</v>
      </c>
      <c r="G24" s="266" t="n">
        <v>10.65</v>
      </c>
      <c r="H24" s="266">
        <f>ROUND(F24*G24,2)</f>
        <v/>
      </c>
    </row>
    <row r="25">
      <c r="A25" s="407" t="n">
        <v>13</v>
      </c>
      <c r="B25" s="240" t="n"/>
      <c r="C25" s="270" t="inlineStr">
        <is>
          <t>1-2-2</t>
        </is>
      </c>
      <c r="D25" s="271" t="inlineStr">
        <is>
          <t>Затраты труда рабочих (средний разряд работы 2,2)</t>
        </is>
      </c>
      <c r="E25" s="407" t="inlineStr">
        <is>
          <t>чел.-ч</t>
        </is>
      </c>
      <c r="F25" s="471" t="n">
        <v>2.0080869333566</v>
      </c>
      <c r="G25" s="266" t="n">
        <v>7.94</v>
      </c>
      <c r="H25" s="266">
        <f>ROUND(F25*G25,2)</f>
        <v/>
      </c>
    </row>
    <row r="26">
      <c r="A26" s="377" t="inlineStr">
        <is>
          <t>Затраты труда машинистов</t>
        </is>
      </c>
      <c r="B26" s="460" t="n"/>
      <c r="C26" s="460" t="n"/>
      <c r="D26" s="460" t="n"/>
      <c r="E26" s="461" t="n"/>
      <c r="F26" s="378" t="n"/>
      <c r="G26" s="238" t="n"/>
      <c r="H26" s="470">
        <f>H27</f>
        <v/>
      </c>
    </row>
    <row r="27">
      <c r="A27" s="407" t="n">
        <v>14</v>
      </c>
      <c r="B27" s="379" t="n"/>
      <c r="C27" s="270" t="n">
        <v>2</v>
      </c>
      <c r="D27" s="271" t="inlineStr">
        <is>
          <t>Затраты труда машинистов</t>
        </is>
      </c>
      <c r="E27" s="407" t="inlineStr">
        <is>
          <t>чел.-ч</t>
        </is>
      </c>
      <c r="F27" s="471" t="n">
        <v>1873.03</v>
      </c>
      <c r="G27" s="266" t="n">
        <v>0</v>
      </c>
      <c r="H27" s="472" t="n">
        <v>3898.55</v>
      </c>
    </row>
    <row r="28" customFormat="1" s="237">
      <c r="A28" s="378" t="inlineStr">
        <is>
          <t>Машины и механизмы</t>
        </is>
      </c>
      <c r="B28" s="460" t="n"/>
      <c r="C28" s="460" t="n"/>
      <c r="D28" s="460" t="n"/>
      <c r="E28" s="461" t="n"/>
      <c r="F28" s="378" t="n"/>
      <c r="G28" s="238" t="n"/>
      <c r="H28" s="470">
        <f>SUM(H29:H60)</f>
        <v/>
      </c>
    </row>
    <row r="29">
      <c r="A29" s="407" t="n">
        <v>15</v>
      </c>
      <c r="B29" s="379" t="n"/>
      <c r="C29" s="270" t="inlineStr">
        <is>
          <t>91.14.03-002</t>
        </is>
      </c>
      <c r="D29" s="271" t="inlineStr">
        <is>
          <t>Автомобили-самосвалы, грузоподъемность до 10 т</t>
        </is>
      </c>
      <c r="E29" s="407" t="inlineStr">
        <is>
          <t>маш.-ч</t>
        </is>
      </c>
      <c r="F29" s="407" t="n">
        <v>134.05</v>
      </c>
      <c r="G29" s="275" t="n">
        <v>87.48999999999999</v>
      </c>
      <c r="H29" s="266">
        <f>ROUND(F29*G29,2)</f>
        <v/>
      </c>
      <c r="I29" s="279" t="n"/>
      <c r="J29" s="278" t="n"/>
      <c r="L29" s="279" t="n"/>
    </row>
    <row r="30" ht="39.6" customFormat="1" customHeight="1" s="237">
      <c r="A30" s="407" t="n">
        <v>16</v>
      </c>
      <c r="B30" s="379" t="n"/>
      <c r="C30" s="270" t="inlineStr">
        <is>
          <t>91.18.01-004</t>
        </is>
      </c>
      <c r="D30" s="271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407" t="inlineStr">
        <is>
          <t>маш.-ч</t>
        </is>
      </c>
      <c r="F30" s="407" t="n">
        <v>101.9</v>
      </c>
      <c r="G30" s="275" t="n">
        <v>91.63</v>
      </c>
      <c r="H30" s="266">
        <f>ROUND(F30*G30,2)</f>
        <v/>
      </c>
      <c r="I30" s="279" t="n"/>
      <c r="L30" s="279" t="n"/>
    </row>
    <row r="31">
      <c r="A31" s="407" t="n">
        <v>17</v>
      </c>
      <c r="B31" s="379" t="n"/>
      <c r="C31" s="270" t="inlineStr">
        <is>
          <t>91.21.03-011</t>
        </is>
      </c>
      <c r="D31" s="271" t="inlineStr">
        <is>
          <t>Аппараты дробеструйные</t>
        </is>
      </c>
      <c r="E31" s="407" t="inlineStr">
        <is>
          <t>маш.-ч</t>
        </is>
      </c>
      <c r="F31" s="407" t="n">
        <v>215.058</v>
      </c>
      <c r="G31" s="275" t="n">
        <v>28.73</v>
      </c>
      <c r="H31" s="266">
        <f>ROUND(F31*G31,2)</f>
        <v/>
      </c>
      <c r="I31" s="279" t="n"/>
      <c r="L31" s="279" t="n"/>
    </row>
    <row r="32" ht="39.6" customHeight="1" s="338">
      <c r="A32" s="407" t="n">
        <v>18</v>
      </c>
      <c r="B32" s="379" t="n"/>
      <c r="C32" s="270" t="inlineStr">
        <is>
          <t>91.18.01-007</t>
        </is>
      </c>
      <c r="D32" s="27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407" t="inlineStr">
        <is>
          <t>маш.-ч</t>
        </is>
      </c>
      <c r="F32" s="407" t="n">
        <v>22.933</v>
      </c>
      <c r="G32" s="275" t="n">
        <v>90</v>
      </c>
      <c r="H32" s="266">
        <f>ROUND(F32*G32,2)</f>
        <v/>
      </c>
      <c r="I32" s="279" t="n"/>
      <c r="L32" s="279" t="n"/>
    </row>
    <row r="33">
      <c r="A33" s="407" t="n">
        <v>19</v>
      </c>
      <c r="B33" s="379" t="n"/>
      <c r="C33" s="270" t="inlineStr">
        <is>
          <t>91.06.09-001</t>
        </is>
      </c>
      <c r="D33" s="271" t="inlineStr">
        <is>
          <t>Вышки телескопические 25 м</t>
        </is>
      </c>
      <c r="E33" s="407" t="inlineStr">
        <is>
          <t>маш.-ч</t>
        </is>
      </c>
      <c r="F33" s="407" t="n">
        <v>11.767</v>
      </c>
      <c r="G33" s="275" t="n">
        <v>142.7</v>
      </c>
      <c r="H33" s="266">
        <f>ROUND(F33*G33,2)</f>
        <v/>
      </c>
      <c r="I33" s="279" t="n"/>
      <c r="L33" s="279" t="n"/>
    </row>
    <row r="34" ht="26.45" customHeight="1" s="338">
      <c r="A34" s="407" t="n">
        <v>20</v>
      </c>
      <c r="B34" s="379" t="n"/>
      <c r="C34" s="270" t="inlineStr">
        <is>
          <t>91.05.05-014</t>
        </is>
      </c>
      <c r="D34" s="271" t="inlineStr">
        <is>
          <t>Краны на автомобильном ходу, грузоподъемность 10 т</t>
        </is>
      </c>
      <c r="E34" s="407" t="inlineStr">
        <is>
          <t>маш.-ч</t>
        </is>
      </c>
      <c r="F34" s="407" t="n">
        <v>12.713</v>
      </c>
      <c r="G34" s="275" t="n">
        <v>111.99</v>
      </c>
      <c r="H34" s="266">
        <f>ROUND(F34*G34,2)</f>
        <v/>
      </c>
      <c r="I34" s="279" t="n"/>
      <c r="L34" s="279" t="n"/>
    </row>
    <row r="35" ht="26.45" customHeight="1" s="338">
      <c r="A35" s="407" t="n">
        <v>21</v>
      </c>
      <c r="B35" s="379" t="n"/>
      <c r="C35" s="270" t="inlineStr">
        <is>
          <t>91.01.05-085</t>
        </is>
      </c>
      <c r="D35" s="271" t="inlineStr">
        <is>
          <t>Экскаваторы одноковшовые дизельные на гусеничном ходу, емкость ковша 0,5 м3</t>
        </is>
      </c>
      <c r="E35" s="407" t="inlineStr">
        <is>
          <t>маш.-ч</t>
        </is>
      </c>
      <c r="F35" s="407" t="n">
        <v>10.15</v>
      </c>
      <c r="G35" s="275" t="n">
        <v>100</v>
      </c>
      <c r="H35" s="266">
        <f>ROUND(F35*G35,2)</f>
        <v/>
      </c>
      <c r="I35" s="279" t="n"/>
    </row>
    <row r="36" ht="26.45" customHeight="1" s="338">
      <c r="A36" s="407" t="n">
        <v>22</v>
      </c>
      <c r="B36" s="379" t="n"/>
      <c r="C36" s="270" t="inlineStr">
        <is>
          <t>91.17.04-233</t>
        </is>
      </c>
      <c r="D36" s="271" t="inlineStr">
        <is>
          <t>Установки для сварки ручной дуговой (постоянного тока)</t>
        </is>
      </c>
      <c r="E36" s="407" t="inlineStr">
        <is>
          <t>маш.-ч</t>
        </is>
      </c>
      <c r="F36" s="407" t="n">
        <v>121.28</v>
      </c>
      <c r="G36" s="275" t="n">
        <v>8.1</v>
      </c>
      <c r="H36" s="266">
        <f>ROUND(F36*G36,2)</f>
        <v/>
      </c>
    </row>
    <row r="37" ht="26.45" customHeight="1" s="338">
      <c r="A37" s="407" t="n">
        <v>23</v>
      </c>
      <c r="B37" s="379" t="n"/>
      <c r="C37" s="270" t="inlineStr">
        <is>
          <t>91.17.01-002</t>
        </is>
      </c>
      <c r="D37" s="271" t="inlineStr">
        <is>
          <t>Выпрямители сварочные однопостовые номинальным сварочным током 315-500 А</t>
        </is>
      </c>
      <c r="E37" s="407" t="inlineStr">
        <is>
          <t>маш.-ч</t>
        </is>
      </c>
      <c r="F37" s="407" t="n">
        <v>101.9</v>
      </c>
      <c r="G37" s="275" t="n">
        <v>8.16</v>
      </c>
      <c r="H37" s="266">
        <f>ROUND(F37*G37,2)</f>
        <v/>
      </c>
    </row>
    <row r="38" ht="26.45" customHeight="1" s="338">
      <c r="A38" s="407" t="n">
        <v>24</v>
      </c>
      <c r="B38" s="379" t="n"/>
      <c r="C38" s="270" t="inlineStr">
        <is>
          <t>91.19.08-001</t>
        </is>
      </c>
      <c r="D38" s="271" t="inlineStr">
        <is>
          <t>Насосы для водопонижения и водоотлива мощностью 8-60 м3/ч, напор 21,7-4,3 м</t>
        </is>
      </c>
      <c r="E38" s="407" t="inlineStr">
        <is>
          <t>маш.-ч</t>
        </is>
      </c>
      <c r="F38" s="407" t="n">
        <v>140</v>
      </c>
      <c r="G38" s="275" t="n">
        <v>5.03</v>
      </c>
      <c r="H38" s="266">
        <f>ROUND(F38*G38,2)</f>
        <v/>
      </c>
    </row>
    <row r="39">
      <c r="A39" s="407" t="n">
        <v>25</v>
      </c>
      <c r="B39" s="379" t="n"/>
      <c r="C39" s="270" t="inlineStr">
        <is>
          <t>91.05.01-017</t>
        </is>
      </c>
      <c r="D39" s="271" t="inlineStr">
        <is>
          <t>Краны башенные, грузоподъемность 8 т</t>
        </is>
      </c>
      <c r="E39" s="407" t="inlineStr">
        <is>
          <t>маш.-ч</t>
        </is>
      </c>
      <c r="F39" s="407" t="n">
        <v>7.89</v>
      </c>
      <c r="G39" s="275" t="n">
        <v>86.40000000000001</v>
      </c>
      <c r="H39" s="266">
        <f>ROUND(F39*G39,2)</f>
        <v/>
      </c>
    </row>
    <row r="40" ht="25.5" customHeight="1" s="338">
      <c r="A40" s="407" t="n">
        <v>26</v>
      </c>
      <c r="B40" s="379" t="n"/>
      <c r="C40" s="270" t="inlineStr">
        <is>
          <t>91.05.06-012</t>
        </is>
      </c>
      <c r="D40" s="271" t="inlineStr">
        <is>
          <t>Краны на гусеничном ходу, грузоподъемность до 16 т</t>
        </is>
      </c>
      <c r="E40" s="407" t="inlineStr">
        <is>
          <t>маш.-ч</t>
        </is>
      </c>
      <c r="F40" s="407" t="n">
        <v>4.68</v>
      </c>
      <c r="G40" s="275" t="n">
        <v>96.89</v>
      </c>
      <c r="H40" s="266">
        <f>ROUND(F40*G40,2)</f>
        <v/>
      </c>
    </row>
    <row r="41">
      <c r="A41" s="407" t="n">
        <v>27</v>
      </c>
      <c r="B41" s="379" t="n"/>
      <c r="C41" s="270" t="inlineStr">
        <is>
          <t>91.14.02-001</t>
        </is>
      </c>
      <c r="D41" s="271" t="inlineStr">
        <is>
          <t>Автомобили бортовые, грузоподъемность до 5 т</t>
        </is>
      </c>
      <c r="E41" s="407" t="inlineStr">
        <is>
          <t>маш.-ч</t>
        </is>
      </c>
      <c r="F41" s="407" t="n">
        <v>4.15</v>
      </c>
      <c r="G41" s="275" t="n">
        <v>65.70999999999999</v>
      </c>
      <c r="H41" s="266">
        <f>ROUND(F41*G41,2)</f>
        <v/>
      </c>
    </row>
    <row r="42" ht="26.45" customHeight="1" s="338">
      <c r="A42" s="407" t="n">
        <v>28</v>
      </c>
      <c r="B42" s="379" t="n"/>
      <c r="C42" s="270" t="inlineStr">
        <is>
          <t>91.06.05-057</t>
        </is>
      </c>
      <c r="D42" s="271" t="inlineStr">
        <is>
          <t>Погрузчики одноковшовые универсальные фронтальные пневмоколесные, грузоподъемность 3 т</t>
        </is>
      </c>
      <c r="E42" s="407" t="inlineStr">
        <is>
          <t>маш.-ч</t>
        </is>
      </c>
      <c r="F42" s="407" t="n">
        <v>2.85</v>
      </c>
      <c r="G42" s="275" t="n">
        <v>90.40000000000001</v>
      </c>
      <c r="H42" s="266">
        <f>ROUND(F42*G42,2)</f>
        <v/>
      </c>
    </row>
    <row r="43">
      <c r="A43" s="407" t="n">
        <v>29</v>
      </c>
      <c r="B43" s="379" t="n"/>
      <c r="C43" s="270" t="inlineStr">
        <is>
          <t>91.01.01-035</t>
        </is>
      </c>
      <c r="D43" s="271" t="inlineStr">
        <is>
          <t>Бульдозеры, мощность 79 кВт (108 л.с.)</t>
        </is>
      </c>
      <c r="E43" s="407" t="inlineStr">
        <is>
          <t>маш.-ч</t>
        </is>
      </c>
      <c r="F43" s="407" t="n">
        <v>3.16</v>
      </c>
      <c r="G43" s="275" t="n">
        <v>79.06999999999999</v>
      </c>
      <c r="H43" s="266">
        <f>ROUND(F43*G43,2)</f>
        <v/>
      </c>
      <c r="J43" s="473" t="n"/>
      <c r="L43" s="279" t="n"/>
    </row>
    <row r="44" customFormat="1" s="237">
      <c r="A44" s="407" t="n">
        <v>30</v>
      </c>
      <c r="B44" s="379" t="n"/>
      <c r="C44" s="270" t="inlineStr">
        <is>
          <t>91.01.01-034</t>
        </is>
      </c>
      <c r="D44" s="271" t="inlineStr">
        <is>
          <t>Бульдозеры, мощность 59 кВт (80 л.с.)</t>
        </is>
      </c>
      <c r="E44" s="407" t="inlineStr">
        <is>
          <t>маш.-ч</t>
        </is>
      </c>
      <c r="F44" s="407" t="n">
        <v>2.56</v>
      </c>
      <c r="G44" s="275" t="n">
        <v>59.47</v>
      </c>
      <c r="H44" s="266">
        <f>ROUND(F44*G44,2)</f>
        <v/>
      </c>
      <c r="L44" s="279" t="n"/>
    </row>
    <row r="45">
      <c r="A45" s="407" t="n">
        <v>31</v>
      </c>
      <c r="B45" s="379" t="n"/>
      <c r="C45" s="270" t="inlineStr">
        <is>
          <t>91.17.04-091</t>
        </is>
      </c>
      <c r="D45" s="271" t="inlineStr">
        <is>
          <t>Горелки газовые инжекторные</t>
        </is>
      </c>
      <c r="E45" s="407" t="inlineStr">
        <is>
          <t>маш.-ч</t>
        </is>
      </c>
      <c r="F45" s="407" t="n">
        <v>9.32</v>
      </c>
      <c r="G45" s="275" t="n">
        <v>13.5</v>
      </c>
      <c r="H45" s="266">
        <f>ROUND(F45*G45,2)</f>
        <v/>
      </c>
      <c r="L45" s="279" t="n"/>
    </row>
    <row r="46" ht="26.45" customHeight="1" s="338">
      <c r="A46" s="407" t="n">
        <v>32</v>
      </c>
      <c r="B46" s="379" t="n"/>
      <c r="C46" s="270" t="inlineStr">
        <is>
          <t>91.06.03-062</t>
        </is>
      </c>
      <c r="D46" s="271" t="inlineStr">
        <is>
          <t>Лебедки электрические тяговым усилием до 31,39 кН (3,2 т)</t>
        </is>
      </c>
      <c r="E46" s="407" t="inlineStr">
        <is>
          <t>маш.-ч</t>
        </is>
      </c>
      <c r="F46" s="407" t="n">
        <v>15.89</v>
      </c>
      <c r="G46" s="275" t="n">
        <v>6.9</v>
      </c>
      <c r="H46" s="266">
        <f>ROUND(F46*G46,2)</f>
        <v/>
      </c>
      <c r="L46" s="279" t="n"/>
    </row>
    <row r="47">
      <c r="A47" s="407" t="n">
        <v>33</v>
      </c>
      <c r="B47" s="379" t="n"/>
      <c r="C47" s="270" t="inlineStr">
        <is>
          <t>91.06.06-042</t>
        </is>
      </c>
      <c r="D47" s="271" t="inlineStr">
        <is>
          <t>Подъемники гидравлические, высота подъема 10 м</t>
        </is>
      </c>
      <c r="E47" s="407" t="inlineStr">
        <is>
          <t>маш.-ч</t>
        </is>
      </c>
      <c r="F47" s="407" t="n">
        <v>3.53</v>
      </c>
      <c r="G47" s="275" t="n">
        <v>29.6</v>
      </c>
      <c r="H47" s="266">
        <f>ROUND(F47*G47,2)</f>
        <v/>
      </c>
      <c r="L47" s="279" t="n"/>
    </row>
    <row r="48" ht="26.45" customHeight="1" s="338">
      <c r="A48" s="407" t="n">
        <v>34</v>
      </c>
      <c r="B48" s="379" t="n"/>
      <c r="C48" s="270" t="inlineStr">
        <is>
          <t>91.17.04-171</t>
        </is>
      </c>
      <c r="D48" s="271" t="inlineStr">
        <is>
          <t>Преобразователи сварочные номинальным сварочным током 315-500 А</t>
        </is>
      </c>
      <c r="E48" s="407" t="inlineStr">
        <is>
          <t>маш.-ч</t>
        </is>
      </c>
      <c r="F48" s="407" t="n">
        <v>7.61</v>
      </c>
      <c r="G48" s="275" t="n">
        <v>12.31</v>
      </c>
      <c r="H48" s="266">
        <f>ROUND(F48*G48,2)</f>
        <v/>
      </c>
      <c r="L48" s="279" t="n"/>
    </row>
    <row r="49" ht="26.45" customHeight="1" s="338">
      <c r="A49" s="407" t="n">
        <v>35</v>
      </c>
      <c r="B49" s="379" t="n"/>
      <c r="C49" s="270" t="inlineStr">
        <is>
          <t>91.21.01-012</t>
        </is>
      </c>
      <c r="D49" s="271" t="inlineStr">
        <is>
          <t>Агрегаты окрасочные высокого давления для окраски поверхностей конструкций, мощность 1 кВт</t>
        </is>
      </c>
      <c r="E49" s="407" t="inlineStr">
        <is>
          <t>маш.-ч</t>
        </is>
      </c>
      <c r="F49" s="407" t="n">
        <v>12.48</v>
      </c>
      <c r="G49" s="275" t="n">
        <v>6.82</v>
      </c>
      <c r="H49" s="266">
        <f>ROUND(F49*G49,2)</f>
        <v/>
      </c>
    </row>
    <row r="50">
      <c r="A50" s="407" t="n">
        <v>36</v>
      </c>
      <c r="B50" s="379" t="n"/>
      <c r="C50" s="270" t="inlineStr">
        <is>
          <t>91.05.06-009</t>
        </is>
      </c>
      <c r="D50" s="271" t="inlineStr">
        <is>
          <t>Краны на гусеничном ходу, грузоподъемность 50-63 т</t>
        </is>
      </c>
      <c r="E50" s="407" t="inlineStr">
        <is>
          <t>маш.-ч</t>
        </is>
      </c>
      <c r="F50" s="407" t="n">
        <v>0.13</v>
      </c>
      <c r="G50" s="275" t="n">
        <v>290.01</v>
      </c>
      <c r="H50" s="266">
        <f>ROUND(F50*G50,2)</f>
        <v/>
      </c>
    </row>
    <row r="51" ht="26.45" customHeight="1" s="338">
      <c r="A51" s="407" t="n">
        <v>37</v>
      </c>
      <c r="B51" s="379" t="n"/>
      <c r="C51" s="270" t="inlineStr">
        <is>
          <t>91.08.09-023</t>
        </is>
      </c>
      <c r="D51" s="271" t="inlineStr">
        <is>
          <t>Трамбовки пневматические при работе от передвижных компрессорных станций</t>
        </is>
      </c>
      <c r="E51" s="407" t="inlineStr">
        <is>
          <t>маш.-ч</t>
        </is>
      </c>
      <c r="F51" s="407" t="n">
        <v>59.03</v>
      </c>
      <c r="G51" s="275" t="n">
        <v>0.55</v>
      </c>
      <c r="H51" s="266">
        <f>ROUND(F51*G51,2)</f>
        <v/>
      </c>
    </row>
    <row r="52">
      <c r="A52" s="407" t="n">
        <v>38</v>
      </c>
      <c r="B52" s="379" t="n"/>
      <c r="C52" s="270" t="inlineStr">
        <is>
          <t>91.07.04-001</t>
        </is>
      </c>
      <c r="D52" s="271" t="inlineStr">
        <is>
          <t>Вибраторы глубинные</t>
        </is>
      </c>
      <c r="E52" s="407" t="inlineStr">
        <is>
          <t>маш.-ч</t>
        </is>
      </c>
      <c r="F52" s="407" t="n">
        <v>12.32</v>
      </c>
      <c r="G52" s="275" t="n">
        <v>1.9</v>
      </c>
      <c r="H52" s="266">
        <f>ROUND(F52*G52,2)</f>
        <v/>
      </c>
    </row>
    <row r="53">
      <c r="A53" s="407" t="n">
        <v>39</v>
      </c>
      <c r="B53" s="379" t="n"/>
      <c r="C53" s="270" t="inlineStr">
        <is>
          <t>91.13.01-038</t>
        </is>
      </c>
      <c r="D53" s="271" t="inlineStr">
        <is>
          <t>Машины поливомоечные 6000 л</t>
        </is>
      </c>
      <c r="E53" s="407" t="inlineStr">
        <is>
          <t>маш.-ч</t>
        </is>
      </c>
      <c r="F53" s="407" t="n">
        <v>0.13</v>
      </c>
      <c r="G53" s="275" t="n">
        <v>110</v>
      </c>
      <c r="H53" s="266">
        <f>ROUND(F53*G53,2)</f>
        <v/>
      </c>
    </row>
    <row r="54">
      <c r="A54" s="407" t="n">
        <v>40</v>
      </c>
      <c r="B54" s="379" t="n"/>
      <c r="C54" s="270" t="inlineStr">
        <is>
          <t>91.06.05-011</t>
        </is>
      </c>
      <c r="D54" s="271" t="inlineStr">
        <is>
          <t>Погрузчики, грузоподъемность 5 т</t>
        </is>
      </c>
      <c r="E54" s="407" t="inlineStr">
        <is>
          <t>маш.-ч</t>
        </is>
      </c>
      <c r="F54" s="407" t="n">
        <v>0.13</v>
      </c>
      <c r="G54" s="275" t="n">
        <v>89.98999999999999</v>
      </c>
      <c r="H54" s="266">
        <f>ROUND(F54*G54,2)</f>
        <v/>
      </c>
    </row>
    <row r="55">
      <c r="A55" s="407" t="n">
        <v>41</v>
      </c>
      <c r="B55" s="379" t="n"/>
      <c r="C55" s="270" t="inlineStr">
        <is>
          <t>91.05.02-005</t>
        </is>
      </c>
      <c r="D55" s="271" t="inlineStr">
        <is>
          <t>Краны козловые, грузоподъемность 32 т</t>
        </is>
      </c>
      <c r="E55" s="407" t="inlineStr">
        <is>
          <t>маш.-ч</t>
        </is>
      </c>
      <c r="F55" s="407" t="n">
        <v>0.03</v>
      </c>
      <c r="G55" s="275" t="n">
        <v>120.24</v>
      </c>
      <c r="H55" s="266">
        <f>ROUND(F55*G55,2)</f>
        <v/>
      </c>
    </row>
    <row r="56" ht="26.45" customHeight="1" s="338">
      <c r="A56" s="407" t="n">
        <v>42</v>
      </c>
      <c r="B56" s="379" t="n"/>
      <c r="C56" s="270" t="inlineStr">
        <is>
          <t>91.06.01-003</t>
        </is>
      </c>
      <c r="D56" s="271" t="inlineStr">
        <is>
          <t>Домкраты гидравлические, грузоподъемность 63-100 т</t>
        </is>
      </c>
      <c r="E56" s="407" t="inlineStr">
        <is>
          <t>маш.-ч</t>
        </is>
      </c>
      <c r="F56" s="407" t="n">
        <v>2.93</v>
      </c>
      <c r="G56" s="275" t="n">
        <v>0.9</v>
      </c>
      <c r="H56" s="266">
        <f>ROUND(F56*G56,2)</f>
        <v/>
      </c>
    </row>
    <row r="57" ht="26.45" customHeight="1" s="338">
      <c r="A57" s="407" t="n">
        <v>43</v>
      </c>
      <c r="B57" s="379" t="n"/>
      <c r="C57" s="270" t="inlineStr">
        <is>
          <t>91.06.03-058</t>
        </is>
      </c>
      <c r="D57" s="271" t="inlineStr">
        <is>
          <t>Лебедки электрические тяговым усилием 156,96 кН (16 т)</t>
        </is>
      </c>
      <c r="E57" s="407" t="inlineStr">
        <is>
          <t>маш.-ч</t>
        </is>
      </c>
      <c r="F57" s="407" t="n">
        <v>0.02</v>
      </c>
      <c r="G57" s="275" t="n">
        <v>131.44</v>
      </c>
      <c r="H57" s="266">
        <f>ROUND(F57*G57,2)</f>
        <v/>
      </c>
      <c r="J57" s="473" t="n"/>
      <c r="L57" s="279" t="n"/>
    </row>
    <row r="58" customFormat="1" s="237">
      <c r="A58" s="407" t="n">
        <v>44</v>
      </c>
      <c r="B58" s="379" t="n"/>
      <c r="C58" s="270" t="inlineStr">
        <is>
          <t>91.17.04-042</t>
        </is>
      </c>
      <c r="D58" s="271" t="inlineStr">
        <is>
          <t>Аппараты для газовой сварки и резки</t>
        </is>
      </c>
      <c r="E58" s="407" t="inlineStr">
        <is>
          <t>маш.-ч</t>
        </is>
      </c>
      <c r="F58" s="407" t="n">
        <v>1.18</v>
      </c>
      <c r="G58" s="275" t="n">
        <v>1.2</v>
      </c>
      <c r="H58" s="266">
        <f>ROUND(F58*G58,2)</f>
        <v/>
      </c>
      <c r="L58" s="279" t="n"/>
    </row>
    <row r="59">
      <c r="A59" s="407" t="n">
        <v>45</v>
      </c>
      <c r="B59" s="379" t="n"/>
      <c r="C59" s="270" t="inlineStr">
        <is>
          <t>91.07.04-002</t>
        </is>
      </c>
      <c r="D59" s="271" t="inlineStr">
        <is>
          <t>Вибраторы поверхностные</t>
        </is>
      </c>
      <c r="E59" s="407" t="inlineStr">
        <is>
          <t>маш.-ч</t>
        </is>
      </c>
      <c r="F59" s="407" t="n">
        <v>2.68</v>
      </c>
      <c r="G59" s="275" t="n">
        <v>0.5</v>
      </c>
      <c r="H59" s="266">
        <f>ROUND(F59*G59,2)</f>
        <v/>
      </c>
      <c r="L59" s="279" t="n"/>
    </row>
    <row r="60" ht="26.45" customHeight="1" s="338">
      <c r="A60" s="407" t="n">
        <v>46</v>
      </c>
      <c r="B60" s="379" t="n"/>
      <c r="C60" s="270" t="inlineStr">
        <is>
          <t>91.06.03-060</t>
        </is>
      </c>
      <c r="D60" s="271" t="inlineStr">
        <is>
          <t>Лебедки электрические тяговым усилием до 5,79 кН (0,59 т)</t>
        </is>
      </c>
      <c r="E60" s="407" t="inlineStr">
        <is>
          <t>маш.-ч</t>
        </is>
      </c>
      <c r="F60" s="407" t="n">
        <v>0.01</v>
      </c>
      <c r="G60" s="275" t="n">
        <v>1.7</v>
      </c>
      <c r="H60" s="266">
        <f>ROUND(F60*G60,2)</f>
        <v/>
      </c>
      <c r="L60" s="279" t="n"/>
    </row>
    <row r="61" ht="15" customHeight="1" s="338">
      <c r="A61" s="377" t="inlineStr">
        <is>
          <t>Оборудование</t>
        </is>
      </c>
      <c r="B61" s="460" t="n"/>
      <c r="C61" s="460" t="n"/>
      <c r="D61" s="460" t="n"/>
      <c r="E61" s="461" t="n"/>
      <c r="F61" s="268" t="n"/>
      <c r="G61" s="268" t="n"/>
      <c r="H61" s="470">
        <f>SUM(H62:H64)</f>
        <v/>
      </c>
    </row>
    <row r="62" ht="26.45" customHeight="1" s="338">
      <c r="A62" s="276" t="n">
        <v>47</v>
      </c>
      <c r="B62" s="377" t="n"/>
      <c r="C62" s="271" t="inlineStr">
        <is>
          <t>Прайс из СД ОП</t>
        </is>
      </c>
      <c r="D62" s="271" t="inlineStr">
        <is>
          <t>Реактор дугогосящий масляный с конденсаторным регулированием типа  РДМК 360 кВА 35 кВ</t>
        </is>
      </c>
      <c r="E62" s="407" t="inlineStr">
        <is>
          <t>компл.</t>
        </is>
      </c>
      <c r="F62" s="407" t="n">
        <v>2</v>
      </c>
      <c r="G62" s="266" t="n">
        <v>579008.3100000001</v>
      </c>
      <c r="H62" s="266">
        <f>ROUND(F62*G62,2)</f>
        <v/>
      </c>
      <c r="I62" s="283" t="n"/>
    </row>
    <row r="63" ht="27" customHeight="1" s="338">
      <c r="A63" s="276" t="n">
        <v>48</v>
      </c>
      <c r="B63" s="377" t="n"/>
      <c r="C63" s="271" t="inlineStr">
        <is>
          <t>Прайс из СД ОП</t>
        </is>
      </c>
      <c r="D63" s="271" t="inlineStr">
        <is>
          <t>Шинная опора напряжением 35 кВ ШОП-35-1УХЛ1</t>
        </is>
      </c>
      <c r="E63" s="407" t="inlineStr">
        <is>
          <t>шт.</t>
        </is>
      </c>
      <c r="F63" s="407" t="n">
        <v>6</v>
      </c>
      <c r="G63" s="266" t="n">
        <v>1312.3</v>
      </c>
      <c r="H63" s="266">
        <f>ROUND(F63*G63,2)</f>
        <v/>
      </c>
    </row>
    <row r="64" ht="14.45" customHeight="1" s="338">
      <c r="A64" s="276" t="n">
        <v>49</v>
      </c>
      <c r="B64" s="377" t="n"/>
      <c r="C64" s="271" t="inlineStr">
        <is>
          <t>Прайс из СД ОП</t>
        </is>
      </c>
      <c r="D64" s="271" t="inlineStr">
        <is>
          <t>Ограничитель перенапряжения нелинейный 35 кВ</t>
        </is>
      </c>
      <c r="E64" s="407" t="inlineStr">
        <is>
          <t>шт.</t>
        </is>
      </c>
      <c r="F64" s="407" t="n">
        <v>6</v>
      </c>
      <c r="G64" s="266" t="n">
        <v>5458.47</v>
      </c>
      <c r="H64" s="266">
        <f>ROUND(F64*G64,2)</f>
        <v/>
      </c>
    </row>
    <row r="65">
      <c r="A65" s="378" t="inlineStr">
        <is>
          <t>Материалы</t>
        </is>
      </c>
      <c r="B65" s="460" t="n"/>
      <c r="C65" s="460" t="n"/>
      <c r="D65" s="460" t="n"/>
      <c r="E65" s="461" t="n"/>
      <c r="F65" s="378" t="n"/>
      <c r="G65" s="238" t="n"/>
      <c r="H65" s="470">
        <f>SUM(H66:H147)</f>
        <v/>
      </c>
    </row>
    <row r="66" ht="26.45" customHeight="1" s="338">
      <c r="A66" s="276" t="n">
        <v>50</v>
      </c>
      <c r="B66" s="379" t="n"/>
      <c r="C66" s="270" t="inlineStr">
        <is>
          <t>02.2.04.04-0010</t>
        </is>
      </c>
      <c r="D66" s="271" t="inlineStr">
        <is>
          <t>Смеси готовые щебеночно-песчаные (ГОСТ 25607-2009) номер: С10, размер зерен 0-40 мм</t>
        </is>
      </c>
      <c r="E66" s="407" t="inlineStr">
        <is>
          <t>м3</t>
        </is>
      </c>
      <c r="F66" s="407" t="n">
        <v>124.237</v>
      </c>
      <c r="G66" s="266" t="n">
        <v>165.83</v>
      </c>
      <c r="H66" s="266">
        <f>ROUND(F66*G66,2)</f>
        <v/>
      </c>
      <c r="I66" s="283" t="n"/>
      <c r="K66" s="279" t="n"/>
    </row>
    <row r="67" ht="26.45" customHeight="1" s="338">
      <c r="A67" s="276" t="n">
        <v>51</v>
      </c>
      <c r="B67" s="379" t="n"/>
      <c r="C67" s="270" t="inlineStr">
        <is>
          <t>07.2.07.04-0011</t>
        </is>
      </c>
      <c r="D67" s="271" t="inlineStr">
        <is>
          <t>Конструкции сварные индивидуальные прочие, масса сборочной единицы до 0,1 т</t>
        </is>
      </c>
      <c r="E67" s="407" t="inlineStr">
        <is>
          <t>т</t>
        </is>
      </c>
      <c r="F67" s="407" t="n">
        <v>1.722</v>
      </c>
      <c r="G67" s="266" t="n">
        <v>10508</v>
      </c>
      <c r="H67" s="266">
        <f>ROUND(F67*G67,2)</f>
        <v/>
      </c>
      <c r="I67" s="283" t="n"/>
      <c r="K67" s="279" t="n"/>
    </row>
    <row r="68">
      <c r="A68" s="276" t="n">
        <v>52</v>
      </c>
      <c r="B68" s="379" t="n"/>
      <c r="C68" s="270" t="inlineStr">
        <is>
          <t>14.4.02.09-0301</t>
        </is>
      </c>
      <c r="D68" s="271" t="inlineStr">
        <is>
          <t>Композиция антикоррозионная цинкнаполненная</t>
        </is>
      </c>
      <c r="E68" s="407" t="inlineStr">
        <is>
          <t>кг</t>
        </is>
      </c>
      <c r="F68" s="407" t="n">
        <v>69.23</v>
      </c>
      <c r="G68" s="266" t="n">
        <v>238.48</v>
      </c>
      <c r="H68" s="266">
        <f>ROUND(F68*G68,2)</f>
        <v/>
      </c>
      <c r="I68" s="283" t="n"/>
      <c r="K68" s="279" t="n"/>
    </row>
    <row r="69" ht="26.45" customHeight="1" s="338">
      <c r="A69" s="276" t="n">
        <v>53</v>
      </c>
      <c r="B69" s="379" t="n"/>
      <c r="C69" s="270" t="inlineStr">
        <is>
          <t>08.4.03.03-0034</t>
        </is>
      </c>
      <c r="D69" s="271" t="inlineStr">
        <is>
          <t>Сталь арматурная, горячекатаная, периодического профиля, класс А-III, диаметр 16-18 мм</t>
        </is>
      </c>
      <c r="E69" s="407" t="inlineStr">
        <is>
          <t>т</t>
        </is>
      </c>
      <c r="F69" s="407" t="n">
        <v>1.991</v>
      </c>
      <c r="G69" s="266" t="n">
        <v>7956.21</v>
      </c>
      <c r="H69" s="266">
        <f>ROUND(F69*G69,2)</f>
        <v/>
      </c>
      <c r="I69" s="283" t="n"/>
    </row>
    <row r="70" ht="39.6" customHeight="1" s="338">
      <c r="A70" s="276" t="n">
        <v>54</v>
      </c>
      <c r="B70" s="379" t="n"/>
      <c r="C70" s="270" t="inlineStr">
        <is>
          <t>04.1.02.02-0007</t>
        </is>
      </c>
      <c r="D70" s="271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407" t="inlineStr">
        <is>
          <t>м3</t>
        </is>
      </c>
      <c r="F70" s="407" t="n">
        <v>20.469</v>
      </c>
      <c r="G70" s="266" t="n">
        <v>766.52</v>
      </c>
      <c r="H70" s="266">
        <f>ROUND(F70*G70,2)</f>
        <v/>
      </c>
      <c r="I70" s="283" t="n"/>
    </row>
    <row r="71" ht="26.45" customHeight="1" s="338">
      <c r="A71" s="276" t="n">
        <v>55</v>
      </c>
      <c r="B71" s="379" t="n"/>
      <c r="C71" s="270" t="inlineStr">
        <is>
          <t>04.1.02.01-0001</t>
        </is>
      </c>
      <c r="D71" s="271" t="inlineStr">
        <is>
          <t>Смеси бетонные мелкозернистого бетона (БСМ), класс В3,5 (М50)</t>
        </is>
      </c>
      <c r="E71" s="407" t="inlineStr">
        <is>
          <t>м3</t>
        </is>
      </c>
      <c r="F71" s="407" t="n">
        <v>26.217</v>
      </c>
      <c r="G71" s="266" t="n">
        <v>413.87</v>
      </c>
      <c r="H71" s="266">
        <f>ROUND(F71*G71,2)</f>
        <v/>
      </c>
      <c r="I71" s="283" t="n"/>
    </row>
    <row r="72" ht="26.45" customHeight="1" s="338">
      <c r="A72" s="276" t="n">
        <v>56</v>
      </c>
      <c r="B72" s="379" t="n"/>
      <c r="C72" s="270" t="inlineStr">
        <is>
          <t>01.7.12.16-0001</t>
        </is>
      </c>
      <c r="D72" s="271" t="inlineStr">
        <is>
          <t>Виток проволочный для трехмерного металлического сетчатого покрытия, марка MaxNet (70/4,0)пв</t>
        </is>
      </c>
      <c r="E72" s="407" t="inlineStr">
        <is>
          <t>10 шт</t>
        </is>
      </c>
      <c r="F72" s="407" t="n">
        <v>10.483</v>
      </c>
      <c r="G72" s="266" t="n">
        <v>946.15</v>
      </c>
      <c r="H72" s="266">
        <f>ROUND(F72*G72,2)</f>
        <v/>
      </c>
      <c r="I72" s="283" t="n"/>
    </row>
    <row r="73">
      <c r="A73" s="276" t="n">
        <v>57</v>
      </c>
      <c r="B73" s="379" t="n"/>
      <c r="C73" s="270" t="inlineStr">
        <is>
          <t>08.4.03.04-0001</t>
        </is>
      </c>
      <c r="D73" s="271" t="inlineStr">
        <is>
          <t>Сталь арматурная, горячекатаная, класс А-I, А-II, А-III</t>
        </is>
      </c>
      <c r="E73" s="407" t="inlineStr">
        <is>
          <t>т</t>
        </is>
      </c>
      <c r="F73" s="407" t="n">
        <v>1.72</v>
      </c>
      <c r="G73" s="266" t="n">
        <v>5650</v>
      </c>
      <c r="H73" s="266">
        <f>ROUND(F73*G73,2)</f>
        <v/>
      </c>
      <c r="I73" s="283" t="n"/>
    </row>
    <row r="74" ht="26.45" customHeight="1" s="338">
      <c r="A74" s="276" t="n">
        <v>58</v>
      </c>
      <c r="B74" s="379" t="n"/>
      <c r="C74" s="270" t="inlineStr">
        <is>
          <t>08.4.03.03-0033</t>
        </is>
      </c>
      <c r="D74" s="271" t="inlineStr">
        <is>
          <t>Сталь арматурная, горячекатаная, периодического профиля, класс А-III, диаметр 14 мм</t>
        </is>
      </c>
      <c r="E74" s="407" t="inlineStr">
        <is>
          <t>т</t>
        </is>
      </c>
      <c r="F74" s="407" t="n">
        <v>1.117</v>
      </c>
      <c r="G74" s="266" t="n">
        <v>7997.23</v>
      </c>
      <c r="H74" s="266">
        <f>ROUND(F74*G74,2)</f>
        <v/>
      </c>
      <c r="I74" s="283" t="n"/>
    </row>
    <row r="75">
      <c r="A75" s="276" t="n">
        <v>59</v>
      </c>
      <c r="B75" s="379" t="n"/>
      <c r="C75" s="270" t="inlineStr">
        <is>
          <t>02.2.05.04-0001</t>
        </is>
      </c>
      <c r="D75" s="271" t="inlineStr">
        <is>
          <t>Отсев габбро-долеритовый фракции 0-5 мм</t>
        </is>
      </c>
      <c r="E75" s="407" t="inlineStr">
        <is>
          <t>м3</t>
        </is>
      </c>
      <c r="F75" s="407" t="n">
        <v>46.233</v>
      </c>
      <c r="G75" s="266" t="n">
        <v>151.73</v>
      </c>
      <c r="H75" s="266">
        <f>ROUND(F75*G75,2)</f>
        <v/>
      </c>
      <c r="I75" s="283" t="n"/>
    </row>
    <row r="76" ht="39.6" customHeight="1" s="338">
      <c r="A76" s="276" t="n">
        <v>60</v>
      </c>
      <c r="B76" s="379" t="n"/>
      <c r="C76" s="270" t="inlineStr">
        <is>
          <t>02.3.01.02-0016</t>
        </is>
      </c>
      <c r="D76" s="271" t="inlineStr">
        <is>
          <t>Песок природный для строительных: работ средний с крупностью зерен размером свыше 5 мм-до 5% по массе</t>
        </is>
      </c>
      <c r="E76" s="407" t="inlineStr">
        <is>
          <t>м3</t>
        </is>
      </c>
      <c r="F76" s="407" t="n">
        <v>125.253</v>
      </c>
      <c r="G76" s="266" t="n">
        <v>55.26</v>
      </c>
      <c r="H76" s="266">
        <f>ROUND(F76*G76,2)</f>
        <v/>
      </c>
      <c r="I76" s="283" t="n"/>
    </row>
    <row r="77" ht="39.6" customHeight="1" s="338">
      <c r="A77" s="276" t="n">
        <v>61</v>
      </c>
      <c r="B77" s="379" t="n"/>
      <c r="C77" s="270" t="inlineStr">
        <is>
          <t>04.1.02.02-0011</t>
        </is>
      </c>
      <c r="D77" s="271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407" t="inlineStr">
        <is>
          <t>м3</t>
        </is>
      </c>
      <c r="F77" s="407" t="n">
        <v>5.498</v>
      </c>
      <c r="G77" s="266" t="n">
        <v>1025.05</v>
      </c>
      <c r="H77" s="266">
        <f>ROUND(F77*G77,2)</f>
        <v/>
      </c>
      <c r="I77" s="283" t="n"/>
    </row>
    <row r="78" ht="26.45" customHeight="1" s="338">
      <c r="A78" s="276" t="n">
        <v>62</v>
      </c>
      <c r="B78" s="379" t="n"/>
      <c r="C78" s="270" t="inlineStr">
        <is>
          <t>07.2.07.04-0007</t>
        </is>
      </c>
      <c r="D78" s="271" t="inlineStr">
        <is>
          <t>Конструкции стальные индивидуальные решетчатые сварные, масса до 0,1 т</t>
        </is>
      </c>
      <c r="E78" s="407" t="inlineStr">
        <is>
          <t>т</t>
        </is>
      </c>
      <c r="F78" s="407" t="n">
        <v>0.483</v>
      </c>
      <c r="G78" s="266" t="n">
        <v>11500</v>
      </c>
      <c r="H78" s="266">
        <f>ROUND(F78*G78,2)</f>
        <v/>
      </c>
      <c r="I78" s="283" t="n"/>
    </row>
    <row r="79" customFormat="1" s="237">
      <c r="A79" s="276" t="n">
        <v>63</v>
      </c>
      <c r="B79" s="379" t="n"/>
      <c r="C79" s="270" t="inlineStr">
        <is>
          <t>08.1.02.25-0021</t>
        </is>
      </c>
      <c r="D79" s="271" t="inlineStr">
        <is>
          <t>Дробь металлическая</t>
        </is>
      </c>
      <c r="E79" s="407" t="inlineStr">
        <is>
          <t>т</t>
        </is>
      </c>
      <c r="F79" s="407" t="n">
        <v>1.008</v>
      </c>
      <c r="G79" s="266" t="n">
        <v>4390</v>
      </c>
      <c r="H79" s="266">
        <f>ROUND(F79*G79,2)</f>
        <v/>
      </c>
      <c r="I79" s="283" t="n"/>
    </row>
    <row r="80">
      <c r="A80" s="276" t="n">
        <v>64</v>
      </c>
      <c r="B80" s="379" t="n"/>
      <c r="C80" s="270" t="inlineStr">
        <is>
          <t>01.7.15.01-0031</t>
        </is>
      </c>
      <c r="D80" s="271" t="inlineStr">
        <is>
          <t>Анкер высоких нагрузок Hilti HSL-3 M24/60</t>
        </is>
      </c>
      <c r="E80" s="407" t="inlineStr">
        <is>
          <t>шт</t>
        </is>
      </c>
      <c r="F80" s="407" t="n">
        <v>11.667</v>
      </c>
      <c r="G80" s="266" t="n">
        <v>332.85</v>
      </c>
      <c r="H80" s="266">
        <f>ROUND(F80*G80,2)</f>
        <v/>
      </c>
      <c r="I80" s="283" t="n"/>
    </row>
    <row r="81">
      <c r="A81" s="276" t="n">
        <v>65</v>
      </c>
      <c r="B81" s="379" t="n"/>
      <c r="C81" s="270" t="inlineStr">
        <is>
          <t>08.3.08.03-0011</t>
        </is>
      </c>
      <c r="D81" s="271" t="inlineStr">
        <is>
          <t>Сталь угловая</t>
        </is>
      </c>
      <c r="E81" s="407" t="inlineStr">
        <is>
          <t>т</t>
        </is>
      </c>
      <c r="F81" s="407" t="n">
        <v>0.65</v>
      </c>
      <c r="G81" s="266" t="n">
        <v>5763</v>
      </c>
      <c r="H81" s="266">
        <f>ROUND(F81*G81,2)</f>
        <v/>
      </c>
      <c r="I81" s="283" t="n"/>
      <c r="K81" s="279" t="n"/>
    </row>
    <row r="82" ht="26.45" customHeight="1" s="338">
      <c r="A82" s="276" t="n">
        <v>66</v>
      </c>
      <c r="B82" s="379" t="n"/>
      <c r="C82" s="270" t="inlineStr">
        <is>
          <t>08.3.05.02-0058</t>
        </is>
      </c>
      <c r="D82" s="271" t="inlineStr">
        <is>
          <t>Прокат толстолистовой горячекатаный в листах, марка стали Ст3, толщина 6-8 мм</t>
        </is>
      </c>
      <c r="E82" s="407" t="inlineStr">
        <is>
          <t>т</t>
        </is>
      </c>
      <c r="F82" s="407" t="n">
        <v>0.55</v>
      </c>
      <c r="G82" s="266" t="n">
        <v>5891.61</v>
      </c>
      <c r="H82" s="266">
        <f>ROUND(F82*G82,2)</f>
        <v/>
      </c>
      <c r="I82" s="283" t="n"/>
      <c r="K82" s="279" t="n"/>
    </row>
    <row r="83" ht="26.45" customHeight="1" s="338">
      <c r="A83" s="276" t="n">
        <v>67</v>
      </c>
      <c r="B83" s="379" t="n"/>
      <c r="C83" s="270" t="inlineStr">
        <is>
          <t>04.1.02.05-0003</t>
        </is>
      </c>
      <c r="D83" s="271" t="inlineStr">
        <is>
          <t>Смеси бетонные тяжелого бетона (БСТ), класс В7,5 (М100)</t>
        </is>
      </c>
      <c r="E83" s="407" t="inlineStr">
        <is>
          <t>м3</t>
        </is>
      </c>
      <c r="F83" s="407" t="n">
        <v>4.9</v>
      </c>
      <c r="G83" s="266" t="n">
        <v>560</v>
      </c>
      <c r="H83" s="266">
        <f>ROUND(F83*G83,2)</f>
        <v/>
      </c>
      <c r="I83" s="283" t="n"/>
      <c r="K83" s="279" t="n"/>
    </row>
    <row r="84">
      <c r="A84" s="276" t="n">
        <v>68</v>
      </c>
      <c r="B84" s="379" t="n"/>
      <c r="C84" s="270" t="inlineStr">
        <is>
          <t>12.1.02.15-0001</t>
        </is>
      </c>
      <c r="D84" s="271" t="inlineStr">
        <is>
          <t>Барьер ОС ГЧ ЭМС (ТУ 5774-007-17925162-2002)</t>
        </is>
      </c>
      <c r="E84" s="407" t="inlineStr">
        <is>
          <t>м2</t>
        </is>
      </c>
      <c r="F84" s="407" t="n">
        <v>47.28</v>
      </c>
      <c r="G84" s="266" t="n">
        <v>44.98</v>
      </c>
      <c r="H84" s="266">
        <f>ROUND(F84*G84,2)</f>
        <v/>
      </c>
    </row>
    <row r="85" ht="26.45" customHeight="1" s="338">
      <c r="A85" s="276" t="n">
        <v>69</v>
      </c>
      <c r="B85" s="379" t="n"/>
      <c r="C85" s="270" t="inlineStr">
        <is>
          <t>07.2.05.01-0032</t>
        </is>
      </c>
      <c r="D85" s="271" t="inlineStr">
        <is>
          <t>Ограждения лестничных проемов, лестничные марши, пожарные лестницы</t>
        </is>
      </c>
      <c r="E85" s="407" t="inlineStr">
        <is>
          <t>т</t>
        </is>
      </c>
      <c r="F85" s="407" t="n">
        <v>0.26</v>
      </c>
      <c r="G85" s="266" t="n">
        <v>7571</v>
      </c>
      <c r="H85" s="266">
        <f>ROUND(F85*G85,2)</f>
        <v/>
      </c>
    </row>
    <row r="86">
      <c r="A86" s="276" t="n">
        <v>70</v>
      </c>
      <c r="B86" s="379" t="n"/>
      <c r="C86" s="270" t="inlineStr">
        <is>
          <t>14.2.01.05-0001</t>
        </is>
      </c>
      <c r="D86" s="271" t="inlineStr">
        <is>
          <t>Композиция на основе термопластичных полимеров</t>
        </is>
      </c>
      <c r="E86" s="407" t="inlineStr">
        <is>
          <t>кг</t>
        </is>
      </c>
      <c r="F86" s="407" t="n">
        <v>30.38</v>
      </c>
      <c r="G86" s="266" t="n">
        <v>54.99</v>
      </c>
      <c r="H86" s="266">
        <f>ROUND(F86*G86,2)</f>
        <v/>
      </c>
    </row>
    <row r="87" ht="26.45" customHeight="1" s="338">
      <c r="A87" s="276" t="n">
        <v>71</v>
      </c>
      <c r="B87" s="379" t="n"/>
      <c r="C87" s="270" t="inlineStr">
        <is>
          <t>24.3.03.13-0418</t>
        </is>
      </c>
      <c r="D87" s="271" t="inlineStr">
        <is>
          <t>Труба напорная полиэтиленовая ПНД, среднего типа, диаметр 110 мм</t>
        </is>
      </c>
      <c r="E87" s="407" t="inlineStr">
        <is>
          <t>м</t>
        </is>
      </c>
      <c r="F87" s="407" t="n">
        <v>25</v>
      </c>
      <c r="G87" s="266" t="n">
        <v>63</v>
      </c>
      <c r="H87" s="266">
        <f>ROUND(F87*G87,2)</f>
        <v/>
      </c>
    </row>
    <row r="88" ht="26.45" customHeight="1" s="338">
      <c r="A88" s="276" t="n">
        <v>72</v>
      </c>
      <c r="B88" s="379" t="n"/>
      <c r="C88" s="270" t="inlineStr">
        <is>
          <t>08.3.01.02-0019</t>
        </is>
      </c>
      <c r="D88" s="271" t="inlineStr">
        <is>
          <t>Двутавр с параллельными гранями полок №14 Б1, Б2, сталь марки Ст0</t>
        </is>
      </c>
      <c r="E88" s="407" t="inlineStr">
        <is>
          <t>т</t>
        </is>
      </c>
      <c r="F88" s="407" t="n">
        <v>0.25</v>
      </c>
      <c r="G88" s="266" t="n">
        <v>5374.3</v>
      </c>
      <c r="H88" s="266">
        <f>ROUND(F88*G88,2)</f>
        <v/>
      </c>
    </row>
    <row r="89">
      <c r="A89" s="276" t="n">
        <v>73</v>
      </c>
      <c r="B89" s="379" t="n"/>
      <c r="C89" s="270" t="inlineStr">
        <is>
          <t>08.4.01.02-0001</t>
        </is>
      </c>
      <c r="D89" s="271" t="inlineStr">
        <is>
          <t>Детали закладные, вес до 1 кг</t>
        </is>
      </c>
      <c r="E89" s="407" t="inlineStr">
        <is>
          <t>т</t>
        </is>
      </c>
      <c r="F89" s="407" t="n">
        <v>0.11</v>
      </c>
      <c r="G89" s="266" t="n">
        <v>11684</v>
      </c>
      <c r="H89" s="266">
        <f>ROUND(F89*G89,2)</f>
        <v/>
      </c>
    </row>
    <row r="90">
      <c r="A90" s="276" t="n">
        <v>74</v>
      </c>
      <c r="B90" s="379" t="n"/>
      <c r="C90" s="270" t="inlineStr">
        <is>
          <t>02.2.01.02-0001</t>
        </is>
      </c>
      <c r="D90" s="271" t="inlineStr">
        <is>
          <t>Гравий баритовый</t>
        </is>
      </c>
      <c r="E90" s="407" t="inlineStr">
        <is>
          <t>м3</t>
        </is>
      </c>
      <c r="F90" s="407" t="n">
        <v>0.22</v>
      </c>
      <c r="G90" s="266" t="n">
        <v>5292</v>
      </c>
      <c r="H90" s="266">
        <f>ROUND(F90*G90,2)</f>
        <v/>
      </c>
    </row>
    <row r="91">
      <c r="A91" s="276" t="n">
        <v>75</v>
      </c>
      <c r="B91" s="379" t="n"/>
      <c r="C91" s="270" t="inlineStr">
        <is>
          <t>01.7.07.12-0001</t>
        </is>
      </c>
      <c r="D91" s="271" t="inlineStr">
        <is>
          <t>Обертка защитная на полиэтиленовой основе</t>
        </is>
      </c>
      <c r="E91" s="407" t="inlineStr">
        <is>
          <t>м2</t>
        </is>
      </c>
      <c r="F91" s="407" t="n">
        <v>29.13</v>
      </c>
      <c r="G91" s="266" t="n">
        <v>32</v>
      </c>
      <c r="H91" s="266">
        <f>ROUND(F91*G91,2)</f>
        <v/>
      </c>
    </row>
    <row r="92">
      <c r="A92" s="276" t="n">
        <v>76</v>
      </c>
      <c r="B92" s="379" t="n"/>
      <c r="C92" s="270" t="inlineStr">
        <is>
          <t>08.3.11.01-0053</t>
        </is>
      </c>
      <c r="D92" s="271" t="inlineStr">
        <is>
          <t>Швеллеры: № 14 сталь марки Ст3пс</t>
        </is>
      </c>
      <c r="E92" s="407" t="inlineStr">
        <is>
          <t>т</t>
        </is>
      </c>
      <c r="F92" s="407" t="n">
        <v>0.19</v>
      </c>
      <c r="G92" s="266" t="n">
        <v>4800</v>
      </c>
      <c r="H92" s="266">
        <f>ROUND(F92*G92,2)</f>
        <v/>
      </c>
    </row>
    <row r="93">
      <c r="A93" s="276" t="n">
        <v>77</v>
      </c>
      <c r="B93" s="379" t="n"/>
      <c r="C93" s="270" t="inlineStr">
        <is>
          <t>11.2.13.04-0011</t>
        </is>
      </c>
      <c r="D93" s="271" t="inlineStr">
        <is>
          <t>Щиты из досок, толщина 25 мм</t>
        </is>
      </c>
      <c r="E93" s="407" t="inlineStr">
        <is>
          <t>м2</t>
        </is>
      </c>
      <c r="F93" s="407" t="n">
        <v>25.28</v>
      </c>
      <c r="G93" s="266" t="n">
        <v>35.53</v>
      </c>
      <c r="H93" s="266">
        <f>ROUND(F93*G93,2)</f>
        <v/>
      </c>
    </row>
    <row r="94" customFormat="1" s="237">
      <c r="A94" s="276" t="n">
        <v>78</v>
      </c>
      <c r="B94" s="379" t="n"/>
      <c r="C94" s="270" t="inlineStr">
        <is>
          <t>01.7.15.03-0042</t>
        </is>
      </c>
      <c r="D94" s="271" t="inlineStr">
        <is>
          <t>Болты с гайками и шайбами строительные</t>
        </is>
      </c>
      <c r="E94" s="407" t="inlineStr">
        <is>
          <t>кг</t>
        </is>
      </c>
      <c r="F94" s="407" t="n">
        <v>87.34</v>
      </c>
      <c r="G94" s="266" t="n">
        <v>9.039999999999999</v>
      </c>
      <c r="H94" s="266">
        <f>ROUND(F94*G94,2)</f>
        <v/>
      </c>
    </row>
    <row r="95">
      <c r="A95" s="276" t="n">
        <v>79</v>
      </c>
      <c r="B95" s="379" t="n"/>
      <c r="C95" s="270" t="inlineStr">
        <is>
          <t>21.2.02.01-0028</t>
        </is>
      </c>
      <c r="D95" s="271" t="inlineStr">
        <is>
          <t>Провод антенный МГ, сечение 25 мм2</t>
        </is>
      </c>
      <c r="E95" s="407" t="inlineStr">
        <is>
          <t>т</t>
        </is>
      </c>
      <c r="F95" s="407" t="n">
        <v>0.01</v>
      </c>
      <c r="G95" s="266" t="n">
        <v>64315.46</v>
      </c>
      <c r="H95" s="266">
        <f>ROUND(F95*G95,2)</f>
        <v/>
      </c>
    </row>
    <row r="96" ht="26.45" customHeight="1" s="338">
      <c r="A96" s="276" t="n">
        <v>80</v>
      </c>
      <c r="B96" s="379" t="n"/>
      <c r="C96" s="270" t="inlineStr">
        <is>
          <t>08.4.03.03-0031</t>
        </is>
      </c>
      <c r="D96" s="271" t="inlineStr">
        <is>
          <t>Сталь арматурная, горячекатаная, периодического профиля, класс А-III, диаметр 10 мм</t>
        </is>
      </c>
      <c r="E96" s="407" t="inlineStr">
        <is>
          <t>т</t>
        </is>
      </c>
      <c r="F96" s="407" t="n">
        <v>0.08</v>
      </c>
      <c r="G96" s="266" t="n">
        <v>8014.15</v>
      </c>
      <c r="H96" s="266">
        <f>ROUND(F96*G96,2)</f>
        <v/>
      </c>
      <c r="K96" s="279" t="n"/>
    </row>
    <row r="97">
      <c r="A97" s="276" t="n">
        <v>81</v>
      </c>
      <c r="B97" s="379" t="n"/>
      <c r="C97" s="270" t="inlineStr">
        <is>
          <t>08.1.02.25-0012</t>
        </is>
      </c>
      <c r="D97" s="271" t="inlineStr">
        <is>
          <t>Детали крепления, масса до 0,001 т</t>
        </is>
      </c>
      <c r="E97" s="407" t="inlineStr">
        <is>
          <t>т</t>
        </is>
      </c>
      <c r="F97" s="407" t="n">
        <v>0.06</v>
      </c>
      <c r="G97" s="266" t="n">
        <v>10100</v>
      </c>
      <c r="H97" s="266">
        <f>ROUND(F97*G97,2)</f>
        <v/>
      </c>
      <c r="K97" s="279" t="n"/>
    </row>
    <row r="98">
      <c r="A98" s="276" t="n">
        <v>82</v>
      </c>
      <c r="B98" s="379" t="n"/>
      <c r="C98" s="270" t="inlineStr">
        <is>
          <t>01.7.07.12-0022</t>
        </is>
      </c>
      <c r="D98" s="271" t="inlineStr">
        <is>
          <t>Пленка полиэтиленовая, толщина 0,2-0,5 мм</t>
        </is>
      </c>
      <c r="E98" s="407" t="inlineStr">
        <is>
          <t>м2</t>
        </is>
      </c>
      <c r="F98" s="407" t="n">
        <v>43.78</v>
      </c>
      <c r="G98" s="266" t="n">
        <v>12.19</v>
      </c>
      <c r="H98" s="266">
        <f>ROUND(F98*G98,2)</f>
        <v/>
      </c>
      <c r="K98" s="279" t="n"/>
    </row>
    <row r="99" ht="26.45" customHeight="1" s="338">
      <c r="A99" s="276" t="n">
        <v>83</v>
      </c>
      <c r="B99" s="379" t="n"/>
      <c r="C99" s="270" t="inlineStr">
        <is>
          <t>11.1.03.06-0095</t>
        </is>
      </c>
      <c r="D99" s="271" t="inlineStr">
        <is>
          <t>Доска обрезная, хвойных пород, ширина 75-150 мм, толщина 44 мм и более, длина 4-6,5 м, сорт III</t>
        </is>
      </c>
      <c r="E99" s="407" t="inlineStr">
        <is>
          <t>м3</t>
        </is>
      </c>
      <c r="F99" s="407" t="n">
        <v>0.47</v>
      </c>
      <c r="G99" s="266" t="n">
        <v>1056</v>
      </c>
      <c r="H99" s="266">
        <f>ROUND(F99*G99,2)</f>
        <v/>
      </c>
    </row>
    <row r="100" ht="26.45" customHeight="1" s="338">
      <c r="A100" s="276" t="n">
        <v>84</v>
      </c>
      <c r="B100" s="379" t="n"/>
      <c r="C100" s="270" t="inlineStr">
        <is>
          <t>08.4.03.02-0002</t>
        </is>
      </c>
      <c r="D100" s="271" t="inlineStr">
        <is>
          <t>Сталь арматурная, горячекатаная, гладкая, класс А-I, диаметр 8 мм</t>
        </is>
      </c>
      <c r="E100" s="407" t="inlineStr">
        <is>
          <t>т</t>
        </is>
      </c>
      <c r="F100" s="407" t="n">
        <v>0.07000000000000001</v>
      </c>
      <c r="G100" s="266" t="n">
        <v>6780</v>
      </c>
      <c r="H100" s="266">
        <f>ROUND(F100*G100,2)</f>
        <v/>
      </c>
    </row>
    <row r="101">
      <c r="A101" s="276" t="n">
        <v>85</v>
      </c>
      <c r="B101" s="379" t="n"/>
      <c r="C101" s="270" t="inlineStr">
        <is>
          <t>08.3.07.01-0056</t>
        </is>
      </c>
      <c r="D101" s="271" t="inlineStr">
        <is>
          <t>Сталь полосовая: 60х4 мм, марка Ст3сп</t>
        </is>
      </c>
      <c r="E101" s="407" t="inlineStr">
        <is>
          <t>т</t>
        </is>
      </c>
      <c r="F101" s="407" t="n">
        <v>0.06</v>
      </c>
      <c r="G101" s="266" t="n">
        <v>7396.23</v>
      </c>
      <c r="H101" s="266">
        <f>ROUND(F101*G101,2)</f>
        <v/>
      </c>
    </row>
    <row r="102">
      <c r="A102" s="276" t="n">
        <v>86</v>
      </c>
      <c r="B102" s="379" t="n"/>
      <c r="C102" s="270" t="inlineStr">
        <is>
          <t>14.4.04.09-0016</t>
        </is>
      </c>
      <c r="D102" s="271" t="inlineStr">
        <is>
          <t>Эмаль ХВ-124, голубая</t>
        </is>
      </c>
      <c r="E102" s="407" t="inlineStr">
        <is>
          <t>т</t>
        </is>
      </c>
      <c r="F102" s="407" t="n">
        <v>0.02</v>
      </c>
      <c r="G102" s="266" t="n">
        <v>22050</v>
      </c>
      <c r="H102" s="266">
        <f>ROUND(F102*G102,2)</f>
        <v/>
      </c>
    </row>
    <row r="103">
      <c r="A103" s="276" t="n">
        <v>87</v>
      </c>
      <c r="B103" s="379" t="n"/>
      <c r="C103" s="270" t="inlineStr">
        <is>
          <t>01.7.06.03-0022</t>
        </is>
      </c>
      <c r="D103" s="271" t="inlineStr">
        <is>
          <t>Лента полиэтиленовая с липким слоем А50</t>
        </is>
      </c>
      <c r="E103" s="407" t="inlineStr">
        <is>
          <t>кг</t>
        </is>
      </c>
      <c r="F103" s="407" t="n">
        <v>3.34</v>
      </c>
      <c r="G103" s="266" t="n">
        <v>112</v>
      </c>
      <c r="H103" s="266">
        <f>ROUND(F103*G103,2)</f>
        <v/>
      </c>
    </row>
    <row r="104" ht="26.45" customHeight="1" s="338">
      <c r="A104" s="276" t="n">
        <v>88</v>
      </c>
      <c r="B104" s="379" t="n"/>
      <c r="C104" s="270" t="inlineStr">
        <is>
          <t>04.3.02.13-0212</t>
        </is>
      </c>
      <c r="D104" s="271" t="inlineStr">
        <is>
          <t>Смеси сухие цементно-песчаные кладочные, класс B3,5 (М50)</t>
        </is>
      </c>
      <c r="E104" s="407" t="inlineStr">
        <is>
          <t>т</t>
        </is>
      </c>
      <c r="F104" s="407" t="n">
        <v>0.58</v>
      </c>
      <c r="G104" s="266" t="n">
        <v>556.76</v>
      </c>
      <c r="H104" s="266">
        <f>ROUND(F104*G104,2)</f>
        <v/>
      </c>
    </row>
    <row r="105" ht="26.45" customHeight="1" s="338">
      <c r="A105" s="276" t="n">
        <v>89</v>
      </c>
      <c r="B105" s="379" t="n"/>
      <c r="C105" s="270" t="inlineStr">
        <is>
          <t>21.2.01.02-0089</t>
        </is>
      </c>
      <c r="D105" s="271" t="inlineStr">
        <is>
          <t>Провод неизолированный для воздушных линий электропередачи АС 120/19</t>
        </is>
      </c>
      <c r="E105" s="407" t="inlineStr">
        <is>
          <t>т</t>
        </is>
      </c>
      <c r="F105" s="407" t="n">
        <v>0.01</v>
      </c>
      <c r="G105" s="266" t="n">
        <v>32007.25</v>
      </c>
      <c r="H105" s="266">
        <f>ROUND(F105*G105,2)</f>
        <v/>
      </c>
    </row>
    <row r="106">
      <c r="A106" s="276" t="n">
        <v>90</v>
      </c>
      <c r="B106" s="379" t="n"/>
      <c r="C106" s="270" t="inlineStr">
        <is>
          <t>01.7.15.06-0111</t>
        </is>
      </c>
      <c r="D106" s="271" t="inlineStr">
        <is>
          <t>Гвозди строительные</t>
        </is>
      </c>
      <c r="E106" s="407" t="inlineStr">
        <is>
          <t>т</t>
        </is>
      </c>
      <c r="F106" s="407" t="n">
        <v>0.02</v>
      </c>
      <c r="G106" s="266" t="n">
        <v>11978</v>
      </c>
      <c r="H106" s="266">
        <f>ROUND(F106*G106,2)</f>
        <v/>
      </c>
    </row>
    <row r="107">
      <c r="A107" s="276" t="n">
        <v>91</v>
      </c>
      <c r="B107" s="379" t="n"/>
      <c r="C107" s="270" t="inlineStr">
        <is>
          <t>01.7.11.07-0032</t>
        </is>
      </c>
      <c r="D107" s="271" t="inlineStr">
        <is>
          <t>Электроды сварочные Э42, диаметр 4 мм</t>
        </is>
      </c>
      <c r="E107" s="407" t="inlineStr">
        <is>
          <t>т</t>
        </is>
      </c>
      <c r="F107" s="407" t="n">
        <v>0.02</v>
      </c>
      <c r="G107" s="266" t="n">
        <v>10315.01</v>
      </c>
      <c r="H107" s="266">
        <f>ROUND(F107*G107,2)</f>
        <v/>
      </c>
    </row>
    <row r="108" ht="26.45" customHeight="1" s="338">
      <c r="A108" s="276" t="n">
        <v>92</v>
      </c>
      <c r="B108" s="379" t="n"/>
      <c r="C108" s="270" t="inlineStr">
        <is>
          <t>08.4.01.01-0022</t>
        </is>
      </c>
      <c r="D108" s="271" t="inlineStr">
        <is>
          <t>Детали анкерные с резьбой из прямых или гнутых круглых стержней</t>
        </is>
      </c>
      <c r="E108" s="407" t="inlineStr">
        <is>
          <t>т</t>
        </is>
      </c>
      <c r="F108" s="407" t="n">
        <v>0.02</v>
      </c>
      <c r="G108" s="266" t="n">
        <v>10100</v>
      </c>
      <c r="H108" s="266">
        <f>ROUND(F108*G108,2)</f>
        <v/>
      </c>
    </row>
    <row r="109" ht="26.45" customFormat="1" customHeight="1" s="237">
      <c r="A109" s="276" t="n">
        <v>93</v>
      </c>
      <c r="B109" s="379" t="n"/>
      <c r="C109" s="270" t="inlineStr">
        <is>
          <t>08.4.03.02-0003</t>
        </is>
      </c>
      <c r="D109" s="271" t="inlineStr">
        <is>
          <t>Сталь арматурная, горячекатаная, гладкая, класс А-I, диаметр 10 мм</t>
        </is>
      </c>
      <c r="E109" s="407" t="inlineStr">
        <is>
          <t>т</t>
        </is>
      </c>
      <c r="F109" s="407" t="n">
        <v>0.03</v>
      </c>
      <c r="G109" s="266" t="n">
        <v>6726.18</v>
      </c>
      <c r="H109" s="266">
        <f>ROUND(F109*G109,2)</f>
        <v/>
      </c>
    </row>
    <row r="110" ht="26.45" customHeight="1" s="338">
      <c r="A110" s="276" t="n">
        <v>94</v>
      </c>
      <c r="B110" s="379" t="n"/>
      <c r="C110" s="270" t="inlineStr">
        <is>
          <t>24.3.04.01-0013</t>
        </is>
      </c>
      <c r="D110" s="271" t="inlineStr">
        <is>
          <t>Трубы винипластовые, номинальный внутренний диаметр 32 мм</t>
        </is>
      </c>
      <c r="E110" s="407" t="inlineStr">
        <is>
          <t>м</t>
        </is>
      </c>
      <c r="F110" s="407" t="n">
        <v>33.33</v>
      </c>
      <c r="G110" s="266" t="n">
        <v>6.01</v>
      </c>
      <c r="H110" s="266">
        <f>ROUND(F110*G110,2)</f>
        <v/>
      </c>
    </row>
    <row r="111">
      <c r="A111" s="276" t="n">
        <v>95</v>
      </c>
      <c r="B111" s="379" t="n"/>
      <c r="C111" s="270" t="inlineStr">
        <is>
          <t>08.3.11.01-0052</t>
        </is>
      </c>
      <c r="D111" s="271" t="inlineStr">
        <is>
          <t>Швеллеры № 12, марка стали Ст3пс</t>
        </is>
      </c>
      <c r="E111" s="407" t="inlineStr">
        <is>
          <t>т</t>
        </is>
      </c>
      <c r="F111" s="407" t="n">
        <v>0.04</v>
      </c>
      <c r="G111" s="266" t="n">
        <v>4900</v>
      </c>
      <c r="H111" s="266">
        <f>ROUND(F111*G111,2)</f>
        <v/>
      </c>
      <c r="K111" s="279" t="n"/>
    </row>
    <row r="112">
      <c r="A112" s="276" t="n">
        <v>96</v>
      </c>
      <c r="B112" s="379" t="n"/>
      <c r="C112" s="270" t="inlineStr">
        <is>
          <t>01.7.17.11-0001</t>
        </is>
      </c>
      <c r="D112" s="271" t="inlineStr">
        <is>
          <t>Бумага шлифовальная</t>
        </is>
      </c>
      <c r="E112" s="407" t="inlineStr">
        <is>
          <t>кг</t>
        </is>
      </c>
      <c r="F112" s="407" t="n">
        <v>3</v>
      </c>
      <c r="G112" s="266" t="n">
        <v>50</v>
      </c>
      <c r="H112" s="266">
        <f>ROUND(F112*G112,2)</f>
        <v/>
      </c>
      <c r="K112" s="279" t="n"/>
    </row>
    <row r="113" ht="26.45" customHeight="1" s="338">
      <c r="A113" s="276" t="n">
        <v>97</v>
      </c>
      <c r="B113" s="379" t="n"/>
      <c r="C113" s="270" t="inlineStr">
        <is>
          <t>08.3.07.01-0076</t>
        </is>
      </c>
      <c r="D113" s="271" t="inlineStr">
        <is>
          <t>Прокат полосовой, горячекатаный, марка стали Ст3сп, ширина 50-200 мм, толщина 4-5 мм</t>
        </is>
      </c>
      <c r="E113" s="407" t="inlineStr">
        <is>
          <t>т</t>
        </is>
      </c>
      <c r="F113" s="407" t="n">
        <v>0.03</v>
      </c>
      <c r="G113" s="266" t="n">
        <v>5000</v>
      </c>
      <c r="H113" s="266">
        <f>ROUND(F113*G113,2)</f>
        <v/>
      </c>
      <c r="K113" s="279" t="n"/>
    </row>
    <row r="114" ht="39.6" customHeight="1" s="338">
      <c r="A114" s="276" t="n">
        <v>98</v>
      </c>
      <c r="B114" s="379" t="n"/>
      <c r="C114" s="270" t="inlineStr">
        <is>
          <t>04.1.02.03-0004</t>
        </is>
      </c>
      <c r="D114" s="271" t="inlineStr">
        <is>
          <t>Смеси бетонные тяжелого бетона (БСТ) для дорожных и аэродромных покрытий и оснований, класс В10 (М150)</t>
        </is>
      </c>
      <c r="E114" s="407" t="inlineStr">
        <is>
          <t>м3</t>
        </is>
      </c>
      <c r="F114" s="407" t="n">
        <v>0.2</v>
      </c>
      <c r="G114" s="266" t="n">
        <v>584.8099999999999</v>
      </c>
      <c r="H114" s="266">
        <f>ROUND(F114*G114,2)</f>
        <v/>
      </c>
    </row>
    <row r="115">
      <c r="A115" s="276" t="n">
        <v>99</v>
      </c>
      <c r="B115" s="379" t="n"/>
      <c r="C115" s="270" t="inlineStr">
        <is>
          <t>14.4.02.09-0001</t>
        </is>
      </c>
      <c r="D115" s="271" t="inlineStr">
        <is>
          <t>Краска</t>
        </is>
      </c>
      <c r="E115" s="407" t="inlineStr">
        <is>
          <t>кг</t>
        </is>
      </c>
      <c r="F115" s="407" t="n">
        <v>4</v>
      </c>
      <c r="G115" s="266" t="n">
        <v>28.6</v>
      </c>
      <c r="H115" s="266">
        <f>ROUND(F115*G115,2)</f>
        <v/>
      </c>
    </row>
    <row r="116">
      <c r="A116" s="276" t="n">
        <v>100</v>
      </c>
      <c r="B116" s="379" t="n"/>
      <c r="C116" s="270" t="inlineStr">
        <is>
          <t>16.2.01.02-0002</t>
        </is>
      </c>
      <c r="D116" s="271" t="inlineStr">
        <is>
          <t>Земля растительная механизированной заготовки</t>
        </is>
      </c>
      <c r="E116" s="407" t="inlineStr">
        <is>
          <t>м3</t>
        </is>
      </c>
      <c r="F116" s="407" t="n">
        <v>0.75</v>
      </c>
      <c r="G116" s="266" t="n">
        <v>131.9</v>
      </c>
      <c r="H116" s="266">
        <f>ROUND(F116*G116,2)</f>
        <v/>
      </c>
    </row>
    <row r="117">
      <c r="A117" s="276" t="n">
        <v>101</v>
      </c>
      <c r="B117" s="379" t="n"/>
      <c r="C117" s="270" t="inlineStr">
        <is>
          <t>14.5.09.07-0029</t>
        </is>
      </c>
      <c r="D117" s="271" t="inlineStr">
        <is>
          <t>Растворитель марки: Р-4</t>
        </is>
      </c>
      <c r="E117" s="407" t="inlineStr">
        <is>
          <t>т</t>
        </is>
      </c>
      <c r="F117" s="407" t="n">
        <v>0.01</v>
      </c>
      <c r="G117" s="266" t="n">
        <v>9420</v>
      </c>
      <c r="H117" s="266">
        <f>ROUND(F117*G117,2)</f>
        <v/>
      </c>
    </row>
    <row r="118">
      <c r="A118" s="276" t="n">
        <v>102</v>
      </c>
      <c r="B118" s="379" t="n"/>
      <c r="C118" s="270" t="inlineStr">
        <is>
          <t>14.5.09.04-0121</t>
        </is>
      </c>
      <c r="D118" s="271" t="inlineStr">
        <is>
          <t>Отвердитель эпоксидных смол</t>
        </is>
      </c>
      <c r="E118" s="407" t="inlineStr">
        <is>
          <t>кг</t>
        </is>
      </c>
      <c r="F118" s="407" t="n">
        <v>1.2</v>
      </c>
      <c r="G118" s="266" t="n">
        <v>69.26000000000001</v>
      </c>
      <c r="H118" s="266">
        <f>ROUND(F118*G118,2)</f>
        <v/>
      </c>
    </row>
    <row r="119">
      <c r="A119" s="276" t="n">
        <v>103</v>
      </c>
      <c r="B119" s="379" t="n"/>
      <c r="C119" s="270" t="inlineStr">
        <is>
          <t>14.5.09.01-0001</t>
        </is>
      </c>
      <c r="D119" s="271" t="inlineStr">
        <is>
          <t>Ацетон технический, сорт I</t>
        </is>
      </c>
      <c r="E119" s="407" t="inlineStr">
        <is>
          <t>т</t>
        </is>
      </c>
      <c r="F119" s="407" t="n">
        <v>0.01</v>
      </c>
      <c r="G119" s="266" t="n">
        <v>7716.7</v>
      </c>
      <c r="H119" s="266">
        <f>ROUND(F119*G119,2)</f>
        <v/>
      </c>
    </row>
    <row r="120">
      <c r="A120" s="276" t="n">
        <v>104</v>
      </c>
      <c r="B120" s="379" t="n"/>
      <c r="C120" s="270" t="inlineStr">
        <is>
          <t>01.7.07.12-0024</t>
        </is>
      </c>
      <c r="D120" s="271" t="inlineStr">
        <is>
          <t>Пленка полиэтиленовая, толщина 0,15 мм</t>
        </is>
      </c>
      <c r="E120" s="407" t="inlineStr">
        <is>
          <t>м2</t>
        </is>
      </c>
      <c r="F120" s="407" t="n">
        <v>18.85</v>
      </c>
      <c r="G120" s="266" t="n">
        <v>3.62</v>
      </c>
      <c r="H120" s="266">
        <f>ROUND(F120*G120,2)</f>
        <v/>
      </c>
    </row>
    <row r="121" ht="26.45" customHeight="1" s="338">
      <c r="A121" s="276" t="n">
        <v>105</v>
      </c>
      <c r="B121" s="379" t="n"/>
      <c r="C121" s="270" t="inlineStr">
        <is>
          <t>11.1.03.01-0079</t>
        </is>
      </c>
      <c r="D121" s="271" t="inlineStr">
        <is>
          <t>Бруски обрезные, хвойных пород, длина 4-6,5 м, ширина 75-150 мм, толщина 40-75 мм, сорт III</t>
        </is>
      </c>
      <c r="E121" s="407" t="inlineStr">
        <is>
          <t>м3</t>
        </is>
      </c>
      <c r="F121" s="407" t="n">
        <v>0.04</v>
      </c>
      <c r="G121" s="266" t="n">
        <v>1287</v>
      </c>
      <c r="H121" s="266">
        <f>ROUND(F121*G121,2)</f>
        <v/>
      </c>
    </row>
    <row r="122">
      <c r="A122" s="276" t="n">
        <v>106</v>
      </c>
      <c r="B122" s="379" t="n"/>
      <c r="C122" s="270" t="inlineStr">
        <is>
          <t>01.7.11.07-0034</t>
        </is>
      </c>
      <c r="D122" s="271" t="inlineStr">
        <is>
          <t>Электроды сварочные Э42А, диаметр 4 мм</t>
        </is>
      </c>
      <c r="E122" s="407" t="inlineStr">
        <is>
          <t>кг</t>
        </is>
      </c>
      <c r="F122" s="407" t="n">
        <v>4.74</v>
      </c>
      <c r="G122" s="266" t="n">
        <v>10.57</v>
      </c>
      <c r="H122" s="266">
        <f>ROUND(F122*G122,2)</f>
        <v/>
      </c>
    </row>
    <row r="123">
      <c r="A123" s="276" t="n">
        <v>107</v>
      </c>
      <c r="B123" s="379" t="n"/>
      <c r="C123" s="270" t="inlineStr">
        <is>
          <t>08.3.11.01-0091</t>
        </is>
      </c>
      <c r="D123" s="271" t="inlineStr">
        <is>
          <t>Швеллеры № 40, марка стали Ст0</t>
        </is>
      </c>
      <c r="E123" s="407" t="inlineStr">
        <is>
          <t>т</t>
        </is>
      </c>
      <c r="F123" s="407" t="n">
        <v>0.01</v>
      </c>
      <c r="G123" s="266" t="n">
        <v>4920</v>
      </c>
      <c r="H123" s="266">
        <f>ROUND(F123*G123,2)</f>
        <v/>
      </c>
    </row>
    <row r="124" ht="26.45" customFormat="1" customHeight="1" s="237">
      <c r="A124" s="276" t="n">
        <v>108</v>
      </c>
      <c r="B124" s="379" t="n"/>
      <c r="C124" s="270" t="inlineStr">
        <is>
          <t>08.3.03.06-0002</t>
        </is>
      </c>
      <c r="D124" s="271" t="inlineStr">
        <is>
          <t>Проволока горячекатаная в мотках, диаметр 6,3-6,5 мм</t>
        </is>
      </c>
      <c r="E124" s="407" t="inlineStr">
        <is>
          <t>т</t>
        </is>
      </c>
      <c r="F124" s="407" t="n">
        <v>0.01</v>
      </c>
      <c r="G124" s="266" t="n">
        <v>4455.2</v>
      </c>
      <c r="H124" s="266">
        <f>ROUND(F124*G124,2)</f>
        <v/>
      </c>
    </row>
    <row r="125" ht="26.45" customHeight="1" s="338">
      <c r="A125" s="276" t="n">
        <v>109</v>
      </c>
      <c r="B125" s="379" t="n"/>
      <c r="C125" s="270" t="inlineStr">
        <is>
          <t>24.3.03.13-0417</t>
        </is>
      </c>
      <c r="D125" s="271" t="inlineStr">
        <is>
          <t>Трубы напорные полиэтиленовые, среднего типа, ПНД, номинальный наружный диаметр 90 мм</t>
        </is>
      </c>
      <c r="E125" s="407" t="inlineStr">
        <is>
          <t>м</t>
        </is>
      </c>
      <c r="F125" s="407" t="n">
        <v>0.83</v>
      </c>
      <c r="G125" s="266" t="n">
        <v>42.1</v>
      </c>
      <c r="H125" s="266">
        <f>ROUND(F125*G125,2)</f>
        <v/>
      </c>
    </row>
    <row r="126" ht="26.45" customHeight="1" s="338">
      <c r="A126" s="276" t="n">
        <v>110</v>
      </c>
      <c r="B126" s="379" t="n"/>
      <c r="C126" s="270" t="inlineStr">
        <is>
          <t>11.1.02.04-0031</t>
        </is>
      </c>
      <c r="D126" s="271" t="inlineStr">
        <is>
          <t>Лесоматериалы круглые, хвойных пород, для строительства, диаметр 14-24 см, длина 3-6,5 м</t>
        </is>
      </c>
      <c r="E126" s="407" t="inlineStr">
        <is>
          <t>м3</t>
        </is>
      </c>
      <c r="F126" s="407" t="n">
        <v>0.06</v>
      </c>
      <c r="G126" s="266" t="n">
        <v>558.33</v>
      </c>
      <c r="H126" s="266">
        <f>ROUND(F126*G126,2)</f>
        <v/>
      </c>
      <c r="K126" s="279" t="n"/>
    </row>
    <row r="127">
      <c r="A127" s="276" t="n">
        <v>111</v>
      </c>
      <c r="B127" s="379" t="n"/>
      <c r="C127" s="270" t="inlineStr">
        <is>
          <t>01.7.15.07-0014</t>
        </is>
      </c>
      <c r="D127" s="271" t="inlineStr">
        <is>
          <t>Дюбели распорные полипропиленовые</t>
        </is>
      </c>
      <c r="E127" s="407" t="inlineStr">
        <is>
          <t>100 шт</t>
        </is>
      </c>
      <c r="F127" s="407" t="n">
        <v>0.29</v>
      </c>
      <c r="G127" s="266" t="n">
        <v>86</v>
      </c>
      <c r="H127" s="266">
        <f>ROUND(F127*G127,2)</f>
        <v/>
      </c>
      <c r="K127" s="279" t="n"/>
    </row>
    <row r="128" ht="26.45" customHeight="1" s="338">
      <c r="A128" s="276" t="n">
        <v>112</v>
      </c>
      <c r="B128" s="379" t="n"/>
      <c r="C128" s="270" t="inlineStr">
        <is>
          <t>999-9950</t>
        </is>
      </c>
      <c r="D128" s="271" t="inlineStr">
        <is>
          <t>Вспомогательные ненормируемые ресурсы (2% от Оплаты труда рабочих)</t>
        </is>
      </c>
      <c r="E128" s="407" t="inlineStr">
        <is>
          <t>руб.</t>
        </is>
      </c>
      <c r="F128" s="407" t="n">
        <v>23.82</v>
      </c>
      <c r="G128" s="266" t="n">
        <v>1</v>
      </c>
      <c r="H128" s="266">
        <f>ROUND(F128*G128,2)</f>
        <v/>
      </c>
      <c r="K128" s="279" t="n"/>
    </row>
    <row r="129">
      <c r="A129" s="276" t="n">
        <v>113</v>
      </c>
      <c r="B129" s="379" t="n"/>
      <c r="C129" s="270" t="inlineStr">
        <is>
          <t>20.2.08.05-0017</t>
        </is>
      </c>
      <c r="D129" s="271" t="inlineStr">
        <is>
          <t>Профиль монтажный</t>
        </is>
      </c>
      <c r="E129" s="407" t="inlineStr">
        <is>
          <t>шт</t>
        </is>
      </c>
      <c r="F129" s="407" t="n">
        <v>0.33</v>
      </c>
      <c r="G129" s="266" t="n">
        <v>66.81999999999999</v>
      </c>
      <c r="H129" s="266">
        <f>ROUND(F129*G129,2)</f>
        <v/>
      </c>
    </row>
    <row r="130" ht="26.45" customHeight="1" s="338">
      <c r="A130" s="276" t="n">
        <v>114</v>
      </c>
      <c r="B130" s="379" t="n"/>
      <c r="C130" s="270" t="inlineStr">
        <is>
          <t>11.1.03.06-0087</t>
        </is>
      </c>
      <c r="D130" s="271" t="inlineStr">
        <is>
          <t>Доска обрезная, хвойных пород, ширина 75-150 мм, толщина 25 мм, длина 4-6,5 м, сорт III</t>
        </is>
      </c>
      <c r="E130" s="407" t="inlineStr">
        <is>
          <t>м3</t>
        </is>
      </c>
      <c r="F130" s="407" t="n">
        <v>0.02</v>
      </c>
      <c r="G130" s="266" t="n">
        <v>1100</v>
      </c>
      <c r="H130" s="266">
        <f>ROUND(F130*G130,2)</f>
        <v/>
      </c>
    </row>
    <row r="131" ht="26.45" customHeight="1" s="338">
      <c r="A131" s="276" t="n">
        <v>115</v>
      </c>
      <c r="B131" s="379" t="n"/>
      <c r="C131" s="270" t="inlineStr">
        <is>
          <t>01.7.06.05-0041</t>
        </is>
      </c>
      <c r="D131" s="271" t="inlineStr">
        <is>
          <t>Лента изоляционная прорезиненная односторонняя, ширина 20 мм, толщина 0,25-0,35 мм</t>
        </is>
      </c>
      <c r="E131" s="407" t="inlineStr">
        <is>
          <t>кг</t>
        </is>
      </c>
      <c r="F131" s="407" t="n">
        <v>0.5</v>
      </c>
      <c r="G131" s="266" t="n">
        <v>30.4</v>
      </c>
      <c r="H131" s="266">
        <f>ROUND(F131*G131,2)</f>
        <v/>
      </c>
    </row>
    <row r="132">
      <c r="A132" s="276" t="n">
        <v>116</v>
      </c>
      <c r="B132" s="379" t="n"/>
      <c r="C132" s="270" t="inlineStr">
        <is>
          <t>01.7.03.01-0001</t>
        </is>
      </c>
      <c r="D132" s="271" t="inlineStr">
        <is>
          <t>Вода</t>
        </is>
      </c>
      <c r="E132" s="407" t="inlineStr">
        <is>
          <t>м3</t>
        </is>
      </c>
      <c r="F132" s="407" t="n">
        <v>6.17</v>
      </c>
      <c r="G132" s="266" t="n">
        <v>2.44</v>
      </c>
      <c r="H132" s="266">
        <f>ROUND(F132*G132,2)</f>
        <v/>
      </c>
    </row>
    <row r="133">
      <c r="A133" s="276" t="n">
        <v>117</v>
      </c>
      <c r="B133" s="379" t="n"/>
      <c r="C133" s="270" t="inlineStr">
        <is>
          <t>03.1.02.03-0011</t>
        </is>
      </c>
      <c r="D133" s="271" t="inlineStr">
        <is>
          <t>Известь строительная негашеная комовая, сорт I</t>
        </is>
      </c>
      <c r="E133" s="407" t="inlineStr">
        <is>
          <t>т</t>
        </is>
      </c>
      <c r="F133" s="407" t="n">
        <v>0.02</v>
      </c>
      <c r="G133" s="266" t="n">
        <v>734.5</v>
      </c>
      <c r="H133" s="266">
        <f>ROUND(F133*G133,2)</f>
        <v/>
      </c>
    </row>
    <row r="134">
      <c r="A134" s="276" t="n">
        <v>118</v>
      </c>
      <c r="B134" s="379" t="n"/>
      <c r="C134" s="270" t="inlineStr">
        <is>
          <t>14.1.02.01-0002</t>
        </is>
      </c>
      <c r="D134" s="271" t="inlineStr">
        <is>
          <t>Клей БМК-5к</t>
        </is>
      </c>
      <c r="E134" s="407" t="inlineStr">
        <is>
          <t>кг</t>
        </is>
      </c>
      <c r="F134" s="407" t="n">
        <v>0.32</v>
      </c>
      <c r="G134" s="266" t="n">
        <v>25.8</v>
      </c>
      <c r="H134" s="266">
        <f>ROUND(F134*G134,2)</f>
        <v/>
      </c>
    </row>
    <row r="135">
      <c r="A135" s="276" t="n">
        <v>119</v>
      </c>
      <c r="B135" s="379" t="n"/>
      <c r="C135" s="270" t="inlineStr">
        <is>
          <t>16.2.02.07-0001</t>
        </is>
      </c>
      <c r="D135" s="271" t="inlineStr">
        <is>
          <t>Семена трав: вика</t>
        </is>
      </c>
      <c r="E135" s="407" t="inlineStr">
        <is>
          <t>кг</t>
        </is>
      </c>
      <c r="F135" s="407" t="n">
        <v>0.1</v>
      </c>
      <c r="G135" s="266" t="n">
        <v>77.97</v>
      </c>
      <c r="H135" s="266">
        <f>ROUND(F135*G135,2)</f>
        <v/>
      </c>
    </row>
    <row r="136">
      <c r="A136" s="276" t="n">
        <v>120</v>
      </c>
      <c r="B136" s="379" t="n"/>
      <c r="C136" s="270" t="inlineStr">
        <is>
          <t>20.1.02.23-0082</t>
        </is>
      </c>
      <c r="D136" s="271" t="inlineStr">
        <is>
          <t>Перемычки гибкие, тип ПГС-50</t>
        </is>
      </c>
      <c r="E136" s="407" t="inlineStr">
        <is>
          <t>10 шт</t>
        </is>
      </c>
      <c r="F136" s="407" t="n">
        <v>0.17</v>
      </c>
      <c r="G136" s="266" t="n">
        <v>39</v>
      </c>
      <c r="H136" s="266">
        <f>ROUND(F136*G136,2)</f>
        <v/>
      </c>
    </row>
    <row r="137">
      <c r="A137" s="276" t="n">
        <v>121</v>
      </c>
      <c r="B137" s="379" t="n"/>
      <c r="C137" s="270" t="inlineStr">
        <is>
          <t>20.2.02.02-0011</t>
        </is>
      </c>
      <c r="D137" s="271" t="inlineStr">
        <is>
          <t>Заглушки</t>
        </is>
      </c>
      <c r="E137" s="407" t="inlineStr">
        <is>
          <t>10 шт</t>
        </is>
      </c>
      <c r="F137" s="407" t="n">
        <v>0.33</v>
      </c>
      <c r="G137" s="266" t="n">
        <v>19.9</v>
      </c>
      <c r="H137" s="266">
        <f>ROUND(F137*G137,2)</f>
        <v/>
      </c>
    </row>
    <row r="138">
      <c r="A138" s="276" t="n">
        <v>122</v>
      </c>
      <c r="B138" s="379" t="n"/>
      <c r="C138" s="270" t="inlineStr">
        <is>
          <t>01.3.02.08-0001</t>
        </is>
      </c>
      <c r="D138" s="271" t="inlineStr">
        <is>
          <t>Кислород газообразный технический</t>
        </is>
      </c>
      <c r="E138" s="407" t="inlineStr">
        <is>
          <t>м3</t>
        </is>
      </c>
      <c r="F138" s="407" t="n">
        <v>0.97</v>
      </c>
      <c r="G138" s="266" t="n">
        <v>6.22</v>
      </c>
      <c r="H138" s="266">
        <f>ROUND(F138*G138,2)</f>
        <v/>
      </c>
    </row>
    <row r="139" customFormat="1" s="237">
      <c r="A139" s="276" t="n">
        <v>123</v>
      </c>
      <c r="B139" s="379" t="n"/>
      <c r="C139" s="270" t="inlineStr">
        <is>
          <t>04.3.01.09-0016</t>
        </is>
      </c>
      <c r="D139" s="271" t="inlineStr">
        <is>
          <t>Раствор готовый кладочный, цементный, М200</t>
        </is>
      </c>
      <c r="E139" s="407" t="inlineStr">
        <is>
          <t>м3</t>
        </is>
      </c>
      <c r="F139" s="407" t="n">
        <v>0.01</v>
      </c>
      <c r="G139" s="266" t="n">
        <v>600</v>
      </c>
      <c r="H139" s="266">
        <f>ROUND(F139*G139,2)</f>
        <v/>
      </c>
    </row>
    <row r="140">
      <c r="A140" s="276" t="n">
        <v>124</v>
      </c>
      <c r="B140" s="379" t="n"/>
      <c r="C140" s="270" t="inlineStr">
        <is>
          <t>20.2.02.01-0019</t>
        </is>
      </c>
      <c r="D140" s="271" t="inlineStr">
        <is>
          <t>Втулки изолирующие</t>
        </is>
      </c>
      <c r="E140" s="407" t="inlineStr">
        <is>
          <t>1000 шт</t>
        </is>
      </c>
      <c r="F140" s="407" t="n">
        <v>0.02</v>
      </c>
      <c r="G140" s="266" t="n">
        <v>270</v>
      </c>
      <c r="H140" s="266">
        <f>ROUND(F140*G140,2)</f>
        <v/>
      </c>
    </row>
    <row r="141">
      <c r="A141" s="276" t="n">
        <v>125</v>
      </c>
      <c r="B141" s="379" t="n"/>
      <c r="C141" s="270" t="inlineStr">
        <is>
          <t>01.3.02.09-0022</t>
        </is>
      </c>
      <c r="D141" s="271" t="inlineStr">
        <is>
          <t>Пропан-бутан смесь техническая</t>
        </is>
      </c>
      <c r="E141" s="407" t="inlineStr">
        <is>
          <t>кг</t>
        </is>
      </c>
      <c r="F141" s="407" t="n">
        <v>0.8</v>
      </c>
      <c r="G141" s="266" t="n">
        <v>6.09</v>
      </c>
      <c r="H141" s="266">
        <f>ROUND(F141*G141,2)</f>
        <v/>
      </c>
      <c r="K141" s="279" t="n"/>
    </row>
    <row r="142" ht="26.45" customHeight="1" s="338">
      <c r="A142" s="276" t="n">
        <v>126</v>
      </c>
      <c r="B142" s="379" t="n"/>
      <c r="C142" s="270" t="inlineStr">
        <is>
          <t>03.2.01.01-0003</t>
        </is>
      </c>
      <c r="D142" s="271" t="inlineStr">
        <is>
          <t>Портландцемент общестроительного назначения бездобавочный М500 Д0 (ЦЕМ I 42,5Н)</t>
        </is>
      </c>
      <c r="E142" s="407" t="inlineStr">
        <is>
          <t>т</t>
        </is>
      </c>
      <c r="F142" s="407" t="n">
        <v>0.01</v>
      </c>
      <c r="G142" s="266" t="n">
        <v>480</v>
      </c>
      <c r="H142" s="266">
        <f>ROUND(F142*G142,2)</f>
        <v/>
      </c>
      <c r="K142" s="279" t="n"/>
    </row>
    <row r="143">
      <c r="A143" s="276" t="n">
        <v>127</v>
      </c>
      <c r="B143" s="379" t="n"/>
      <c r="C143" s="270" t="inlineStr">
        <is>
          <t>01.7.15.07-0031</t>
        </is>
      </c>
      <c r="D143" s="271" t="inlineStr">
        <is>
          <t>Дюбели распорные с гайкой</t>
        </is>
      </c>
      <c r="E143" s="407" t="inlineStr">
        <is>
          <t>100 шт</t>
        </is>
      </c>
      <c r="F143" s="407" t="n">
        <v>0.04</v>
      </c>
      <c r="G143" s="266" t="n">
        <v>110</v>
      </c>
      <c r="H143" s="266">
        <f>ROUND(F143*G143,2)</f>
        <v/>
      </c>
      <c r="K143" s="279" t="n"/>
    </row>
    <row r="144" ht="52.9" customHeight="1" s="338">
      <c r="A144" s="276" t="n">
        <v>128</v>
      </c>
      <c r="B144" s="379" t="n"/>
      <c r="C144" s="270" t="inlineStr">
        <is>
          <t>08.2.02.11-0007</t>
        </is>
      </c>
      <c r="D144" s="271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407" t="inlineStr">
        <is>
          <t>10 м</t>
        </is>
      </c>
      <c r="F144" s="407" t="n">
        <v>0.08</v>
      </c>
      <c r="G144" s="266" t="n">
        <v>50.24</v>
      </c>
      <c r="H144" s="266">
        <f>ROUND(F144*G144,2)</f>
        <v/>
      </c>
    </row>
    <row r="145">
      <c r="A145" s="276" t="n">
        <v>129</v>
      </c>
      <c r="B145" s="379" t="n"/>
      <c r="C145" s="270" t="inlineStr">
        <is>
          <t>02.2.05.04-1777</t>
        </is>
      </c>
      <c r="D145" s="271" t="inlineStr">
        <is>
          <t>Щебень М 800, фракция 20-40 мм, группа 2</t>
        </is>
      </c>
      <c r="E145" s="407" t="inlineStr">
        <is>
          <t>м3</t>
        </is>
      </c>
      <c r="F145" s="407" t="n">
        <v>0.01</v>
      </c>
      <c r="G145" s="266" t="n">
        <v>108.4</v>
      </c>
      <c r="H145" s="266">
        <f>ROUND(F145*G145,2)</f>
        <v/>
      </c>
    </row>
    <row r="146">
      <c r="A146" s="276" t="n">
        <v>130</v>
      </c>
      <c r="B146" s="379" t="n"/>
      <c r="C146" s="270" t="inlineStr">
        <is>
          <t>02.3.01.02-1012</t>
        </is>
      </c>
      <c r="D146" s="271" t="inlineStr">
        <is>
          <t>Песок природный II класс, средний, круглые сита</t>
        </is>
      </c>
      <c r="E146" s="407" t="inlineStr">
        <is>
          <t>м3</t>
        </is>
      </c>
      <c r="F146" s="407" t="n">
        <v>0.01</v>
      </c>
      <c r="G146" s="266" t="n">
        <v>59.99</v>
      </c>
      <c r="H146" s="266">
        <f>ROUND(F146*G146,2)</f>
        <v/>
      </c>
    </row>
    <row r="147" ht="39.6" customHeight="1" s="338">
      <c r="A147" s="276" t="n">
        <v>131</v>
      </c>
      <c r="B147" s="379" t="n"/>
      <c r="C147" s="270" t="inlineStr">
        <is>
          <t>01.7.15.14-0043</t>
        </is>
      </c>
      <c r="D147" s="271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407" t="inlineStr">
        <is>
          <t>100 шт</t>
        </is>
      </c>
      <c r="F147" s="407" t="n">
        <v>0.29</v>
      </c>
      <c r="G147" s="266" t="n">
        <v>2</v>
      </c>
      <c r="H147" s="266">
        <f>ROUND(F147*G147,2)</f>
        <v/>
      </c>
    </row>
    <row r="150">
      <c r="B150" s="340" t="inlineStr">
        <is>
          <t>Составил ______________________     Е. М. Добровольская</t>
        </is>
      </c>
    </row>
    <row r="151">
      <c r="B151" s="225" t="inlineStr">
        <is>
          <t xml:space="preserve">                         (подпись, инициалы, фамилия)</t>
        </is>
      </c>
    </row>
    <row r="153">
      <c r="B153" s="340" t="inlineStr">
        <is>
          <t>Проверил ______________________        А.В. Костянецкая</t>
        </is>
      </c>
    </row>
    <row r="154">
      <c r="B154" s="225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B44" sqref="B44"/>
    </sheetView>
  </sheetViews>
  <sheetFormatPr baseColWidth="8" defaultColWidth="9.140625" defaultRowHeight="15"/>
  <cols>
    <col width="4.140625" customWidth="1" style="338" min="1" max="1"/>
    <col width="36.28515625" customWidth="1" style="338" min="2" max="2"/>
    <col width="18.85546875" customWidth="1" style="338" min="3" max="3"/>
    <col width="18.28515625" customWidth="1" style="338" min="4" max="4"/>
    <col width="18.85546875" customWidth="1" style="338" min="5" max="5"/>
    <col width="9.140625" customWidth="1" style="338" min="6" max="6"/>
    <col width="13.42578125" customWidth="1" style="338" min="7" max="7"/>
    <col width="9.140625" customWidth="1" style="338" min="8" max="11"/>
    <col width="13.5703125" customWidth="1" style="338" min="12" max="12"/>
    <col width="9.140625" customWidth="1" style="338" min="13" max="13"/>
  </cols>
  <sheetData>
    <row r="1">
      <c r="B1" s="333" t="n"/>
      <c r="C1" s="333" t="n"/>
      <c r="D1" s="333" t="n"/>
      <c r="E1" s="333" t="n"/>
    </row>
    <row r="2">
      <c r="B2" s="333" t="n"/>
      <c r="C2" s="333" t="n"/>
      <c r="D2" s="333" t="n"/>
      <c r="E2" s="402" t="inlineStr">
        <is>
          <t>Приложение № 4</t>
        </is>
      </c>
    </row>
    <row r="3">
      <c r="B3" s="333" t="n"/>
      <c r="C3" s="333" t="n"/>
      <c r="D3" s="333" t="n"/>
      <c r="E3" s="333" t="n"/>
    </row>
    <row r="4">
      <c r="B4" s="333" t="n"/>
      <c r="C4" s="333" t="n"/>
      <c r="D4" s="333" t="n"/>
      <c r="E4" s="333" t="n"/>
    </row>
    <row r="5">
      <c r="B5" s="355" t="inlineStr">
        <is>
          <t>Ресурсная модель</t>
        </is>
      </c>
    </row>
    <row r="6">
      <c r="B6" s="255" t="n"/>
      <c r="C6" s="333" t="n"/>
      <c r="D6" s="333" t="n"/>
      <c r="E6" s="333" t="n"/>
    </row>
    <row r="7" ht="25.5" customHeight="1" s="338">
      <c r="B7" s="368" t="inlineStr">
        <is>
          <t>Наименование разрабатываемого показателя УНЦ — Ячейка реактора ДГР 35 кВ, мощность 360 кВА</t>
        </is>
      </c>
    </row>
    <row r="8">
      <c r="B8" s="383" t="inlineStr">
        <is>
          <t>Единица измерения  — 1 ячейка</t>
        </is>
      </c>
    </row>
    <row r="9">
      <c r="B9" s="255" t="n"/>
      <c r="C9" s="333" t="n"/>
      <c r="D9" s="333" t="n"/>
      <c r="E9" s="333" t="n"/>
    </row>
    <row r="10" ht="52.9" customHeight="1" s="338">
      <c r="B10" s="387" t="inlineStr">
        <is>
          <t>Наименование</t>
        </is>
      </c>
      <c r="C10" s="387" t="inlineStr">
        <is>
          <t>Сметная стоимость в ценах на 01.01.2023
 (руб.)</t>
        </is>
      </c>
      <c r="D10" s="387" t="inlineStr">
        <is>
          <t>Удельный вес, 
(в СМР)</t>
        </is>
      </c>
      <c r="E10" s="387" t="inlineStr">
        <is>
          <t>Удельный вес, % 
(от всего по РМ)</t>
        </is>
      </c>
    </row>
    <row r="11">
      <c r="B11" s="305" t="inlineStr">
        <is>
          <t>Оплата труда рабочих</t>
        </is>
      </c>
      <c r="C11" s="328">
        <f>'Прил.5 Расчет СМР и ОБ'!J14</f>
        <v/>
      </c>
      <c r="D11" s="249">
        <f>C11/$C$24</f>
        <v/>
      </c>
      <c r="E11" s="249">
        <f>C11/$C$40</f>
        <v/>
      </c>
    </row>
    <row r="12">
      <c r="B12" s="305" t="inlineStr">
        <is>
          <t>Эксплуатация машин основных</t>
        </is>
      </c>
      <c r="C12" s="328">
        <f>'Прил.5 Расчет СМР и ОБ'!J26</f>
        <v/>
      </c>
      <c r="D12" s="249">
        <f>C12/$C$24</f>
        <v/>
      </c>
      <c r="E12" s="249">
        <f>C12/$C$40</f>
        <v/>
      </c>
    </row>
    <row r="13">
      <c r="B13" s="305" t="inlineStr">
        <is>
          <t>Эксплуатация машин прочих</t>
        </is>
      </c>
      <c r="C13" s="328">
        <f>'Прил.5 Расчет СМР и ОБ'!J52</f>
        <v/>
      </c>
      <c r="D13" s="249">
        <f>C13/$C$24</f>
        <v/>
      </c>
      <c r="E13" s="249">
        <f>C13/$C$40</f>
        <v/>
      </c>
    </row>
    <row r="14">
      <c r="B14" s="305" t="inlineStr">
        <is>
          <t>ЭКСПЛУАТАЦИЯ МАШИН, ВСЕГО:</t>
        </is>
      </c>
      <c r="C14" s="328">
        <f>C13+C12</f>
        <v/>
      </c>
      <c r="D14" s="249">
        <f>C14/$C$24</f>
        <v/>
      </c>
      <c r="E14" s="249">
        <f>C14/$C$40</f>
        <v/>
      </c>
    </row>
    <row r="15">
      <c r="B15" s="305" t="inlineStr">
        <is>
          <t>в том числе зарплата машинистов</t>
        </is>
      </c>
      <c r="C15" s="328">
        <f>'Прил.5 Расчет СМР и ОБ'!J16</f>
        <v/>
      </c>
      <c r="D15" s="249">
        <f>C15/$C$24</f>
        <v/>
      </c>
      <c r="E15" s="249">
        <f>C15/$C$40</f>
        <v/>
      </c>
    </row>
    <row r="16">
      <c r="B16" s="305" t="inlineStr">
        <is>
          <t>Материалы основные</t>
        </is>
      </c>
      <c r="C16" s="328">
        <f>'Прил.5 Расчет СМР и ОБ'!J81</f>
        <v/>
      </c>
      <c r="D16" s="249">
        <f>C16/$C$24</f>
        <v/>
      </c>
      <c r="E16" s="249">
        <f>C16/$C$40</f>
        <v/>
      </c>
    </row>
    <row r="17">
      <c r="B17" s="305" t="inlineStr">
        <is>
          <t>Материалы прочие</t>
        </is>
      </c>
      <c r="C17" s="328">
        <f>'Прил.5 Расчет СМР и ОБ'!J148</f>
        <v/>
      </c>
      <c r="D17" s="249">
        <f>C17/$C$24</f>
        <v/>
      </c>
      <c r="E17" s="249">
        <f>C17/$C$40</f>
        <v/>
      </c>
      <c r="G17" s="474" t="n"/>
    </row>
    <row r="18">
      <c r="B18" s="305" t="inlineStr">
        <is>
          <t>МАТЕРИАЛЫ, ВСЕГО:</t>
        </is>
      </c>
      <c r="C18" s="328">
        <f>C17+C16</f>
        <v/>
      </c>
      <c r="D18" s="249">
        <f>C18/$C$24</f>
        <v/>
      </c>
      <c r="E18" s="249">
        <f>C18/$C$40</f>
        <v/>
      </c>
    </row>
    <row r="19">
      <c r="B19" s="305" t="inlineStr">
        <is>
          <t>ИТОГО</t>
        </is>
      </c>
      <c r="C19" s="328">
        <f>C18+C14+C11</f>
        <v/>
      </c>
      <c r="D19" s="249" t="n"/>
      <c r="E19" s="305" t="n"/>
    </row>
    <row r="20">
      <c r="B20" s="305" t="inlineStr">
        <is>
          <t>Сметная прибыль, руб.</t>
        </is>
      </c>
      <c r="C20" s="328">
        <f>ROUND(C21*(C11+C15),2)</f>
        <v/>
      </c>
      <c r="D20" s="249">
        <f>C20/$C$24</f>
        <v/>
      </c>
      <c r="E20" s="249">
        <f>C20/$C$40</f>
        <v/>
      </c>
    </row>
    <row r="21">
      <c r="B21" s="305" t="inlineStr">
        <is>
          <t>Сметная прибыль, %</t>
        </is>
      </c>
      <c r="C21" s="252">
        <f>'Прил.5 Расчет СМР и ОБ'!D152</f>
        <v/>
      </c>
      <c r="D21" s="249" t="n"/>
      <c r="E21" s="305" t="n"/>
    </row>
    <row r="22">
      <c r="B22" s="305" t="inlineStr">
        <is>
          <t>Накладные расходы, руб.</t>
        </is>
      </c>
      <c r="C22" s="328">
        <f>ROUND(C23*(C11+C15),2)</f>
        <v/>
      </c>
      <c r="D22" s="249">
        <f>C22/$C$24</f>
        <v/>
      </c>
      <c r="E22" s="249">
        <f>C22/$C$40</f>
        <v/>
      </c>
    </row>
    <row r="23">
      <c r="B23" s="305" t="inlineStr">
        <is>
          <t>Накладные расходы, %</t>
        </is>
      </c>
      <c r="C23" s="252">
        <f>'Прил.5 Расчет СМР и ОБ'!D151</f>
        <v/>
      </c>
      <c r="D23" s="249" t="n"/>
      <c r="E23" s="305" t="n"/>
    </row>
    <row r="24">
      <c r="B24" s="305" t="inlineStr">
        <is>
          <t>ВСЕГО СМР с НР и СП</t>
        </is>
      </c>
      <c r="C24" s="328">
        <f>'Прил.5 Расчет СМР и ОБ'!J153</f>
        <v/>
      </c>
      <c r="D24" s="249">
        <f>C24/$C$24</f>
        <v/>
      </c>
      <c r="E24" s="249">
        <f>C24/$C$40</f>
        <v/>
      </c>
    </row>
    <row r="25" ht="26.45" customHeight="1" s="338">
      <c r="B25" s="305" t="inlineStr">
        <is>
          <t>ВСЕГО стоимость оборудования, в том числе</t>
        </is>
      </c>
      <c r="C25" s="328">
        <f>'Прил.5 Расчет СМР и ОБ'!J61</f>
        <v/>
      </c>
      <c r="D25" s="249" t="n"/>
      <c r="E25" s="249">
        <f>C25/$C$40</f>
        <v/>
      </c>
    </row>
    <row r="26" ht="26.45" customHeight="1" s="338">
      <c r="B26" s="305" t="inlineStr">
        <is>
          <t>стоимость оборудования технологического</t>
        </is>
      </c>
      <c r="C26" s="328">
        <f>'Прил.5 Расчет СМР и ОБ'!J62</f>
        <v/>
      </c>
      <c r="D26" s="249" t="n"/>
      <c r="E26" s="249">
        <f>C26/$C$40</f>
        <v/>
      </c>
    </row>
    <row r="27">
      <c r="B27" s="305" t="inlineStr">
        <is>
          <t>ИТОГО (СМР + ОБОРУДОВАНИЕ)</t>
        </is>
      </c>
      <c r="C27" s="306">
        <f>C24+C25</f>
        <v/>
      </c>
      <c r="D27" s="249" t="n"/>
      <c r="E27" s="249">
        <f>C27/$C$40</f>
        <v/>
      </c>
      <c r="G27" s="250" t="n"/>
    </row>
    <row r="28" ht="33" customHeight="1" s="338">
      <c r="B28" s="305" t="inlineStr">
        <is>
          <t>ПРОЧ. ЗАТР., УЧТЕННЫЕ ПОКАЗАТЕЛЕМ,  в том числе</t>
        </is>
      </c>
      <c r="C28" s="305" t="n"/>
      <c r="D28" s="305" t="n"/>
      <c r="E28" s="305" t="n"/>
    </row>
    <row r="29" ht="26.45" customHeight="1" s="338">
      <c r="B29" s="305" t="inlineStr">
        <is>
          <t>Временные здания и сооружения - 3,9%</t>
        </is>
      </c>
      <c r="C29" s="306">
        <f>ROUND(C24*3.9%,2)</f>
        <v/>
      </c>
      <c r="D29" s="305" t="n"/>
      <c r="E29" s="249">
        <f>C29/$C$40</f>
        <v/>
      </c>
    </row>
    <row r="30" ht="39.6" customHeight="1" s="338">
      <c r="B30" s="305" t="inlineStr">
        <is>
          <t>Дополнительные затраты при производстве строительно-монтажных работ в зимнее время - 2,1%</t>
        </is>
      </c>
      <c r="C30" s="306">
        <f>ROUND((C24+C29)*2.1%,2)</f>
        <v/>
      </c>
      <c r="D30" s="305" t="n"/>
      <c r="E30" s="249">
        <f>C30/$C$40</f>
        <v/>
      </c>
    </row>
    <row r="31">
      <c r="B31" s="305" t="inlineStr">
        <is>
          <t>Пусконаладочные работы</t>
        </is>
      </c>
      <c r="C31" s="306">
        <f>78361.06*2</f>
        <v/>
      </c>
      <c r="D31" s="305" t="n"/>
      <c r="E31" s="249">
        <f>C31/$C$40</f>
        <v/>
      </c>
    </row>
    <row r="32" ht="26.45" customHeight="1" s="338">
      <c r="B32" s="305" t="inlineStr">
        <is>
          <t>Затраты по перевозке работников к месту работы и обратно</t>
        </is>
      </c>
      <c r="C32" s="306" t="n">
        <v>0</v>
      </c>
      <c r="D32" s="305" t="n"/>
      <c r="E32" s="249">
        <f>C32/$C$40</f>
        <v/>
      </c>
    </row>
    <row r="33" ht="39.6" customHeight="1" s="338">
      <c r="B33" s="305" t="inlineStr">
        <is>
          <t>Затраты, связанные с осуществлением работ вахтовым методом</t>
        </is>
      </c>
      <c r="C33" s="306">
        <f>ROUND(C27*0%,2)</f>
        <v/>
      </c>
      <c r="D33" s="305" t="n"/>
      <c r="E33" s="249">
        <f>C33/$C$40</f>
        <v/>
      </c>
    </row>
    <row r="34" ht="52.9" customHeight="1" s="338">
      <c r="B34" s="30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06" t="n">
        <v>0</v>
      </c>
      <c r="D34" s="305" t="n"/>
      <c r="E34" s="249">
        <f>C34/$C$40</f>
        <v/>
      </c>
    </row>
    <row r="35" ht="79.15000000000001" customHeight="1" s="338">
      <c r="B35" s="30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06">
        <f>ROUND(C27*0%,2)</f>
        <v/>
      </c>
      <c r="D35" s="305" t="n"/>
      <c r="E35" s="249">
        <f>C35/$C$40</f>
        <v/>
      </c>
    </row>
    <row r="36" ht="26.45" customHeight="1" s="338">
      <c r="B36" s="305" t="inlineStr">
        <is>
          <t>Строительный контроль и содержание службы заказчика - 2,14%</t>
        </is>
      </c>
      <c r="C36" s="306">
        <f>ROUND((C27+C32+C33+C34+C35+C29+C31+C30)*2.14%,2)</f>
        <v/>
      </c>
      <c r="D36" s="305" t="n"/>
      <c r="E36" s="249">
        <f>C36/$C$40</f>
        <v/>
      </c>
      <c r="G36" s="308" t="n"/>
      <c r="L36" s="250" t="n"/>
    </row>
    <row r="37">
      <c r="B37" s="305" t="inlineStr">
        <is>
          <t>Авторский надзор - 0,2%</t>
        </is>
      </c>
      <c r="C37" s="306">
        <f>ROUND((C27+C32+C33+C34+C35+C29+C31+C30)*0.2%,2)</f>
        <v/>
      </c>
      <c r="D37" s="305" t="n"/>
      <c r="E37" s="249">
        <f>C37/$C$40</f>
        <v/>
      </c>
      <c r="G37" s="309" t="n"/>
      <c r="L37" s="250" t="n"/>
    </row>
    <row r="38" ht="26.45" customHeight="1" s="338">
      <c r="B38" s="305" t="inlineStr">
        <is>
          <t>ИТОГО (СМР+ОБОРУДОВАНИЕ+ПРОЧ. ЗАТР., УЧТЕННЫЕ ПОКАЗАТЕЛЕМ)</t>
        </is>
      </c>
      <c r="C38" s="328">
        <f>C27+C32+C33+C34+C35+C29+C31+C30+C36+C37</f>
        <v/>
      </c>
      <c r="D38" s="305" t="n"/>
      <c r="E38" s="249">
        <f>C38/$C$40</f>
        <v/>
      </c>
    </row>
    <row r="39" ht="13.7" customHeight="1" s="338">
      <c r="B39" s="305" t="inlineStr">
        <is>
          <t>Непредвиденные расходы</t>
        </is>
      </c>
      <c r="C39" s="328">
        <f>ROUND(C38*3%,2)</f>
        <v/>
      </c>
      <c r="D39" s="305" t="n"/>
      <c r="E39" s="249">
        <f>C39/$C$38</f>
        <v/>
      </c>
    </row>
    <row r="40">
      <c r="B40" s="305" t="inlineStr">
        <is>
          <t>ВСЕГО:</t>
        </is>
      </c>
      <c r="C40" s="328">
        <f>C39+C38</f>
        <v/>
      </c>
      <c r="D40" s="305" t="n"/>
      <c r="E40" s="249">
        <f>C40/$C$40</f>
        <v/>
      </c>
    </row>
    <row r="41">
      <c r="B41" s="305" t="inlineStr">
        <is>
          <t>ИТОГО ПОКАЗАТЕЛЬ НА ЕД. ИЗМ.</t>
        </is>
      </c>
      <c r="C41" s="328">
        <f>C40/'Прил.5 Расчет СМР и ОБ'!E155</f>
        <v/>
      </c>
      <c r="D41" s="305" t="n"/>
      <c r="E41" s="305" t="n"/>
    </row>
    <row r="42">
      <c r="B42" s="326" t="n"/>
      <c r="C42" s="333" t="n"/>
      <c r="D42" s="333" t="n"/>
      <c r="E42" s="333" t="n"/>
    </row>
    <row r="43">
      <c r="B43" s="326" t="inlineStr">
        <is>
          <t>Составил ____________________________  Е. М. Добровольская</t>
        </is>
      </c>
      <c r="C43" s="333" t="n"/>
      <c r="D43" s="333" t="n"/>
      <c r="E43" s="333" t="n"/>
    </row>
    <row r="44">
      <c r="B44" s="326" t="inlineStr">
        <is>
          <t xml:space="preserve">(должность, подпись, инициалы, фамилия) </t>
        </is>
      </c>
      <c r="C44" s="333" t="n"/>
      <c r="D44" s="333" t="n"/>
      <c r="E44" s="333" t="n"/>
    </row>
    <row r="45">
      <c r="B45" s="326" t="n"/>
      <c r="C45" s="333" t="n"/>
      <c r="D45" s="333" t="n"/>
      <c r="E45" s="333" t="n"/>
    </row>
    <row r="46">
      <c r="B46" s="326" t="inlineStr">
        <is>
          <t>Проверил ____________________________ А.В. Костянецкая</t>
        </is>
      </c>
      <c r="C46" s="333" t="n"/>
      <c r="D46" s="333" t="n"/>
      <c r="E46" s="333" t="n"/>
    </row>
    <row r="47">
      <c r="B47" s="383" t="inlineStr">
        <is>
          <t>(должность, подпись, инициалы, фамилия)</t>
        </is>
      </c>
      <c r="D47" s="333" t="n"/>
      <c r="E47" s="333" t="n"/>
    </row>
    <row r="49">
      <c r="B49" s="333" t="n"/>
      <c r="C49" s="333" t="n"/>
      <c r="D49" s="333" t="n"/>
      <c r="E49" s="333" t="n"/>
    </row>
    <row r="50">
      <c r="B50" s="333" t="n"/>
      <c r="C50" s="333" t="n"/>
      <c r="D50" s="333" t="n"/>
      <c r="E50" s="33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145" zoomScale="70" workbookViewId="0">
      <selection activeCell="C156" sqref="C156"/>
    </sheetView>
  </sheetViews>
  <sheetFormatPr baseColWidth="8" defaultColWidth="9.140625" defaultRowHeight="15" outlineLevelRow="1"/>
  <cols>
    <col width="5.7109375" customWidth="1" style="322" min="1" max="1"/>
    <col width="22.5703125" customWidth="1" style="322" min="2" max="2"/>
    <col width="39.140625" customWidth="1" style="322" min="3" max="3"/>
    <col width="13.5703125" customWidth="1" style="322" min="4" max="4"/>
    <col width="12.7109375" customWidth="1" style="322" min="5" max="5"/>
    <col width="14.5703125" customWidth="1" style="322" min="6" max="6"/>
    <col width="13.42578125" customWidth="1" style="322" min="7" max="7"/>
    <col width="12.7109375" customWidth="1" style="322" min="8" max="8"/>
    <col width="13.85546875" customWidth="1" style="322" min="9" max="9"/>
    <col width="17.5703125" customWidth="1" style="322" min="10" max="10"/>
    <col width="10.85546875" customWidth="1" style="322" min="11" max="11"/>
    <col width="13.85546875" customWidth="1" style="322" min="12" max="12"/>
    <col width="9.140625" customWidth="1" style="338" min="13" max="13"/>
  </cols>
  <sheetData>
    <row r="1" s="338">
      <c r="A1" s="322" t="n"/>
      <c r="B1" s="322" t="n"/>
      <c r="C1" s="322" t="n"/>
      <c r="D1" s="322" t="n"/>
      <c r="E1" s="322" t="n"/>
      <c r="F1" s="322" t="n"/>
      <c r="G1" s="322" t="n"/>
      <c r="H1" s="322" t="n"/>
      <c r="I1" s="322" t="n"/>
      <c r="J1" s="322" t="n"/>
      <c r="K1" s="322" t="n"/>
      <c r="L1" s="322" t="n"/>
      <c r="M1" s="322" t="n"/>
      <c r="N1" s="322" t="n"/>
    </row>
    <row r="2" ht="15.6" customHeight="1" s="338">
      <c r="A2" s="322" t="n"/>
      <c r="B2" s="322" t="n"/>
      <c r="C2" s="322" t="n"/>
      <c r="D2" s="322" t="n"/>
      <c r="E2" s="322" t="n"/>
      <c r="F2" s="322" t="n"/>
      <c r="G2" s="322" t="n"/>
      <c r="H2" s="384" t="inlineStr">
        <is>
          <t>Приложение №5</t>
        </is>
      </c>
      <c r="K2" s="322" t="n"/>
      <c r="L2" s="322" t="n"/>
      <c r="M2" s="322" t="n"/>
      <c r="N2" s="322" t="n"/>
    </row>
    <row r="3" s="338">
      <c r="A3" s="322" t="n"/>
      <c r="B3" s="322" t="n"/>
      <c r="C3" s="322" t="n"/>
      <c r="D3" s="322" t="n"/>
      <c r="E3" s="322" t="n"/>
      <c r="F3" s="322" t="n"/>
      <c r="G3" s="322" t="n"/>
      <c r="H3" s="322" t="n"/>
      <c r="I3" s="322" t="n"/>
      <c r="J3" s="322" t="n"/>
      <c r="K3" s="322" t="n"/>
      <c r="L3" s="322" t="n"/>
      <c r="M3" s="322" t="n"/>
      <c r="N3" s="322" t="n"/>
    </row>
    <row r="4" ht="13.15" customFormat="1" customHeight="1" s="333">
      <c r="A4" s="355" t="inlineStr">
        <is>
          <t>Расчет стоимости СМР и оборудования</t>
        </is>
      </c>
    </row>
    <row r="5" ht="13.15" customFormat="1" customHeight="1" s="333">
      <c r="A5" s="355" t="n"/>
      <c r="B5" s="355" t="n"/>
      <c r="C5" s="409" t="n"/>
      <c r="D5" s="355" t="n"/>
      <c r="E5" s="355" t="n"/>
      <c r="F5" s="355" t="n"/>
      <c r="G5" s="355" t="n"/>
      <c r="H5" s="355" t="n"/>
      <c r="I5" s="355" t="n"/>
      <c r="J5" s="355" t="n"/>
    </row>
    <row r="6" ht="12.75" customFormat="1" customHeight="1" s="333">
      <c r="A6" s="210" t="inlineStr">
        <is>
          <t>Наименование разрабатываемого показателя УНЦ</t>
        </is>
      </c>
      <c r="B6" s="209" t="n"/>
      <c r="C6" s="209" t="n"/>
      <c r="D6" s="358" t="inlineStr">
        <is>
          <t>Ячейка реактора ДГР 35 кВ, мощность 360 кВА</t>
        </is>
      </c>
    </row>
    <row r="7" ht="13.15" customFormat="1" customHeight="1" s="333">
      <c r="A7" s="358" t="inlineStr">
        <is>
          <t>Единица измерения  — 1 ячейка</t>
        </is>
      </c>
      <c r="I7" s="368" t="n"/>
      <c r="J7" s="368" t="n"/>
    </row>
    <row r="8" ht="13.7" customFormat="1" customHeight="1" s="333">
      <c r="A8" s="358" t="n"/>
    </row>
    <row r="9" ht="27" customHeight="1" s="338">
      <c r="A9" s="387" t="inlineStr">
        <is>
          <t>№ пп.</t>
        </is>
      </c>
      <c r="B9" s="387" t="inlineStr">
        <is>
          <t>Код ресурса</t>
        </is>
      </c>
      <c r="C9" s="387" t="inlineStr">
        <is>
          <t>Наименование</t>
        </is>
      </c>
      <c r="D9" s="387" t="inlineStr">
        <is>
          <t>Ед. изм.</t>
        </is>
      </c>
      <c r="E9" s="387" t="inlineStr">
        <is>
          <t>Кол-во единиц по проектным данным</t>
        </is>
      </c>
      <c r="F9" s="387" t="inlineStr">
        <is>
          <t>Сметная стоимость в ценах на 01.01.2000 (руб.)</t>
        </is>
      </c>
      <c r="G9" s="461" t="n"/>
      <c r="H9" s="387" t="inlineStr">
        <is>
          <t>Удельный вес, %</t>
        </is>
      </c>
      <c r="I9" s="387" t="inlineStr">
        <is>
          <t>Сметная стоимость в ценах на 01.01.2023 (руб.)</t>
        </is>
      </c>
      <c r="J9" s="461" t="n"/>
      <c r="K9" s="322" t="n"/>
      <c r="L9" s="322" t="n"/>
      <c r="M9" s="322" t="n"/>
      <c r="N9" s="322" t="n"/>
    </row>
    <row r="10" ht="28.5" customHeight="1" s="338">
      <c r="A10" s="463" t="n"/>
      <c r="B10" s="463" t="n"/>
      <c r="C10" s="463" t="n"/>
      <c r="D10" s="463" t="n"/>
      <c r="E10" s="463" t="n"/>
      <c r="F10" s="387" t="inlineStr">
        <is>
          <t>на ед. изм.</t>
        </is>
      </c>
      <c r="G10" s="387" t="inlineStr">
        <is>
          <t>общая</t>
        </is>
      </c>
      <c r="H10" s="463" t="n"/>
      <c r="I10" s="387" t="inlineStr">
        <is>
          <t>на ед. изм.</t>
        </is>
      </c>
      <c r="J10" s="387" t="inlineStr">
        <is>
          <t>общая</t>
        </is>
      </c>
      <c r="K10" s="322" t="n"/>
      <c r="L10" s="322" t="n"/>
      <c r="M10" s="322" t="n"/>
      <c r="N10" s="322" t="n"/>
    </row>
    <row r="11" s="338">
      <c r="A11" s="387" t="n">
        <v>1</v>
      </c>
      <c r="B11" s="387" t="n">
        <v>2</v>
      </c>
      <c r="C11" s="387" t="n">
        <v>3</v>
      </c>
      <c r="D11" s="387" t="n">
        <v>4</v>
      </c>
      <c r="E11" s="387" t="n">
        <v>5</v>
      </c>
      <c r="F11" s="387" t="n">
        <v>6</v>
      </c>
      <c r="G11" s="387" t="n">
        <v>7</v>
      </c>
      <c r="H11" s="387" t="n">
        <v>8</v>
      </c>
      <c r="I11" s="388" t="n">
        <v>9</v>
      </c>
      <c r="J11" s="388" t="n">
        <v>10</v>
      </c>
      <c r="K11" s="322" t="n"/>
      <c r="L11" s="322" t="n"/>
      <c r="M11" s="322" t="n"/>
      <c r="N11" s="322" t="n"/>
    </row>
    <row r="12">
      <c r="A12" s="387" t="n"/>
      <c r="B12" s="377" t="inlineStr">
        <is>
          <t>Затраты труда рабочих-строителей</t>
        </is>
      </c>
      <c r="C12" s="460" t="n"/>
      <c r="D12" s="460" t="n"/>
      <c r="E12" s="460" t="n"/>
      <c r="F12" s="460" t="n"/>
      <c r="G12" s="460" t="n"/>
      <c r="H12" s="461" t="n"/>
      <c r="I12" s="196" t="n"/>
      <c r="J12" s="196" t="n"/>
    </row>
    <row r="13" ht="26.45" customHeight="1" s="338">
      <c r="A13" s="387" t="n">
        <v>1</v>
      </c>
      <c r="B13" s="310" t="inlineStr">
        <is>
          <t>1-3-4</t>
        </is>
      </c>
      <c r="C13" s="394" t="inlineStr">
        <is>
          <t>Затраты труда рабочих-строителей среднего разряда (3,4)</t>
        </is>
      </c>
      <c r="D13" s="387" t="inlineStr">
        <is>
          <t>чел.-ч.</t>
        </is>
      </c>
      <c r="E13" s="475" t="n">
        <v>1554.9319955407</v>
      </c>
      <c r="F13" s="304" t="n">
        <v>8.970000000000001</v>
      </c>
      <c r="G13" s="304">
        <f>E13*F13</f>
        <v/>
      </c>
      <c r="H13" s="311">
        <f>G13/G14</f>
        <v/>
      </c>
      <c r="I13" s="304">
        <f>ФОТр.тек.!E13</f>
        <v/>
      </c>
      <c r="J13" s="304">
        <f>ROUND(I13*E13,2)</f>
        <v/>
      </c>
    </row>
    <row r="14" ht="26.45" customFormat="1" customHeight="1" s="322">
      <c r="A14" s="387" t="n"/>
      <c r="B14" s="387" t="n"/>
      <c r="C14" s="377" t="inlineStr">
        <is>
          <t>Итого по разделу "Затраты труда рабочих-строителей"</t>
        </is>
      </c>
      <c r="D14" s="387" t="inlineStr">
        <is>
          <t>чел.-ч.</t>
        </is>
      </c>
      <c r="E14" s="475">
        <f>SUM(E13:E13)</f>
        <v/>
      </c>
      <c r="F14" s="304" t="n"/>
      <c r="G14" s="304">
        <f>SUM(G13:G13)</f>
        <v/>
      </c>
      <c r="H14" s="397" t="n">
        <v>1</v>
      </c>
      <c r="I14" s="196" t="n"/>
      <c r="J14" s="304">
        <f>SUM(J13:J13)</f>
        <v/>
      </c>
    </row>
    <row r="15" ht="13.9" customFormat="1" customHeight="1" s="322">
      <c r="A15" s="387" t="n"/>
      <c r="B15" s="394" t="inlineStr">
        <is>
          <t>Затраты труда машинистов</t>
        </is>
      </c>
      <c r="C15" s="460" t="n"/>
      <c r="D15" s="460" t="n"/>
      <c r="E15" s="460" t="n"/>
      <c r="F15" s="460" t="n"/>
      <c r="G15" s="460" t="n"/>
      <c r="H15" s="461" t="n"/>
      <c r="I15" s="196" t="n"/>
      <c r="J15" s="196" t="n"/>
    </row>
    <row r="16" ht="13.9" customFormat="1" customHeight="1" s="322">
      <c r="A16" s="387" t="n">
        <v>2</v>
      </c>
      <c r="B16" s="387" t="n">
        <v>2</v>
      </c>
      <c r="C16" s="394" t="inlineStr">
        <is>
          <t>Затраты труда машинистов</t>
        </is>
      </c>
      <c r="D16" s="387" t="inlineStr">
        <is>
          <t>чел.-ч.</t>
        </is>
      </c>
      <c r="E16" s="475" t="n">
        <v>1873.03</v>
      </c>
      <c r="F16" s="304">
        <f>G16/E16</f>
        <v/>
      </c>
      <c r="G16" s="304" t="n">
        <v>3898.55</v>
      </c>
      <c r="H16" s="397" t="n">
        <v>1</v>
      </c>
      <c r="I16" s="304">
        <f>ROUND(F16*'Прил. 10'!D11,2)</f>
        <v/>
      </c>
      <c r="J16" s="304">
        <f>ROUND(I16*E16,2)</f>
        <v/>
      </c>
    </row>
    <row r="17" ht="13.9" customFormat="1" customHeight="1" s="322">
      <c r="A17" s="387" t="n"/>
      <c r="B17" s="377" t="inlineStr">
        <is>
          <t>Машины и механизмы</t>
        </is>
      </c>
      <c r="C17" s="460" t="n"/>
      <c r="D17" s="460" t="n"/>
      <c r="E17" s="460" t="n"/>
      <c r="F17" s="460" t="n"/>
      <c r="G17" s="460" t="n"/>
      <c r="H17" s="461" t="n"/>
      <c r="I17" s="196" t="n"/>
      <c r="J17" s="196" t="n"/>
    </row>
    <row r="18" ht="13.9" customFormat="1" customHeight="1" s="322">
      <c r="A18" s="387" t="n"/>
      <c r="B18" s="394" t="inlineStr">
        <is>
          <t>Основные машины и механизмы</t>
        </is>
      </c>
      <c r="C18" s="460" t="n"/>
      <c r="D18" s="460" t="n"/>
      <c r="E18" s="460" t="n"/>
      <c r="F18" s="460" t="n"/>
      <c r="G18" s="460" t="n"/>
      <c r="H18" s="461" t="n"/>
      <c r="I18" s="196" t="n"/>
      <c r="J18" s="196" t="n"/>
    </row>
    <row r="19" ht="26.45" customFormat="1" customHeight="1" s="322">
      <c r="A19" s="387" t="n">
        <v>3</v>
      </c>
      <c r="B19" s="310" t="inlineStr">
        <is>
          <t>91.14.03-002</t>
        </is>
      </c>
      <c r="C19" s="394" t="inlineStr">
        <is>
          <t>Автомобили-самосвалы, грузоподъемность до 10 т</t>
        </is>
      </c>
      <c r="D19" s="387" t="inlineStr">
        <is>
          <t>маш.-ч</t>
        </is>
      </c>
      <c r="E19" s="475" t="n">
        <v>134.05</v>
      </c>
      <c r="F19" s="396" t="n">
        <v>87.48999999999999</v>
      </c>
      <c r="G19" s="304">
        <f>ROUND(E19*F19,2)</f>
        <v/>
      </c>
      <c r="H19" s="311">
        <f>G19/$G$53</f>
        <v/>
      </c>
      <c r="I19" s="304">
        <f>ROUND(F19*'Прил. 10'!$D$12,2)</f>
        <v/>
      </c>
      <c r="J19" s="304">
        <f>ROUND(I19*E19,2)</f>
        <v/>
      </c>
    </row>
    <row r="20" ht="39.6" customFormat="1" customHeight="1" s="322">
      <c r="A20" s="387" t="n">
        <v>4</v>
      </c>
      <c r="B20" s="310" t="inlineStr">
        <is>
          <t>91.18.01-004</t>
        </is>
      </c>
      <c r="C20" s="394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387" t="inlineStr">
        <is>
          <t>маш.-ч</t>
        </is>
      </c>
      <c r="E20" s="475" t="n">
        <v>101.9</v>
      </c>
      <c r="F20" s="396" t="n">
        <v>91.63</v>
      </c>
      <c r="G20" s="304">
        <f>ROUND(E20*F20,2)</f>
        <v/>
      </c>
      <c r="H20" s="311">
        <f>G20/$G$53</f>
        <v/>
      </c>
      <c r="I20" s="304">
        <f>ROUND(F20*'Прил. 10'!$D$12,2)</f>
        <v/>
      </c>
      <c r="J20" s="304">
        <f>ROUND(I20*E20,2)</f>
        <v/>
      </c>
    </row>
    <row r="21" ht="30.2" customFormat="1" customHeight="1" s="322">
      <c r="A21" s="387" t="n">
        <v>5</v>
      </c>
      <c r="B21" s="310" t="inlineStr">
        <is>
          <t>91.21.03-011</t>
        </is>
      </c>
      <c r="C21" s="394" t="inlineStr">
        <is>
          <t>Аппараты дробеструйные</t>
        </is>
      </c>
      <c r="D21" s="387" t="inlineStr">
        <is>
          <t>маш.-ч</t>
        </is>
      </c>
      <c r="E21" s="475" t="n">
        <v>215.058</v>
      </c>
      <c r="F21" s="396" t="n">
        <v>28.73</v>
      </c>
      <c r="G21" s="304">
        <f>ROUND(E21*F21,2)</f>
        <v/>
      </c>
      <c r="H21" s="311">
        <f>G21/$G$53</f>
        <v/>
      </c>
      <c r="I21" s="304">
        <f>ROUND(F21*'Прил. 10'!$D$12,2)</f>
        <v/>
      </c>
      <c r="J21" s="304">
        <f>ROUND(I21*E21,2)</f>
        <v/>
      </c>
    </row>
    <row r="22" ht="52.9" customFormat="1" customHeight="1" s="322">
      <c r="A22" s="387" t="n">
        <v>6</v>
      </c>
      <c r="B22" s="310" t="inlineStr">
        <is>
          <t>91.18.01-007</t>
        </is>
      </c>
      <c r="C22" s="394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387" t="inlineStr">
        <is>
          <t>маш.-ч</t>
        </is>
      </c>
      <c r="E22" s="475" t="n">
        <v>22.933</v>
      </c>
      <c r="F22" s="396" t="n">
        <v>90</v>
      </c>
      <c r="G22" s="304">
        <f>ROUND(E22*F22,2)</f>
        <v/>
      </c>
      <c r="H22" s="311">
        <f>G22/$G$53</f>
        <v/>
      </c>
      <c r="I22" s="304">
        <f>ROUND(F22*'Прил. 10'!$D$12,2)</f>
        <v/>
      </c>
      <c r="J22" s="304">
        <f>ROUND(I22*E22,2)</f>
        <v/>
      </c>
    </row>
    <row r="23" ht="26.45" customFormat="1" customHeight="1" s="322">
      <c r="A23" s="387" t="n">
        <v>7</v>
      </c>
      <c r="B23" s="310" t="inlineStr">
        <is>
          <t>91.06.09-001</t>
        </is>
      </c>
      <c r="C23" s="394" t="inlineStr">
        <is>
          <t>Вышки телескопические 25 м</t>
        </is>
      </c>
      <c r="D23" s="387" t="inlineStr">
        <is>
          <t>маш.-ч</t>
        </is>
      </c>
      <c r="E23" s="475" t="n">
        <v>11.767</v>
      </c>
      <c r="F23" s="396" t="n">
        <v>142.7</v>
      </c>
      <c r="G23" s="304">
        <f>ROUND(E23*F23,2)</f>
        <v/>
      </c>
      <c r="H23" s="311">
        <f>G23/$G$53</f>
        <v/>
      </c>
      <c r="I23" s="304">
        <f>ROUND(F23*'Прил. 10'!$D$12,2)</f>
        <v/>
      </c>
      <c r="J23" s="304">
        <f>ROUND(I23*E23,2)</f>
        <v/>
      </c>
    </row>
    <row r="24" ht="26.45" customFormat="1" customHeight="1" s="322">
      <c r="A24" s="387" t="n">
        <v>8</v>
      </c>
      <c r="B24" s="310" t="inlineStr">
        <is>
          <t>91.05.05-014</t>
        </is>
      </c>
      <c r="C24" s="394" t="inlineStr">
        <is>
          <t>Краны на автомобильном ходу, грузоподъемность 10 т</t>
        </is>
      </c>
      <c r="D24" s="387" t="inlineStr">
        <is>
          <t>маш.-ч</t>
        </is>
      </c>
      <c r="E24" s="475" t="n">
        <v>12.713</v>
      </c>
      <c r="F24" s="396" t="n">
        <v>111.99</v>
      </c>
      <c r="G24" s="304">
        <f>ROUND(E24*F24,2)</f>
        <v/>
      </c>
      <c r="H24" s="311">
        <f>G24/$G$53</f>
        <v/>
      </c>
      <c r="I24" s="304">
        <f>ROUND(F24*'Прил. 10'!$D$12,2)</f>
        <v/>
      </c>
      <c r="J24" s="304">
        <f>ROUND(I24*E24,2)</f>
        <v/>
      </c>
    </row>
    <row r="25" ht="26.45" customFormat="1" customHeight="1" s="322">
      <c r="A25" s="387" t="n">
        <v>9</v>
      </c>
      <c r="B25" s="310" t="inlineStr">
        <is>
          <t>91.01.05-085</t>
        </is>
      </c>
      <c r="C25" s="394" t="inlineStr">
        <is>
          <t>Экскаваторы одноковшовые дизельные на гусеничном ходу, емкость ковша 0,5 м3</t>
        </is>
      </c>
      <c r="D25" s="387" t="inlineStr">
        <is>
          <t>маш.-ч</t>
        </is>
      </c>
      <c r="E25" s="475" t="n">
        <v>10.15</v>
      </c>
      <c r="F25" s="396" t="n">
        <v>100</v>
      </c>
      <c r="G25" s="304">
        <f>ROUND(E25*F25,2)</f>
        <v/>
      </c>
      <c r="H25" s="311">
        <f>G25/$G$53</f>
        <v/>
      </c>
      <c r="I25" s="304">
        <f>ROUND(F25*'Прил. 10'!$D$12,2)</f>
        <v/>
      </c>
      <c r="J25" s="304">
        <f>ROUND(I25*E25,2)</f>
        <v/>
      </c>
    </row>
    <row r="26" ht="13.9" customFormat="1" customHeight="1" s="322">
      <c r="A26" s="387" t="n"/>
      <c r="B26" s="387" t="n"/>
      <c r="C26" s="394" t="inlineStr">
        <is>
          <t>Итого основные машины и механизмы</t>
        </is>
      </c>
      <c r="D26" s="387" t="n"/>
      <c r="E26" s="475" t="n"/>
      <c r="F26" s="304" t="n"/>
      <c r="G26" s="304">
        <f>SUM(G19:G25)</f>
        <v/>
      </c>
      <c r="H26" s="397">
        <f>G26/G53</f>
        <v/>
      </c>
      <c r="I26" s="314" t="n"/>
      <c r="J26" s="304">
        <f>SUM(J19:J25)</f>
        <v/>
      </c>
    </row>
    <row r="27" outlineLevel="1" ht="26.45" customFormat="1" customHeight="1" s="322">
      <c r="A27" s="387" t="n">
        <v>10</v>
      </c>
      <c r="B27" s="310" t="inlineStr">
        <is>
          <t>91.17.04-233</t>
        </is>
      </c>
      <c r="C27" s="394" t="inlineStr">
        <is>
          <t>Установки для сварки ручной дуговой (постоянного тока)</t>
        </is>
      </c>
      <c r="D27" s="387" t="inlineStr">
        <is>
          <t>маш.-ч</t>
        </is>
      </c>
      <c r="E27" s="475" t="n">
        <v>121.28</v>
      </c>
      <c r="F27" s="396" t="n">
        <v>8.1</v>
      </c>
      <c r="G27" s="304">
        <f>ROUND(E27*F27,2)</f>
        <v/>
      </c>
      <c r="H27" s="311">
        <f>G27/$G$53</f>
        <v/>
      </c>
      <c r="I27" s="304">
        <f>ROUND(F27*'Прил. 10'!$D$12,2)</f>
        <v/>
      </c>
      <c r="J27" s="304">
        <f>ROUND(I27*E27,2)</f>
        <v/>
      </c>
    </row>
    <row r="28" outlineLevel="1" ht="26.45" customFormat="1" customHeight="1" s="322">
      <c r="A28" s="387" t="n">
        <v>11</v>
      </c>
      <c r="B28" s="310" t="inlineStr">
        <is>
          <t>91.17.01-002</t>
        </is>
      </c>
      <c r="C28" s="394" t="inlineStr">
        <is>
          <t>Выпрямители сварочные однопостовые номинальным сварочным током 315-500 А</t>
        </is>
      </c>
      <c r="D28" s="387" t="inlineStr">
        <is>
          <t>маш.-ч</t>
        </is>
      </c>
      <c r="E28" s="475" t="n">
        <v>101.9</v>
      </c>
      <c r="F28" s="396" t="n">
        <v>8.16</v>
      </c>
      <c r="G28" s="304">
        <f>ROUND(E28*F28,2)</f>
        <v/>
      </c>
      <c r="H28" s="311">
        <f>G28/$G$53</f>
        <v/>
      </c>
      <c r="I28" s="304">
        <f>ROUND(F28*'Прил. 10'!$D$12,2)</f>
        <v/>
      </c>
      <c r="J28" s="304">
        <f>ROUND(I28*E28,2)</f>
        <v/>
      </c>
    </row>
    <row r="29" outlineLevel="1" ht="26.45" customFormat="1" customHeight="1" s="322">
      <c r="A29" s="387" t="n">
        <v>12</v>
      </c>
      <c r="B29" s="310" t="inlineStr">
        <is>
          <t>91.19.08-001</t>
        </is>
      </c>
      <c r="C29" s="394" t="inlineStr">
        <is>
          <t>Насосы для водопонижения и водоотлива мощностью 8-60 м3/ч, напор 21,7-4,3 м</t>
        </is>
      </c>
      <c r="D29" s="387" t="inlineStr">
        <is>
          <t>маш.-ч</t>
        </is>
      </c>
      <c r="E29" s="475" t="n">
        <v>140</v>
      </c>
      <c r="F29" s="396" t="n">
        <v>5.03</v>
      </c>
      <c r="G29" s="304">
        <f>ROUND(E29*F29,2)</f>
        <v/>
      </c>
      <c r="H29" s="311">
        <f>G29/$G$53</f>
        <v/>
      </c>
      <c r="I29" s="304">
        <f>ROUND(F29*'Прил. 10'!$D$12,2)</f>
        <v/>
      </c>
      <c r="J29" s="304">
        <f>ROUND(I29*E29,2)</f>
        <v/>
      </c>
    </row>
    <row r="30" outlineLevel="1" ht="13.9" customFormat="1" customHeight="1" s="322">
      <c r="A30" s="387" t="n">
        <v>13</v>
      </c>
      <c r="B30" s="310" t="inlineStr">
        <is>
          <t>91.05.01-017</t>
        </is>
      </c>
      <c r="C30" s="394" t="inlineStr">
        <is>
          <t>Краны башенные, грузоподъемность 8 т</t>
        </is>
      </c>
      <c r="D30" s="387" t="inlineStr">
        <is>
          <t>маш.-ч</t>
        </is>
      </c>
      <c r="E30" s="475" t="n">
        <v>7.89</v>
      </c>
      <c r="F30" s="396" t="n">
        <v>86.40000000000001</v>
      </c>
      <c r="G30" s="304">
        <f>ROUND(E30*F30,2)</f>
        <v/>
      </c>
      <c r="H30" s="311">
        <f>G30/$G$53</f>
        <v/>
      </c>
      <c r="I30" s="304">
        <f>ROUND(F30*'Прил. 10'!$D$12,2)</f>
        <v/>
      </c>
      <c r="J30" s="304">
        <f>ROUND(I30*E30,2)</f>
        <v/>
      </c>
    </row>
    <row r="31" outlineLevel="1" ht="26.45" customFormat="1" customHeight="1" s="322">
      <c r="A31" s="387" t="n">
        <v>14</v>
      </c>
      <c r="B31" s="310" t="inlineStr">
        <is>
          <t>91.05.06-012</t>
        </is>
      </c>
      <c r="C31" s="394" t="inlineStr">
        <is>
          <t>Краны на гусеничном ходу, грузоподъемность до 16 т</t>
        </is>
      </c>
      <c r="D31" s="387" t="inlineStr">
        <is>
          <t>маш.-ч</t>
        </is>
      </c>
      <c r="E31" s="475" t="n">
        <v>4.68</v>
      </c>
      <c r="F31" s="396" t="n">
        <v>96.89</v>
      </c>
      <c r="G31" s="304">
        <f>ROUND(E31*F31,2)</f>
        <v/>
      </c>
      <c r="H31" s="311">
        <f>G31/$G$53</f>
        <v/>
      </c>
      <c r="I31" s="304">
        <f>ROUND(F31*'Прил. 10'!$D$12,2)</f>
        <v/>
      </c>
      <c r="J31" s="304">
        <f>ROUND(I31*E31,2)</f>
        <v/>
      </c>
    </row>
    <row r="32" outlineLevel="1" ht="26.45" customFormat="1" customHeight="1" s="322">
      <c r="A32" s="387" t="n">
        <v>15</v>
      </c>
      <c r="B32" s="310" t="inlineStr">
        <is>
          <t>91.14.02-001</t>
        </is>
      </c>
      <c r="C32" s="394" t="inlineStr">
        <is>
          <t>Автомобили бортовые, грузоподъемность до 5 т</t>
        </is>
      </c>
      <c r="D32" s="387" t="inlineStr">
        <is>
          <t>маш.-ч</t>
        </is>
      </c>
      <c r="E32" s="475" t="n">
        <v>4.15</v>
      </c>
      <c r="F32" s="396" t="n">
        <v>65.70999999999999</v>
      </c>
      <c r="G32" s="304">
        <f>ROUND(E32*F32,2)</f>
        <v/>
      </c>
      <c r="H32" s="311">
        <f>G32/$G$53</f>
        <v/>
      </c>
      <c r="I32" s="304">
        <f>ROUND(F32*'Прил. 10'!$D$12,2)</f>
        <v/>
      </c>
      <c r="J32" s="304">
        <f>ROUND(I32*E32,2)</f>
        <v/>
      </c>
    </row>
    <row r="33" outlineLevel="1" ht="39.6" customFormat="1" customHeight="1" s="322">
      <c r="A33" s="387" t="n">
        <v>16</v>
      </c>
      <c r="B33" s="310" t="inlineStr">
        <is>
          <t>91.06.05-057</t>
        </is>
      </c>
      <c r="C33" s="394" t="inlineStr">
        <is>
          <t>Погрузчики одноковшовые универсальные фронтальные пневмоколесные, грузоподъемность 3 т</t>
        </is>
      </c>
      <c r="D33" s="387" t="inlineStr">
        <is>
          <t>маш.-ч</t>
        </is>
      </c>
      <c r="E33" s="475" t="n">
        <v>2.85</v>
      </c>
      <c r="F33" s="396" t="n">
        <v>90.40000000000001</v>
      </c>
      <c r="G33" s="304">
        <f>ROUND(E33*F33,2)</f>
        <v/>
      </c>
      <c r="H33" s="311">
        <f>G33/$G$53</f>
        <v/>
      </c>
      <c r="I33" s="304">
        <f>ROUND(F33*'Прил. 10'!$D$12,2)</f>
        <v/>
      </c>
      <c r="J33" s="304">
        <f>ROUND(I33*E33,2)</f>
        <v/>
      </c>
    </row>
    <row r="34" outlineLevel="1" ht="13.9" customFormat="1" customHeight="1" s="322">
      <c r="A34" s="387" t="n">
        <v>17</v>
      </c>
      <c r="B34" s="310" t="inlineStr">
        <is>
          <t>91.01.01-035</t>
        </is>
      </c>
      <c r="C34" s="394" t="inlineStr">
        <is>
          <t>Бульдозеры, мощность 79 кВт (108 л.с.)</t>
        </is>
      </c>
      <c r="D34" s="387" t="inlineStr">
        <is>
          <t>маш.-ч</t>
        </is>
      </c>
      <c r="E34" s="475" t="n">
        <v>3.16</v>
      </c>
      <c r="F34" s="396" t="n">
        <v>79.06999999999999</v>
      </c>
      <c r="G34" s="304">
        <f>ROUND(E34*F34,2)</f>
        <v/>
      </c>
      <c r="H34" s="311">
        <f>G34/$G$53</f>
        <v/>
      </c>
      <c r="I34" s="304">
        <f>ROUND(F34*'Прил. 10'!$D$12,2)</f>
        <v/>
      </c>
      <c r="J34" s="304">
        <f>ROUND(I34*E34,2)</f>
        <v/>
      </c>
    </row>
    <row r="35" outlineLevel="1" ht="13.9" customFormat="1" customHeight="1" s="322">
      <c r="A35" s="387" t="n">
        <v>18</v>
      </c>
      <c r="B35" s="310" t="inlineStr">
        <is>
          <t>91.01.01-034</t>
        </is>
      </c>
      <c r="C35" s="394" t="inlineStr">
        <is>
          <t>Бульдозеры, мощность 59 кВт (80 л.с.)</t>
        </is>
      </c>
      <c r="D35" s="387" t="inlineStr">
        <is>
          <t>маш.-ч</t>
        </is>
      </c>
      <c r="E35" s="475" t="n">
        <v>2.56</v>
      </c>
      <c r="F35" s="396" t="n">
        <v>59.47</v>
      </c>
      <c r="G35" s="304">
        <f>ROUND(E35*F35,2)</f>
        <v/>
      </c>
      <c r="H35" s="311">
        <f>G35/$G$53</f>
        <v/>
      </c>
      <c r="I35" s="304">
        <f>ROUND(F35*'Прил. 10'!$D$12,2)</f>
        <v/>
      </c>
      <c r="J35" s="304">
        <f>ROUND(I35*E35,2)</f>
        <v/>
      </c>
    </row>
    <row r="36" outlineLevel="1" ht="13.9" customFormat="1" customHeight="1" s="322">
      <c r="A36" s="387" t="n">
        <v>19</v>
      </c>
      <c r="B36" s="310" t="inlineStr">
        <is>
          <t>91.17.04-091</t>
        </is>
      </c>
      <c r="C36" s="394" t="inlineStr">
        <is>
          <t>Горелки газовые инжекторные</t>
        </is>
      </c>
      <c r="D36" s="387" t="inlineStr">
        <is>
          <t>маш.-ч</t>
        </is>
      </c>
      <c r="E36" s="475" t="n">
        <v>9.32</v>
      </c>
      <c r="F36" s="396" t="n">
        <v>13.5</v>
      </c>
      <c r="G36" s="304">
        <f>ROUND(E36*F36,2)</f>
        <v/>
      </c>
      <c r="H36" s="311">
        <f>G36/$G$53</f>
        <v/>
      </c>
      <c r="I36" s="304">
        <f>ROUND(F36*'Прил. 10'!$D$12,2)</f>
        <v/>
      </c>
      <c r="J36" s="304">
        <f>ROUND(I36*E36,2)</f>
        <v/>
      </c>
    </row>
    <row r="37" outlineLevel="1" ht="26.45" customFormat="1" customHeight="1" s="322">
      <c r="A37" s="387" t="n">
        <v>20</v>
      </c>
      <c r="B37" s="310" t="inlineStr">
        <is>
          <t>91.06.03-062</t>
        </is>
      </c>
      <c r="C37" s="394" t="inlineStr">
        <is>
          <t>Лебедки электрические тяговым усилием до 31,39 кН (3,2 т)</t>
        </is>
      </c>
      <c r="D37" s="387" t="inlineStr">
        <is>
          <t>маш.-ч</t>
        </is>
      </c>
      <c r="E37" s="475" t="n">
        <v>15.89</v>
      </c>
      <c r="F37" s="396" t="n">
        <v>6.9</v>
      </c>
      <c r="G37" s="304">
        <f>ROUND(E37*F37,2)</f>
        <v/>
      </c>
      <c r="H37" s="311">
        <f>G37/$G$53</f>
        <v/>
      </c>
      <c r="I37" s="304">
        <f>ROUND(F37*'Прил. 10'!$D$12,2)</f>
        <v/>
      </c>
      <c r="J37" s="304">
        <f>ROUND(I37*E37,2)</f>
        <v/>
      </c>
    </row>
    <row r="38" outlineLevel="1" ht="26.45" customFormat="1" customHeight="1" s="322">
      <c r="A38" s="387" t="n">
        <v>21</v>
      </c>
      <c r="B38" s="310" t="inlineStr">
        <is>
          <t>91.06.06-042</t>
        </is>
      </c>
      <c r="C38" s="394" t="inlineStr">
        <is>
          <t>Подъемники гидравлические, высота подъема 10 м</t>
        </is>
      </c>
      <c r="D38" s="387" t="inlineStr">
        <is>
          <t>маш.-ч</t>
        </is>
      </c>
      <c r="E38" s="475" t="n">
        <v>3.53</v>
      </c>
      <c r="F38" s="396" t="n">
        <v>29.6</v>
      </c>
      <c r="G38" s="304">
        <f>ROUND(E38*F38,2)</f>
        <v/>
      </c>
      <c r="H38" s="311">
        <f>G38/$G$53</f>
        <v/>
      </c>
      <c r="I38" s="304">
        <f>ROUND(F38*'Прил. 10'!$D$12,2)</f>
        <v/>
      </c>
      <c r="J38" s="304">
        <f>ROUND(I38*E38,2)</f>
        <v/>
      </c>
    </row>
    <row r="39" outlineLevel="1" ht="26.45" customFormat="1" customHeight="1" s="322">
      <c r="A39" s="387" t="n">
        <v>22</v>
      </c>
      <c r="B39" s="310" t="inlineStr">
        <is>
          <t>91.17.04-171</t>
        </is>
      </c>
      <c r="C39" s="394" t="inlineStr">
        <is>
          <t>Преобразователи сварочные номинальным сварочным током 315-500 А</t>
        </is>
      </c>
      <c r="D39" s="387" t="inlineStr">
        <is>
          <t>маш.-ч</t>
        </is>
      </c>
      <c r="E39" s="475" t="n">
        <v>7.61</v>
      </c>
      <c r="F39" s="396" t="n">
        <v>12.31</v>
      </c>
      <c r="G39" s="304">
        <f>ROUND(E39*F39,2)</f>
        <v/>
      </c>
      <c r="H39" s="311">
        <f>G39/$G$53</f>
        <v/>
      </c>
      <c r="I39" s="304">
        <f>ROUND(F39*'Прил. 10'!$D$12,2)</f>
        <v/>
      </c>
      <c r="J39" s="304">
        <f>ROUND(I39*E39,2)</f>
        <v/>
      </c>
    </row>
    <row r="40" outlineLevel="1" ht="39.6" customFormat="1" customHeight="1" s="322">
      <c r="A40" s="387" t="n">
        <v>23</v>
      </c>
      <c r="B40" s="310" t="inlineStr">
        <is>
          <t>91.21.01-012</t>
        </is>
      </c>
      <c r="C40" s="394" t="inlineStr">
        <is>
          <t>Агрегаты окрасочные высокого давления для окраски поверхностей конструкций, мощность 1 кВт</t>
        </is>
      </c>
      <c r="D40" s="387" t="inlineStr">
        <is>
          <t>маш.-ч</t>
        </is>
      </c>
      <c r="E40" s="475" t="n">
        <v>12.48</v>
      </c>
      <c r="F40" s="396" t="n">
        <v>6.82</v>
      </c>
      <c r="G40" s="304">
        <f>ROUND(E40*F40,2)</f>
        <v/>
      </c>
      <c r="H40" s="311">
        <f>G40/$G$53</f>
        <v/>
      </c>
      <c r="I40" s="304">
        <f>ROUND(F40*'Прил. 10'!$D$12,2)</f>
        <v/>
      </c>
      <c r="J40" s="304">
        <f>ROUND(I40*E40,2)</f>
        <v/>
      </c>
    </row>
    <row r="41" outlineLevel="1" ht="26.45" customFormat="1" customHeight="1" s="322">
      <c r="A41" s="387" t="n">
        <v>24</v>
      </c>
      <c r="B41" s="310" t="inlineStr">
        <is>
          <t>91.05.06-009</t>
        </is>
      </c>
      <c r="C41" s="394" t="inlineStr">
        <is>
          <t>Краны на гусеничном ходу, грузоподъемность 50-63 т</t>
        </is>
      </c>
      <c r="D41" s="387" t="inlineStr">
        <is>
          <t>маш.-ч</t>
        </is>
      </c>
      <c r="E41" s="475" t="n">
        <v>0.13</v>
      </c>
      <c r="F41" s="396" t="n">
        <v>290.01</v>
      </c>
      <c r="G41" s="304">
        <f>ROUND(E41*F41,2)</f>
        <v/>
      </c>
      <c r="H41" s="311">
        <f>G41/$G$53</f>
        <v/>
      </c>
      <c r="I41" s="304">
        <f>ROUND(F41*'Прил. 10'!$D$12,2)</f>
        <v/>
      </c>
      <c r="J41" s="304">
        <f>ROUND(I41*E41,2)</f>
        <v/>
      </c>
    </row>
    <row r="42" outlineLevel="1" ht="26.45" customFormat="1" customHeight="1" s="322">
      <c r="A42" s="387" t="n">
        <v>25</v>
      </c>
      <c r="B42" s="310" t="inlineStr">
        <is>
          <t>91.08.09-023</t>
        </is>
      </c>
      <c r="C42" s="394" t="inlineStr">
        <is>
          <t>Трамбовки пневматические при работе от передвижных компрессорных станций</t>
        </is>
      </c>
      <c r="D42" s="387" t="inlineStr">
        <is>
          <t>маш.-ч</t>
        </is>
      </c>
      <c r="E42" s="475" t="n">
        <v>59.03</v>
      </c>
      <c r="F42" s="396" t="n">
        <v>0.55</v>
      </c>
      <c r="G42" s="304">
        <f>ROUND(E42*F42,2)</f>
        <v/>
      </c>
      <c r="H42" s="311">
        <f>G42/$G$53</f>
        <v/>
      </c>
      <c r="I42" s="304">
        <f>ROUND(F42*'Прил. 10'!$D$12,2)</f>
        <v/>
      </c>
      <c r="J42" s="304">
        <f>ROUND(I42*E42,2)</f>
        <v/>
      </c>
    </row>
    <row r="43" outlineLevel="1" ht="13.9" customFormat="1" customHeight="1" s="322">
      <c r="A43" s="387" t="n">
        <v>26</v>
      </c>
      <c r="B43" s="310" t="inlineStr">
        <is>
          <t>91.07.04-001</t>
        </is>
      </c>
      <c r="C43" s="394" t="inlineStr">
        <is>
          <t>Вибраторы глубинные</t>
        </is>
      </c>
      <c r="D43" s="387" t="inlineStr">
        <is>
          <t>маш.-ч</t>
        </is>
      </c>
      <c r="E43" s="475" t="n">
        <v>12.32</v>
      </c>
      <c r="F43" s="396" t="n">
        <v>1.9</v>
      </c>
      <c r="G43" s="304">
        <f>ROUND(E43*F43,2)</f>
        <v/>
      </c>
      <c r="H43" s="311">
        <f>G43/$G$53</f>
        <v/>
      </c>
      <c r="I43" s="304">
        <f>ROUND(F43*'Прил. 10'!$D$12,2)</f>
        <v/>
      </c>
      <c r="J43" s="304">
        <f>ROUND(I43*E43,2)</f>
        <v/>
      </c>
    </row>
    <row r="44" outlineLevel="1" ht="13.9" customFormat="1" customHeight="1" s="322">
      <c r="A44" s="387" t="n">
        <v>27</v>
      </c>
      <c r="B44" s="310" t="inlineStr">
        <is>
          <t>91.13.01-038</t>
        </is>
      </c>
      <c r="C44" s="394" t="inlineStr">
        <is>
          <t>Машины поливомоечные 6000 л</t>
        </is>
      </c>
      <c r="D44" s="387" t="inlineStr">
        <is>
          <t>маш.-ч</t>
        </is>
      </c>
      <c r="E44" s="475" t="n">
        <v>0.13</v>
      </c>
      <c r="F44" s="396" t="n">
        <v>110</v>
      </c>
      <c r="G44" s="304">
        <f>ROUND(E44*F44,2)</f>
        <v/>
      </c>
      <c r="H44" s="311">
        <f>G44/$G$53</f>
        <v/>
      </c>
      <c r="I44" s="304">
        <f>ROUND(F44*'Прил. 10'!$D$12,2)</f>
        <v/>
      </c>
      <c r="J44" s="304">
        <f>ROUND(I44*E44,2)</f>
        <v/>
      </c>
    </row>
    <row r="45" outlineLevel="1" ht="13.9" customFormat="1" customHeight="1" s="322">
      <c r="A45" s="387" t="n">
        <v>28</v>
      </c>
      <c r="B45" s="310" t="inlineStr">
        <is>
          <t>91.06.05-011</t>
        </is>
      </c>
      <c r="C45" s="394" t="inlineStr">
        <is>
          <t>Погрузчики, грузоподъемность 5 т</t>
        </is>
      </c>
      <c r="D45" s="387" t="inlineStr">
        <is>
          <t>маш.-ч</t>
        </is>
      </c>
      <c r="E45" s="475" t="n">
        <v>0.13</v>
      </c>
      <c r="F45" s="396" t="n">
        <v>89.98999999999999</v>
      </c>
      <c r="G45" s="304">
        <f>ROUND(E45*F45,2)</f>
        <v/>
      </c>
      <c r="H45" s="311">
        <f>G45/$G$53</f>
        <v/>
      </c>
      <c r="I45" s="304">
        <f>ROUND(F45*'Прил. 10'!$D$12,2)</f>
        <v/>
      </c>
      <c r="J45" s="304">
        <f>ROUND(I45*E45,2)</f>
        <v/>
      </c>
    </row>
    <row r="46" outlineLevel="1" ht="13.9" customFormat="1" customHeight="1" s="322">
      <c r="A46" s="387" t="n">
        <v>29</v>
      </c>
      <c r="B46" s="310" t="inlineStr">
        <is>
          <t>91.05.02-005</t>
        </is>
      </c>
      <c r="C46" s="394" t="inlineStr">
        <is>
          <t>Краны козловые, грузоподъемность 32 т</t>
        </is>
      </c>
      <c r="D46" s="387" t="inlineStr">
        <is>
          <t>маш.-ч</t>
        </is>
      </c>
      <c r="E46" s="475" t="n">
        <v>0.03</v>
      </c>
      <c r="F46" s="396" t="n">
        <v>120.24</v>
      </c>
      <c r="G46" s="304">
        <f>ROUND(E46*F46,2)</f>
        <v/>
      </c>
      <c r="H46" s="311">
        <f>G46/$G$53</f>
        <v/>
      </c>
      <c r="I46" s="304">
        <f>ROUND(F46*'Прил. 10'!$D$12,2)</f>
        <v/>
      </c>
      <c r="J46" s="304">
        <f>ROUND(I46*E46,2)</f>
        <v/>
      </c>
    </row>
    <row r="47" outlineLevel="1" ht="26.45" customFormat="1" customHeight="1" s="322">
      <c r="A47" s="387" t="n">
        <v>30</v>
      </c>
      <c r="B47" s="310" t="inlineStr">
        <is>
          <t>91.06.01-003</t>
        </is>
      </c>
      <c r="C47" s="394" t="inlineStr">
        <is>
          <t>Домкраты гидравлические, грузоподъемность 63-100 т</t>
        </is>
      </c>
      <c r="D47" s="387" t="inlineStr">
        <is>
          <t>маш.-ч</t>
        </is>
      </c>
      <c r="E47" s="475" t="n">
        <v>2.93</v>
      </c>
      <c r="F47" s="396" t="n">
        <v>0.9</v>
      </c>
      <c r="G47" s="304">
        <f>ROUND(E47*F47,2)</f>
        <v/>
      </c>
      <c r="H47" s="311">
        <f>G47/$G$53</f>
        <v/>
      </c>
      <c r="I47" s="304">
        <f>ROUND(F47*'Прил. 10'!$D$12,2)</f>
        <v/>
      </c>
      <c r="J47" s="304">
        <f>ROUND(I47*E47,2)</f>
        <v/>
      </c>
    </row>
    <row r="48" outlineLevel="1" ht="26.45" customFormat="1" customHeight="1" s="322">
      <c r="A48" s="387" t="n">
        <v>31</v>
      </c>
      <c r="B48" s="310" t="inlineStr">
        <is>
          <t>91.06.03-058</t>
        </is>
      </c>
      <c r="C48" s="394" t="inlineStr">
        <is>
          <t>Лебедки электрические тяговым усилием 156,96 кН (16 т)</t>
        </is>
      </c>
      <c r="D48" s="387" t="inlineStr">
        <is>
          <t>маш.-ч</t>
        </is>
      </c>
      <c r="E48" s="475" t="n">
        <v>0.02</v>
      </c>
      <c r="F48" s="396" t="n">
        <v>131.44</v>
      </c>
      <c r="G48" s="304">
        <f>ROUND(E48*F48,2)</f>
        <v/>
      </c>
      <c r="H48" s="311">
        <f>G48/$G$53</f>
        <v/>
      </c>
      <c r="I48" s="304">
        <f>ROUND(F48*'Прил. 10'!$D$12,2)</f>
        <v/>
      </c>
      <c r="J48" s="304">
        <f>ROUND(I48*E48,2)</f>
        <v/>
      </c>
    </row>
    <row r="49" outlineLevel="1" ht="13.9" customFormat="1" customHeight="1" s="322">
      <c r="A49" s="387" t="n">
        <v>32</v>
      </c>
      <c r="B49" s="310" t="inlineStr">
        <is>
          <t>91.17.04-042</t>
        </is>
      </c>
      <c r="C49" s="394" t="inlineStr">
        <is>
          <t>Аппараты для газовой сварки и резки</t>
        </is>
      </c>
      <c r="D49" s="387" t="inlineStr">
        <is>
          <t>маш.-ч</t>
        </is>
      </c>
      <c r="E49" s="475" t="n">
        <v>1.18</v>
      </c>
      <c r="F49" s="396" t="n">
        <v>1.2</v>
      </c>
      <c r="G49" s="304">
        <f>ROUND(E49*F49,2)</f>
        <v/>
      </c>
      <c r="H49" s="311">
        <f>G49/$G$53</f>
        <v/>
      </c>
      <c r="I49" s="304">
        <f>ROUND(F49*'Прил. 10'!$D$12,2)</f>
        <v/>
      </c>
      <c r="J49" s="304">
        <f>ROUND(I49*E49,2)</f>
        <v/>
      </c>
    </row>
    <row r="50" outlineLevel="1" ht="13.9" customFormat="1" customHeight="1" s="322">
      <c r="A50" s="387" t="n">
        <v>33</v>
      </c>
      <c r="B50" s="310" t="inlineStr">
        <is>
          <t>91.07.04-002</t>
        </is>
      </c>
      <c r="C50" s="394" t="inlineStr">
        <is>
          <t>Вибраторы поверхностные</t>
        </is>
      </c>
      <c r="D50" s="387" t="inlineStr">
        <is>
          <t>маш.-ч</t>
        </is>
      </c>
      <c r="E50" s="475" t="n">
        <v>2.68</v>
      </c>
      <c r="F50" s="396" t="n">
        <v>0.5</v>
      </c>
      <c r="G50" s="304">
        <f>ROUND(E50*F50,2)</f>
        <v/>
      </c>
      <c r="H50" s="311">
        <f>G50/$G$53</f>
        <v/>
      </c>
      <c r="I50" s="304">
        <f>ROUND(F50*'Прил. 10'!$D$12,2)</f>
        <v/>
      </c>
      <c r="J50" s="304">
        <f>ROUND(I50*E50,2)</f>
        <v/>
      </c>
    </row>
    <row r="51" outlineLevel="1" ht="26.45" customFormat="1" customHeight="1" s="322">
      <c r="A51" s="387" t="n">
        <v>34</v>
      </c>
      <c r="B51" s="310" t="inlineStr">
        <is>
          <t>91.06.03-060</t>
        </is>
      </c>
      <c r="C51" s="394" t="inlineStr">
        <is>
          <t>Лебедки электрические тяговым усилием до 5,79 кН (0,59 т)</t>
        </is>
      </c>
      <c r="D51" s="387" t="inlineStr">
        <is>
          <t>маш.-ч</t>
        </is>
      </c>
      <c r="E51" s="475" t="n">
        <v>0.01</v>
      </c>
      <c r="F51" s="396" t="n">
        <v>1.7</v>
      </c>
      <c r="G51" s="304">
        <f>ROUND(E51*F51,2)</f>
        <v/>
      </c>
      <c r="H51" s="311">
        <f>G51/$G$53</f>
        <v/>
      </c>
      <c r="I51" s="304">
        <f>ROUND(F51*'Прил. 10'!$D$12,2)</f>
        <v/>
      </c>
      <c r="J51" s="304">
        <f>ROUND(I51*E51,2)</f>
        <v/>
      </c>
    </row>
    <row r="52" ht="13.9" customFormat="1" customHeight="1" s="322">
      <c r="A52" s="387" t="n"/>
      <c r="B52" s="387" t="n"/>
      <c r="C52" s="394" t="inlineStr">
        <is>
          <t>Итого прочие машины и механизмы</t>
        </is>
      </c>
      <c r="D52" s="387" t="n"/>
      <c r="E52" s="395" t="n"/>
      <c r="F52" s="304" t="n"/>
      <c r="G52" s="314">
        <f>SUM(G27:G51)</f>
        <v/>
      </c>
      <c r="H52" s="311">
        <f>G52/G53</f>
        <v/>
      </c>
      <c r="I52" s="304" t="n"/>
      <c r="J52" s="314">
        <f>SUM(J27:J51)</f>
        <v/>
      </c>
    </row>
    <row r="53" ht="26.45" customFormat="1" customHeight="1" s="322">
      <c r="A53" s="387" t="n"/>
      <c r="B53" s="387" t="n"/>
      <c r="C53" s="377" t="inlineStr">
        <is>
          <t>Итого по разделу «Машины и механизмы»</t>
        </is>
      </c>
      <c r="D53" s="387" t="n"/>
      <c r="E53" s="395" t="n"/>
      <c r="F53" s="304" t="n"/>
      <c r="G53" s="304">
        <f>G52+G26</f>
        <v/>
      </c>
      <c r="H53" s="293" t="n">
        <v>1</v>
      </c>
      <c r="I53" s="294" t="n"/>
      <c r="J53" s="295">
        <f>J52+J26</f>
        <v/>
      </c>
    </row>
    <row r="54" ht="13.9" customFormat="1" customHeight="1" s="322">
      <c r="A54" s="387" t="n"/>
      <c r="B54" s="377" t="inlineStr">
        <is>
          <t>Оборудование</t>
        </is>
      </c>
      <c r="C54" s="460" t="n"/>
      <c r="D54" s="460" t="n"/>
      <c r="E54" s="460" t="n"/>
      <c r="F54" s="460" t="n"/>
      <c r="G54" s="460" t="n"/>
      <c r="H54" s="461" t="n"/>
      <c r="I54" s="196" t="n"/>
      <c r="J54" s="196" t="n"/>
    </row>
    <row r="55">
      <c r="A55" s="387" t="n"/>
      <c r="B55" s="394" t="inlineStr">
        <is>
          <t>Основное оборудование</t>
        </is>
      </c>
      <c r="C55" s="460" t="n"/>
      <c r="D55" s="460" t="n"/>
      <c r="E55" s="460" t="n"/>
      <c r="F55" s="460" t="n"/>
      <c r="G55" s="460" t="n"/>
      <c r="H55" s="461" t="n"/>
      <c r="I55" s="196" t="n"/>
      <c r="J55" s="196" t="n"/>
      <c r="K55" s="322" t="n"/>
      <c r="L55" s="322" t="n"/>
    </row>
    <row r="56" ht="39.6" customHeight="1" s="338">
      <c r="A56" s="387" t="n">
        <v>35</v>
      </c>
      <c r="B56" s="310" t="inlineStr">
        <is>
          <t>БЦ.19.61</t>
        </is>
      </c>
      <c r="C56" s="394" t="inlineStr">
        <is>
          <t>Реактор ДГР 35 кВ, 360 кВА</t>
        </is>
      </c>
      <c r="D56" s="387" t="inlineStr">
        <is>
          <t>компл.</t>
        </is>
      </c>
      <c r="E56" s="475" t="n">
        <v>2</v>
      </c>
      <c r="F56" s="304">
        <f>ROUND(I56/'Прил. 10'!D14,2)</f>
        <v/>
      </c>
      <c r="G56" s="304">
        <f>ROUND(E56*F56,2)</f>
        <v/>
      </c>
      <c r="H56" s="311">
        <f>G56/$G$62</f>
        <v/>
      </c>
      <c r="I56" s="304" t="n">
        <v>3624592</v>
      </c>
      <c r="J56" s="304">
        <f>ROUND(I56*E56,2)</f>
        <v/>
      </c>
      <c r="K56" s="322" t="n"/>
      <c r="L56" s="322" t="n"/>
      <c r="M56" s="322" t="n"/>
      <c r="N56" s="322" t="n"/>
    </row>
    <row r="57">
      <c r="A57" s="387" t="n"/>
      <c r="B57" s="387" t="n"/>
      <c r="C57" s="394" t="inlineStr">
        <is>
          <t>Итого основное оборудование</t>
        </is>
      </c>
      <c r="D57" s="387" t="n"/>
      <c r="E57" s="475" t="n"/>
      <c r="F57" s="396" t="n"/>
      <c r="G57" s="304">
        <f>G56</f>
        <v/>
      </c>
      <c r="H57" s="397">
        <f>H56</f>
        <v/>
      </c>
      <c r="I57" s="314" t="n"/>
      <c r="J57" s="304">
        <f>J56</f>
        <v/>
      </c>
      <c r="K57" s="322" t="n"/>
      <c r="L57" s="322" t="n"/>
    </row>
    <row r="58" ht="36" customHeight="1" s="338">
      <c r="A58" s="387" t="n">
        <v>36</v>
      </c>
      <c r="B58" s="310" t="inlineStr">
        <is>
          <t>БЦ.28.14</t>
        </is>
      </c>
      <c r="C58" s="394" t="inlineStr">
        <is>
          <t>Шинная опора 35 кВ</t>
        </is>
      </c>
      <c r="D58" s="387" t="inlineStr">
        <is>
          <t>шт.</t>
        </is>
      </c>
      <c r="E58" s="475" t="n">
        <v>6</v>
      </c>
      <c r="F58" s="304">
        <f>ROUND(I58/'Прил. 10'!$D$14,2)</f>
        <v/>
      </c>
      <c r="G58" s="304">
        <f>ROUND(E58*F58,2)</f>
        <v/>
      </c>
      <c r="H58" s="311">
        <f>G58/$G$62</f>
        <v/>
      </c>
      <c r="I58" s="304" t="n">
        <v>7750</v>
      </c>
      <c r="J58" s="304">
        <f>ROUND(I58*E58,2)</f>
        <v/>
      </c>
      <c r="K58" s="322" t="n"/>
      <c r="L58" s="322" t="n"/>
      <c r="M58" s="322" t="n"/>
      <c r="N58" s="322" t="n"/>
    </row>
    <row r="59" ht="26.45" customHeight="1" s="338">
      <c r="A59" s="387" t="n">
        <v>37</v>
      </c>
      <c r="B59" s="310" t="inlineStr">
        <is>
          <t>БЦ.60.41</t>
        </is>
      </c>
      <c r="C59" s="394" t="inlineStr">
        <is>
          <t>Ограничитель перенапряжения 35 кВ</t>
        </is>
      </c>
      <c r="D59" s="387" t="inlineStr">
        <is>
          <t>шт.</t>
        </is>
      </c>
      <c r="E59" s="475" t="n">
        <v>6</v>
      </c>
      <c r="F59" s="304">
        <f>ROUND(I59/'Прил. 10'!$D$14,2)</f>
        <v/>
      </c>
      <c r="G59" s="304">
        <f>ROUND(E59*F59,2)</f>
        <v/>
      </c>
      <c r="H59" s="311">
        <f>G59/$G$62</f>
        <v/>
      </c>
      <c r="I59" s="304" t="n">
        <v>34170</v>
      </c>
      <c r="J59" s="304">
        <f>ROUND(I59*E59,2)</f>
        <v/>
      </c>
      <c r="K59" s="322" t="n"/>
      <c r="L59" s="322" t="n"/>
      <c r="M59" s="322" t="n"/>
      <c r="N59" s="322" t="n"/>
    </row>
    <row r="60">
      <c r="A60" s="387" t="n"/>
      <c r="B60" s="387" t="n"/>
      <c r="C60" s="394" t="inlineStr">
        <is>
          <t>Итого прочее оборудование</t>
        </is>
      </c>
      <c r="D60" s="387" t="n"/>
      <c r="E60" s="475" t="n"/>
      <c r="F60" s="396" t="n"/>
      <c r="G60" s="304">
        <f>G59+G58</f>
        <v/>
      </c>
      <c r="H60" s="397">
        <f>H59+H58</f>
        <v/>
      </c>
      <c r="I60" s="314" t="n"/>
      <c r="J60" s="304">
        <f>J59+J58</f>
        <v/>
      </c>
      <c r="K60" s="322" t="n"/>
      <c r="L60" s="322" t="n"/>
    </row>
    <row r="61">
      <c r="A61" s="387" t="n"/>
      <c r="B61" s="387" t="n"/>
      <c r="C61" s="377" t="inlineStr">
        <is>
          <t>Итого по разделу «Оборудование»</t>
        </is>
      </c>
      <c r="D61" s="387" t="n"/>
      <c r="E61" s="395" t="n"/>
      <c r="F61" s="396" t="n"/>
      <c r="G61" s="304">
        <f>G60+G57</f>
        <v/>
      </c>
      <c r="H61" s="397">
        <f>H60+H57</f>
        <v/>
      </c>
      <c r="I61" s="314" t="n"/>
      <c r="J61" s="304">
        <f>J60+J57</f>
        <v/>
      </c>
      <c r="K61" s="322" t="n"/>
      <c r="L61" s="322" t="n"/>
    </row>
    <row r="62" ht="26.45" customHeight="1" s="338">
      <c r="A62" s="387" t="n"/>
      <c r="B62" s="387" t="n"/>
      <c r="C62" s="394" t="inlineStr">
        <is>
          <t>в том числе технологическое оборудование</t>
        </is>
      </c>
      <c r="D62" s="387" t="n"/>
      <c r="E62" s="476" t="n"/>
      <c r="F62" s="396" t="n"/>
      <c r="G62" s="304">
        <f>G61</f>
        <v/>
      </c>
      <c r="H62" s="397" t="n"/>
      <c r="I62" s="314" t="n"/>
      <c r="J62" s="304">
        <f>J61</f>
        <v/>
      </c>
      <c r="K62" s="322" t="n"/>
      <c r="L62" s="322" t="n"/>
    </row>
    <row r="63" ht="13.9" customFormat="1" customHeight="1" s="322">
      <c r="A63" s="387" t="n"/>
      <c r="B63" s="377" t="inlineStr">
        <is>
          <t>Материалы</t>
        </is>
      </c>
      <c r="C63" s="460" t="n"/>
      <c r="D63" s="460" t="n"/>
      <c r="E63" s="460" t="n"/>
      <c r="F63" s="460" t="n"/>
      <c r="G63" s="460" t="n"/>
      <c r="H63" s="461" t="n"/>
      <c r="I63" s="196" t="n"/>
      <c r="J63" s="196" t="n"/>
    </row>
    <row r="64" ht="13.9" customFormat="1" customHeight="1" s="322">
      <c r="A64" s="388" t="n"/>
      <c r="B64" s="390" t="inlineStr">
        <is>
          <t>Основные материалы</t>
        </is>
      </c>
      <c r="C64" s="477" t="n"/>
      <c r="D64" s="477" t="n"/>
      <c r="E64" s="477" t="n"/>
      <c r="F64" s="477" t="n"/>
      <c r="G64" s="477" t="n"/>
      <c r="H64" s="478" t="n"/>
      <c r="I64" s="212" t="n"/>
      <c r="J64" s="212" t="n"/>
    </row>
    <row r="65" ht="39.6" customFormat="1" customHeight="1" s="322">
      <c r="A65" s="387" t="n">
        <v>38</v>
      </c>
      <c r="B65" s="387" t="inlineStr">
        <is>
          <t>02.2.04.04-0010</t>
        </is>
      </c>
      <c r="C65" s="394" t="inlineStr">
        <is>
          <t>Смеси готовые щебеночно-песчаные (ГОСТ 25607-2009) номер: С10, размер зерен 0-40 мм</t>
        </is>
      </c>
      <c r="D65" s="387" t="inlineStr">
        <is>
          <t>м3</t>
        </is>
      </c>
      <c r="E65" s="395" t="n">
        <v>124.237</v>
      </c>
      <c r="F65" s="396" t="n">
        <v>165.83</v>
      </c>
      <c r="G65" s="304">
        <f>ROUND(E65*F65,2)</f>
        <v/>
      </c>
      <c r="H65" s="311">
        <f>G65/$G$149</f>
        <v/>
      </c>
      <c r="I65" s="304">
        <f>ROUND(F65*'Прил. 10'!$D$13,2)</f>
        <v/>
      </c>
      <c r="J65" s="304">
        <f>ROUND(I65*E65,2)</f>
        <v/>
      </c>
    </row>
    <row r="66" ht="39.6" customFormat="1" customHeight="1" s="322">
      <c r="A66" s="387" t="n">
        <v>39</v>
      </c>
      <c r="B66" s="387" t="inlineStr">
        <is>
          <t>07.2.07.04-0011</t>
        </is>
      </c>
      <c r="C66" s="394" t="inlineStr">
        <is>
          <t>Конструкции сварные индивидуальные прочие, масса сборочной единицы до 0,1 т</t>
        </is>
      </c>
      <c r="D66" s="387" t="inlineStr">
        <is>
          <t>т</t>
        </is>
      </c>
      <c r="E66" s="395" t="n">
        <v>1.722</v>
      </c>
      <c r="F66" s="396" t="n">
        <v>10508</v>
      </c>
      <c r="G66" s="304">
        <f>ROUND(E66*F66,2)</f>
        <v/>
      </c>
      <c r="H66" s="311">
        <f>G66/$G$149</f>
        <v/>
      </c>
      <c r="I66" s="304">
        <f>ROUND(F66*'Прил. 10'!$D$13,2)</f>
        <v/>
      </c>
      <c r="J66" s="304">
        <f>ROUND(I66*E66,2)</f>
        <v/>
      </c>
    </row>
    <row r="67" ht="26.45" customFormat="1" customHeight="1" s="322">
      <c r="A67" s="387" t="n">
        <v>40</v>
      </c>
      <c r="B67" s="387" t="inlineStr">
        <is>
          <t>14.4.02.09-0301</t>
        </is>
      </c>
      <c r="C67" s="394" t="inlineStr">
        <is>
          <t>Композиция антикоррозионная цинкнаполненная</t>
        </is>
      </c>
      <c r="D67" s="387" t="inlineStr">
        <is>
          <t>кг</t>
        </is>
      </c>
      <c r="E67" s="395" t="n">
        <v>69.23</v>
      </c>
      <c r="F67" s="396" t="n">
        <v>238.48</v>
      </c>
      <c r="G67" s="304">
        <f>ROUND(E67*F67,2)</f>
        <v/>
      </c>
      <c r="H67" s="311">
        <f>G67/$G$149</f>
        <v/>
      </c>
      <c r="I67" s="304">
        <f>ROUND(F67*'Прил. 10'!$D$13,2)</f>
        <v/>
      </c>
      <c r="J67" s="304">
        <f>ROUND(I67*E67,2)</f>
        <v/>
      </c>
    </row>
    <row r="68" ht="39.6" customFormat="1" customHeight="1" s="322">
      <c r="A68" s="387" t="n">
        <v>41</v>
      </c>
      <c r="B68" s="387" t="inlineStr">
        <is>
          <t>08.4.03.03-0034</t>
        </is>
      </c>
      <c r="C68" s="394" t="inlineStr">
        <is>
          <t>Сталь арматурная, горячекатаная, периодического профиля, класс А-III, диаметр 16-18 мм</t>
        </is>
      </c>
      <c r="D68" s="387" t="inlineStr">
        <is>
          <t>т</t>
        </is>
      </c>
      <c r="E68" s="395" t="n">
        <v>1.991</v>
      </c>
      <c r="F68" s="396" t="n">
        <v>7956.21</v>
      </c>
      <c r="G68" s="304">
        <f>ROUND(E68*F68,2)</f>
        <v/>
      </c>
      <c r="H68" s="311">
        <f>G68/$G$149</f>
        <v/>
      </c>
      <c r="I68" s="304">
        <f>ROUND(F68*'Прил. 10'!$D$13,2)</f>
        <v/>
      </c>
      <c r="J68" s="304">
        <f>ROUND(I68*E68,2)</f>
        <v/>
      </c>
    </row>
    <row r="69" ht="52.9" customFormat="1" customHeight="1" s="322">
      <c r="A69" s="387" t="n">
        <v>42</v>
      </c>
      <c r="B69" s="387" t="inlineStr">
        <is>
          <t>04.1.02.02-0007</t>
        </is>
      </c>
      <c r="C69" s="394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387" t="inlineStr">
        <is>
          <t>м3</t>
        </is>
      </c>
      <c r="E69" s="395" t="n">
        <v>20.469</v>
      </c>
      <c r="F69" s="396" t="n">
        <v>766.52</v>
      </c>
      <c r="G69" s="304">
        <f>ROUND(E69*F69,2)</f>
        <v/>
      </c>
      <c r="H69" s="311">
        <f>G69/$G$149</f>
        <v/>
      </c>
      <c r="I69" s="304">
        <f>ROUND(F69*'Прил. 10'!$D$13,2)</f>
        <v/>
      </c>
      <c r="J69" s="304">
        <f>ROUND(I69*E69,2)</f>
        <v/>
      </c>
    </row>
    <row r="70" ht="26.45" customFormat="1" customHeight="1" s="322">
      <c r="A70" s="387" t="n">
        <v>43</v>
      </c>
      <c r="B70" s="387" t="inlineStr">
        <is>
          <t>04.1.02.01-0001</t>
        </is>
      </c>
      <c r="C70" s="394" t="inlineStr">
        <is>
          <t>Смеси бетонные мелкозернистого бетона (БСМ), класс В3,5 (М50)</t>
        </is>
      </c>
      <c r="D70" s="387" t="inlineStr">
        <is>
          <t>м3</t>
        </is>
      </c>
      <c r="E70" s="395" t="n">
        <v>26.217</v>
      </c>
      <c r="F70" s="396" t="n">
        <v>413.87</v>
      </c>
      <c r="G70" s="304">
        <f>ROUND(E70*F70,2)</f>
        <v/>
      </c>
      <c r="H70" s="311">
        <f>G70/$G$149</f>
        <v/>
      </c>
      <c r="I70" s="304">
        <f>ROUND(F70*'Прил. 10'!$D$13,2)</f>
        <v/>
      </c>
      <c r="J70" s="304">
        <f>ROUND(I70*E70,2)</f>
        <v/>
      </c>
    </row>
    <row r="71" ht="39.6" customFormat="1" customHeight="1" s="322">
      <c r="A71" s="387" t="n">
        <v>44</v>
      </c>
      <c r="B71" s="387" t="inlineStr">
        <is>
          <t>01.7.12.16-0001</t>
        </is>
      </c>
      <c r="C71" s="394" t="inlineStr">
        <is>
          <t>Виток проволочный для трехмерного металлического сетчатого покрытия, марка MaxNet (70/4,0)пв</t>
        </is>
      </c>
      <c r="D71" s="387" t="inlineStr">
        <is>
          <t>10 шт</t>
        </is>
      </c>
      <c r="E71" s="395" t="n">
        <v>10.483</v>
      </c>
      <c r="F71" s="396" t="n">
        <v>946.15</v>
      </c>
      <c r="G71" s="304">
        <f>ROUND(E71*F71,2)</f>
        <v/>
      </c>
      <c r="H71" s="311">
        <f>G71/$G$149</f>
        <v/>
      </c>
      <c r="I71" s="304">
        <f>ROUND(F71*'Прил. 10'!$D$13,2)</f>
        <v/>
      </c>
      <c r="J71" s="304">
        <f>ROUND(I71*E71,2)</f>
        <v/>
      </c>
    </row>
    <row r="72" ht="26.45" customFormat="1" customHeight="1" s="322">
      <c r="A72" s="387" t="n">
        <v>45</v>
      </c>
      <c r="B72" s="387" t="inlineStr">
        <is>
          <t>08.4.03.04-0001</t>
        </is>
      </c>
      <c r="C72" s="394" t="inlineStr">
        <is>
          <t>Сталь арматурная, горячекатаная, класс А-I, А-II, А-III</t>
        </is>
      </c>
      <c r="D72" s="387" t="inlineStr">
        <is>
          <t>т</t>
        </is>
      </c>
      <c r="E72" s="395" t="n">
        <v>1.72</v>
      </c>
      <c r="F72" s="396" t="n">
        <v>5650</v>
      </c>
      <c r="G72" s="304">
        <f>ROUND(E72*F72,2)</f>
        <v/>
      </c>
      <c r="H72" s="311">
        <f>G72/$G$149</f>
        <v/>
      </c>
      <c r="I72" s="304">
        <f>ROUND(F72*'Прил. 10'!$D$13,2)</f>
        <v/>
      </c>
      <c r="J72" s="304">
        <f>ROUND(I72*E72,2)</f>
        <v/>
      </c>
    </row>
    <row r="73" ht="39.6" customFormat="1" customHeight="1" s="322">
      <c r="A73" s="387" t="n">
        <v>46</v>
      </c>
      <c r="B73" s="387" t="inlineStr">
        <is>
          <t>08.4.03.03-0033</t>
        </is>
      </c>
      <c r="C73" s="394" t="inlineStr">
        <is>
          <t>Сталь арматурная, горячекатаная, периодического профиля, класс А-III, диаметр 14 мм</t>
        </is>
      </c>
      <c r="D73" s="387" t="inlineStr">
        <is>
          <t>т</t>
        </is>
      </c>
      <c r="E73" s="395" t="n">
        <v>1.117</v>
      </c>
      <c r="F73" s="396" t="n">
        <v>7997.23</v>
      </c>
      <c r="G73" s="304">
        <f>ROUND(E73*F73,2)</f>
        <v/>
      </c>
      <c r="H73" s="311">
        <f>G73/$G$149</f>
        <v/>
      </c>
      <c r="I73" s="304">
        <f>ROUND(F73*'Прил. 10'!$D$13,2)</f>
        <v/>
      </c>
      <c r="J73" s="304">
        <f>ROUND(I73*E73,2)</f>
        <v/>
      </c>
    </row>
    <row r="74" ht="26.45" customFormat="1" customHeight="1" s="322">
      <c r="A74" s="387" t="n">
        <v>47</v>
      </c>
      <c r="B74" s="387" t="inlineStr">
        <is>
          <t>02.2.05.04-0001</t>
        </is>
      </c>
      <c r="C74" s="394" t="inlineStr">
        <is>
          <t>Отсев габбро-долеритовый фракции 0-5 мм</t>
        </is>
      </c>
      <c r="D74" s="387" t="inlineStr">
        <is>
          <t>м3</t>
        </is>
      </c>
      <c r="E74" s="395" t="n">
        <v>46.233</v>
      </c>
      <c r="F74" s="396" t="n">
        <v>151.73</v>
      </c>
      <c r="G74" s="304">
        <f>ROUND(E74*F74,2)</f>
        <v/>
      </c>
      <c r="H74" s="311">
        <f>G74/$G$149</f>
        <v/>
      </c>
      <c r="I74" s="304">
        <f>ROUND(F74*'Прил. 10'!$D$13,2)</f>
        <v/>
      </c>
      <c r="J74" s="304">
        <f>ROUND(I74*E74,2)</f>
        <v/>
      </c>
    </row>
    <row r="75" ht="39.6" customFormat="1" customHeight="1" s="322">
      <c r="A75" s="387" t="n">
        <v>48</v>
      </c>
      <c r="B75" s="387" t="inlineStr">
        <is>
          <t>02.3.01.02-0016</t>
        </is>
      </c>
      <c r="C75" s="394" t="inlineStr">
        <is>
          <t>Песок природный для строительных: работ средний с крупностью зерен размером свыше 5 мм-до 5% по массе</t>
        </is>
      </c>
      <c r="D75" s="387" t="inlineStr">
        <is>
          <t>м3</t>
        </is>
      </c>
      <c r="E75" s="395" t="n">
        <v>125.253</v>
      </c>
      <c r="F75" s="396" t="n">
        <v>55.26</v>
      </c>
      <c r="G75" s="304">
        <f>ROUND(E75*F75,2)</f>
        <v/>
      </c>
      <c r="H75" s="311">
        <f>G75/$G$149</f>
        <v/>
      </c>
      <c r="I75" s="304">
        <f>ROUND(F75*'Прил. 10'!$D$13,2)</f>
        <v/>
      </c>
      <c r="J75" s="304">
        <f>ROUND(I75*E75,2)</f>
        <v/>
      </c>
    </row>
    <row r="76" ht="52.9" customFormat="1" customHeight="1" s="322">
      <c r="A76" s="387" t="n">
        <v>49</v>
      </c>
      <c r="B76" s="387" t="inlineStr">
        <is>
          <t>04.1.02.02-0011</t>
        </is>
      </c>
      <c r="C76" s="394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387" t="inlineStr">
        <is>
          <t>м3</t>
        </is>
      </c>
      <c r="E76" s="395" t="n">
        <v>5.498</v>
      </c>
      <c r="F76" s="396" t="n">
        <v>1025.05</v>
      </c>
      <c r="G76" s="304">
        <f>ROUND(E76*F76,2)</f>
        <v/>
      </c>
      <c r="H76" s="311">
        <f>G76/$G$149</f>
        <v/>
      </c>
      <c r="I76" s="304">
        <f>ROUND(F76*'Прил. 10'!$D$13,2)</f>
        <v/>
      </c>
      <c r="J76" s="304">
        <f>ROUND(I76*E76,2)</f>
        <v/>
      </c>
    </row>
    <row r="77" ht="26.45" customFormat="1" customHeight="1" s="322">
      <c r="A77" s="387" t="n">
        <v>50</v>
      </c>
      <c r="B77" s="387" t="inlineStr">
        <is>
          <t>07.2.07.04-0007</t>
        </is>
      </c>
      <c r="C77" s="394" t="inlineStr">
        <is>
          <t>Конструкции стальные индивидуальные решетчатые сварные, масса до 0,1 т</t>
        </is>
      </c>
      <c r="D77" s="387" t="inlineStr">
        <is>
          <t>т</t>
        </is>
      </c>
      <c r="E77" s="395" t="n">
        <v>0.483</v>
      </c>
      <c r="F77" s="396" t="n">
        <v>11500</v>
      </c>
      <c r="G77" s="304">
        <f>ROUND(E77*F77,2)</f>
        <v/>
      </c>
      <c r="H77" s="311">
        <f>G77/$G$149</f>
        <v/>
      </c>
      <c r="I77" s="304">
        <f>ROUND(F77*'Прил. 10'!$D$13,2)</f>
        <v/>
      </c>
      <c r="J77" s="304">
        <f>ROUND(I77*E77,2)</f>
        <v/>
      </c>
    </row>
    <row r="78" ht="13.9" customFormat="1" customHeight="1" s="322">
      <c r="A78" s="387" t="n">
        <v>51</v>
      </c>
      <c r="B78" s="387" t="inlineStr">
        <is>
          <t>08.1.02.25-0021</t>
        </is>
      </c>
      <c r="C78" s="394" t="inlineStr">
        <is>
          <t>Дробь металлическая</t>
        </is>
      </c>
      <c r="D78" s="387" t="inlineStr">
        <is>
          <t>т</t>
        </is>
      </c>
      <c r="E78" s="395" t="n">
        <v>1.008</v>
      </c>
      <c r="F78" s="396" t="n">
        <v>4390</v>
      </c>
      <c r="G78" s="304">
        <f>ROUND(E78*F78,2)</f>
        <v/>
      </c>
      <c r="H78" s="311">
        <f>G78/$G$149</f>
        <v/>
      </c>
      <c r="I78" s="304">
        <f>ROUND(F78*'Прил. 10'!$D$13,2)</f>
        <v/>
      </c>
      <c r="J78" s="304">
        <f>ROUND(I78*E78,2)</f>
        <v/>
      </c>
    </row>
    <row r="79" ht="13.9" customFormat="1" customHeight="1" s="322">
      <c r="A79" s="387" t="n">
        <v>52</v>
      </c>
      <c r="B79" s="387" t="inlineStr">
        <is>
          <t>01.7.15.01-0031</t>
        </is>
      </c>
      <c r="C79" s="394" t="inlineStr">
        <is>
          <t>Анкер высоких нагрузок Hilti HSL-3 M24/60</t>
        </is>
      </c>
      <c r="D79" s="387" t="inlineStr">
        <is>
          <t>шт</t>
        </is>
      </c>
      <c r="E79" s="395" t="n">
        <v>11.667</v>
      </c>
      <c r="F79" s="396" t="n">
        <v>332.85</v>
      </c>
      <c r="G79" s="304">
        <f>ROUND(E79*F79,2)</f>
        <v/>
      </c>
      <c r="H79" s="311">
        <f>G79/$G$149</f>
        <v/>
      </c>
      <c r="I79" s="304">
        <f>ROUND(F79*'Прил. 10'!$D$13,2)</f>
        <v/>
      </c>
      <c r="J79" s="304">
        <f>ROUND(I79*E79,2)</f>
        <v/>
      </c>
    </row>
    <row r="80" ht="13.9" customFormat="1" customHeight="1" s="322">
      <c r="A80" s="387" t="n">
        <v>53</v>
      </c>
      <c r="B80" s="387" t="inlineStr">
        <is>
          <t>08.3.08.03-0011</t>
        </is>
      </c>
      <c r="C80" s="394" t="inlineStr">
        <is>
          <t>Сталь угловая</t>
        </is>
      </c>
      <c r="D80" s="387" t="inlineStr">
        <is>
          <t>т</t>
        </is>
      </c>
      <c r="E80" s="395" t="n">
        <v>0.65</v>
      </c>
      <c r="F80" s="396" t="n">
        <v>5763</v>
      </c>
      <c r="G80" s="304">
        <f>ROUND(E80*F80,2)</f>
        <v/>
      </c>
      <c r="H80" s="311">
        <f>G80/$G$149</f>
        <v/>
      </c>
      <c r="I80" s="304">
        <f>ROUND(F80*'Прил. 10'!$D$13,2)</f>
        <v/>
      </c>
      <c r="J80" s="304">
        <f>ROUND(I80*E80,2)</f>
        <v/>
      </c>
    </row>
    <row r="81" ht="13.9" customFormat="1" customHeight="1" s="322">
      <c r="A81" s="389" t="n"/>
      <c r="B81" s="214" t="n"/>
      <c r="C81" s="215" t="inlineStr">
        <is>
          <t>Итого основные материалы</t>
        </is>
      </c>
      <c r="D81" s="389" t="n"/>
      <c r="E81" s="479" t="n"/>
      <c r="F81" s="295" t="n"/>
      <c r="G81" s="295">
        <f>SUM(G65:G80)</f>
        <v/>
      </c>
      <c r="H81" s="311">
        <f>G81/$G$149</f>
        <v/>
      </c>
      <c r="I81" s="304" t="n"/>
      <c r="J81" s="295">
        <f>SUM(J65:J80)</f>
        <v/>
      </c>
    </row>
    <row r="82" outlineLevel="1" ht="26.45" customFormat="1" customHeight="1" s="322">
      <c r="A82" s="387" t="n">
        <v>54</v>
      </c>
      <c r="B82" s="387" t="inlineStr">
        <is>
          <t>08.3.05.02-0058</t>
        </is>
      </c>
      <c r="C82" s="394" t="inlineStr">
        <is>
          <t>Прокат толстолистовой горячекатаный в листах, марка стали Ст3, толщина 6-8 мм</t>
        </is>
      </c>
      <c r="D82" s="387" t="inlineStr">
        <is>
          <t>т</t>
        </is>
      </c>
      <c r="E82" s="395" t="n">
        <v>0.55</v>
      </c>
      <c r="F82" s="396" t="n">
        <v>5891.61</v>
      </c>
      <c r="G82" s="304">
        <f>ROUND(E82*F82,2)</f>
        <v/>
      </c>
      <c r="H82" s="311">
        <f>G82/$G$149</f>
        <v/>
      </c>
      <c r="I82" s="304">
        <f>ROUND(F82*'Прил. 10'!$D$13,2)</f>
        <v/>
      </c>
      <c r="J82" s="304">
        <f>ROUND(I82*E82,2)</f>
        <v/>
      </c>
    </row>
    <row r="83" outlineLevel="1" ht="26.45" customFormat="1" customHeight="1" s="322">
      <c r="A83" s="387" t="n">
        <v>55</v>
      </c>
      <c r="B83" s="387" t="inlineStr">
        <is>
          <t>04.1.02.05-0003</t>
        </is>
      </c>
      <c r="C83" s="394" t="inlineStr">
        <is>
          <t>Смеси бетонные тяжелого бетона (БСТ), класс В7,5 (М100)</t>
        </is>
      </c>
      <c r="D83" s="387" t="inlineStr">
        <is>
          <t>м3</t>
        </is>
      </c>
      <c r="E83" s="395" t="n">
        <v>4.9</v>
      </c>
      <c r="F83" s="396" t="n">
        <v>560</v>
      </c>
      <c r="G83" s="304">
        <f>ROUND(E83*F83,2)</f>
        <v/>
      </c>
      <c r="H83" s="311">
        <f>G83/$G$149</f>
        <v/>
      </c>
      <c r="I83" s="304">
        <f>ROUND(F83*'Прил. 10'!$D$13,2)</f>
        <v/>
      </c>
      <c r="J83" s="304">
        <f>ROUND(I83*E83,2)</f>
        <v/>
      </c>
    </row>
    <row r="84" outlineLevel="1" ht="26.45" customFormat="1" customHeight="1" s="322">
      <c r="A84" s="387" t="n">
        <v>56</v>
      </c>
      <c r="B84" s="387" t="inlineStr">
        <is>
          <t>12.1.02.15-0001</t>
        </is>
      </c>
      <c r="C84" s="394" t="inlineStr">
        <is>
          <t>Барьер ОС ГЧ ЭМС (ТУ 5774-007-17925162-2002)</t>
        </is>
      </c>
      <c r="D84" s="387" t="inlineStr">
        <is>
          <t>м2</t>
        </is>
      </c>
      <c r="E84" s="395" t="n">
        <v>47.28</v>
      </c>
      <c r="F84" s="396" t="n">
        <v>44.98</v>
      </c>
      <c r="G84" s="304">
        <f>ROUND(E84*F84,2)</f>
        <v/>
      </c>
      <c r="H84" s="311">
        <f>G84/$G$149</f>
        <v/>
      </c>
      <c r="I84" s="304">
        <f>ROUND(F84*'Прил. 10'!$D$13,2)</f>
        <v/>
      </c>
      <c r="J84" s="304">
        <f>ROUND(I84*E84,2)</f>
        <v/>
      </c>
    </row>
    <row r="85" outlineLevel="1" ht="26.45" customFormat="1" customHeight="1" s="322">
      <c r="A85" s="387" t="n">
        <v>57</v>
      </c>
      <c r="B85" s="387" t="inlineStr">
        <is>
          <t>07.2.05.01-0032</t>
        </is>
      </c>
      <c r="C85" s="394" t="inlineStr">
        <is>
          <t>Ограждения лестничных проемов, лестничные марши, пожарные лестницы</t>
        </is>
      </c>
      <c r="D85" s="387" t="inlineStr">
        <is>
          <t>т</t>
        </is>
      </c>
      <c r="E85" s="395" t="n">
        <v>0.26</v>
      </c>
      <c r="F85" s="396" t="n">
        <v>7571</v>
      </c>
      <c r="G85" s="304">
        <f>ROUND(E85*F85,2)</f>
        <v/>
      </c>
      <c r="H85" s="311">
        <f>G85/$G$149</f>
        <v/>
      </c>
      <c r="I85" s="304">
        <f>ROUND(F85*'Прил. 10'!$D$13,2)</f>
        <v/>
      </c>
      <c r="J85" s="304">
        <f>ROUND(I85*E85,2)</f>
        <v/>
      </c>
    </row>
    <row r="86" outlineLevel="1" ht="26.45" customFormat="1" customHeight="1" s="322">
      <c r="A86" s="387" t="n">
        <v>58</v>
      </c>
      <c r="B86" s="387" t="inlineStr">
        <is>
          <t>14.2.01.05-0001</t>
        </is>
      </c>
      <c r="C86" s="394" t="inlineStr">
        <is>
          <t>Композиция на основе термопластичных полимеров</t>
        </is>
      </c>
      <c r="D86" s="387" t="inlineStr">
        <is>
          <t>кг</t>
        </is>
      </c>
      <c r="E86" s="395" t="n">
        <v>30.38</v>
      </c>
      <c r="F86" s="396" t="n">
        <v>54.99</v>
      </c>
      <c r="G86" s="304">
        <f>ROUND(E86*F86,2)</f>
        <v/>
      </c>
      <c r="H86" s="311">
        <f>G86/$G$149</f>
        <v/>
      </c>
      <c r="I86" s="304">
        <f>ROUND(F86*'Прил. 10'!$D$13,2)</f>
        <v/>
      </c>
      <c r="J86" s="304">
        <f>ROUND(I86*E86,2)</f>
        <v/>
      </c>
    </row>
    <row r="87" outlineLevel="1" ht="26.45" customFormat="1" customHeight="1" s="322">
      <c r="A87" s="387" t="n">
        <v>59</v>
      </c>
      <c r="B87" s="387" t="inlineStr">
        <is>
          <t>24.3.03.13-0418</t>
        </is>
      </c>
      <c r="C87" s="394" t="inlineStr">
        <is>
          <t>Труба напорная полиэтиленовая ПНД, среднего типа, диаметр 110 мм</t>
        </is>
      </c>
      <c r="D87" s="387" t="inlineStr">
        <is>
          <t>м</t>
        </is>
      </c>
      <c r="E87" s="395" t="n">
        <v>25</v>
      </c>
      <c r="F87" s="396" t="n">
        <v>63</v>
      </c>
      <c r="G87" s="304">
        <f>ROUND(E87*F87,2)</f>
        <v/>
      </c>
      <c r="H87" s="311">
        <f>G87/$G$149</f>
        <v/>
      </c>
      <c r="I87" s="304">
        <f>ROUND(F87*'Прил. 10'!$D$13,2)</f>
        <v/>
      </c>
      <c r="J87" s="304">
        <f>ROUND(I87*E87,2)</f>
        <v/>
      </c>
    </row>
    <row r="88" outlineLevel="1" ht="26.45" customFormat="1" customHeight="1" s="322">
      <c r="A88" s="387" t="n">
        <v>60</v>
      </c>
      <c r="B88" s="387" t="inlineStr">
        <is>
          <t>08.3.01.02-0019</t>
        </is>
      </c>
      <c r="C88" s="394" t="inlineStr">
        <is>
          <t>Двутавр с параллельными гранями полок №14 Б1, Б2, сталь марки Ст0</t>
        </is>
      </c>
      <c r="D88" s="387" t="inlineStr">
        <is>
          <t>т</t>
        </is>
      </c>
      <c r="E88" s="395" t="n">
        <v>0.25</v>
      </c>
      <c r="F88" s="396" t="n">
        <v>5374.3</v>
      </c>
      <c r="G88" s="304">
        <f>ROUND(E88*F88,2)</f>
        <v/>
      </c>
      <c r="H88" s="311">
        <f>G88/$G$149</f>
        <v/>
      </c>
      <c r="I88" s="304">
        <f>ROUND(F88*'Прил. 10'!$D$13,2)</f>
        <v/>
      </c>
      <c r="J88" s="304">
        <f>ROUND(I88*E88,2)</f>
        <v/>
      </c>
    </row>
    <row r="89" outlineLevel="1" ht="13.9" customFormat="1" customHeight="1" s="322">
      <c r="A89" s="387" t="n">
        <v>61</v>
      </c>
      <c r="B89" s="387" t="inlineStr">
        <is>
          <t>08.4.01.02-0001</t>
        </is>
      </c>
      <c r="C89" s="394" t="inlineStr">
        <is>
          <t>Детали закладные, вес до 1 кг</t>
        </is>
      </c>
      <c r="D89" s="387" t="inlineStr">
        <is>
          <t>т</t>
        </is>
      </c>
      <c r="E89" s="395" t="n">
        <v>0.11</v>
      </c>
      <c r="F89" s="396" t="n">
        <v>11684</v>
      </c>
      <c r="G89" s="304">
        <f>ROUND(E89*F89,2)</f>
        <v/>
      </c>
      <c r="H89" s="311">
        <f>G89/$G$149</f>
        <v/>
      </c>
      <c r="I89" s="304">
        <f>ROUND(F89*'Прил. 10'!$D$13,2)</f>
        <v/>
      </c>
      <c r="J89" s="304">
        <f>ROUND(I89*E89,2)</f>
        <v/>
      </c>
    </row>
    <row r="90" outlineLevel="1" ht="13.9" customFormat="1" customHeight="1" s="322">
      <c r="A90" s="387" t="n">
        <v>62</v>
      </c>
      <c r="B90" s="387" t="inlineStr">
        <is>
          <t>02.2.01.02-0001</t>
        </is>
      </c>
      <c r="C90" s="394" t="inlineStr">
        <is>
          <t>Гравий баритовый</t>
        </is>
      </c>
      <c r="D90" s="387" t="inlineStr">
        <is>
          <t>м3</t>
        </is>
      </c>
      <c r="E90" s="395" t="n">
        <v>0.22</v>
      </c>
      <c r="F90" s="396" t="n">
        <v>5292</v>
      </c>
      <c r="G90" s="304">
        <f>ROUND(E90*F90,2)</f>
        <v/>
      </c>
      <c r="H90" s="311">
        <f>G90/$G$149</f>
        <v/>
      </c>
      <c r="I90" s="304">
        <f>ROUND(F90*'Прил. 10'!$D$13,2)</f>
        <v/>
      </c>
      <c r="J90" s="304">
        <f>ROUND(I90*E90,2)</f>
        <v/>
      </c>
    </row>
    <row r="91" outlineLevel="1" ht="26.45" customFormat="1" customHeight="1" s="322">
      <c r="A91" s="387" t="n">
        <v>63</v>
      </c>
      <c r="B91" s="387" t="inlineStr">
        <is>
          <t>01.7.07.12-0001</t>
        </is>
      </c>
      <c r="C91" s="394" t="inlineStr">
        <is>
          <t>Обертка защитная на полиэтиленовой основе</t>
        </is>
      </c>
      <c r="D91" s="387" t="inlineStr">
        <is>
          <t>м2</t>
        </is>
      </c>
      <c r="E91" s="395" t="n">
        <v>29.13</v>
      </c>
      <c r="F91" s="396" t="n">
        <v>32</v>
      </c>
      <c r="G91" s="304">
        <f>ROUND(E91*F91,2)</f>
        <v/>
      </c>
      <c r="H91" s="311">
        <f>G91/$G$149</f>
        <v/>
      </c>
      <c r="I91" s="304">
        <f>ROUND(F91*'Прил. 10'!$D$13,2)</f>
        <v/>
      </c>
      <c r="J91" s="304">
        <f>ROUND(I91*E91,2)</f>
        <v/>
      </c>
    </row>
    <row r="92" outlineLevel="1" ht="13.9" customFormat="1" customHeight="1" s="322">
      <c r="A92" s="387" t="n">
        <v>64</v>
      </c>
      <c r="B92" s="387" t="inlineStr">
        <is>
          <t>08.3.11.01-0053</t>
        </is>
      </c>
      <c r="C92" s="394" t="inlineStr">
        <is>
          <t>Швеллеры: № 14 сталь марки Ст3пс</t>
        </is>
      </c>
      <c r="D92" s="387" t="inlineStr">
        <is>
          <t>т</t>
        </is>
      </c>
      <c r="E92" s="395" t="n">
        <v>0.19</v>
      </c>
      <c r="F92" s="396" t="n">
        <v>4800</v>
      </c>
      <c r="G92" s="304">
        <f>ROUND(E92*F92,2)</f>
        <v/>
      </c>
      <c r="H92" s="311">
        <f>G92/$G$149</f>
        <v/>
      </c>
      <c r="I92" s="304">
        <f>ROUND(F92*'Прил. 10'!$D$13,2)</f>
        <v/>
      </c>
      <c r="J92" s="304">
        <f>ROUND(I92*E92,2)</f>
        <v/>
      </c>
    </row>
    <row r="93" outlineLevel="1" ht="13.9" customFormat="1" customHeight="1" s="322">
      <c r="A93" s="387" t="n">
        <v>65</v>
      </c>
      <c r="B93" s="387" t="inlineStr">
        <is>
          <t>11.2.13.04-0011</t>
        </is>
      </c>
      <c r="C93" s="394" t="inlineStr">
        <is>
          <t>Щиты из досок, толщина 25 мм</t>
        </is>
      </c>
      <c r="D93" s="387" t="inlineStr">
        <is>
          <t>м2</t>
        </is>
      </c>
      <c r="E93" s="395" t="n">
        <v>25.28</v>
      </c>
      <c r="F93" s="396" t="n">
        <v>35.53</v>
      </c>
      <c r="G93" s="304">
        <f>ROUND(E93*F93,2)</f>
        <v/>
      </c>
      <c r="H93" s="311">
        <f>G93/$G$149</f>
        <v/>
      </c>
      <c r="I93" s="304">
        <f>ROUND(F93*'Прил. 10'!$D$13,2)</f>
        <v/>
      </c>
      <c r="J93" s="304">
        <f>ROUND(I93*E93,2)</f>
        <v/>
      </c>
    </row>
    <row r="94" outlineLevel="1" ht="13.9" customFormat="1" customHeight="1" s="322">
      <c r="A94" s="387" t="n">
        <v>66</v>
      </c>
      <c r="B94" s="387" t="inlineStr">
        <is>
          <t>01.7.15.03-0042</t>
        </is>
      </c>
      <c r="C94" s="394" t="inlineStr">
        <is>
          <t>Болты с гайками и шайбами строительные</t>
        </is>
      </c>
      <c r="D94" s="387" t="inlineStr">
        <is>
          <t>кг</t>
        </is>
      </c>
      <c r="E94" s="395" t="n">
        <v>87.34</v>
      </c>
      <c r="F94" s="396" t="n">
        <v>9.039999999999999</v>
      </c>
      <c r="G94" s="304">
        <f>ROUND(E94*F94,2)</f>
        <v/>
      </c>
      <c r="H94" s="311">
        <f>G94/$G$149</f>
        <v/>
      </c>
      <c r="I94" s="304">
        <f>ROUND(F94*'Прил. 10'!$D$13,2)</f>
        <v/>
      </c>
      <c r="J94" s="304">
        <f>ROUND(I94*E94,2)</f>
        <v/>
      </c>
    </row>
    <row r="95" outlineLevel="1" ht="13.9" customFormat="1" customHeight="1" s="322">
      <c r="A95" s="387" t="n">
        <v>67</v>
      </c>
      <c r="B95" s="387" t="inlineStr">
        <is>
          <t>21.2.02.01-0028</t>
        </is>
      </c>
      <c r="C95" s="394" t="inlineStr">
        <is>
          <t>Провод антенный МГ, сечение 25 мм2</t>
        </is>
      </c>
      <c r="D95" s="387" t="inlineStr">
        <is>
          <t>т</t>
        </is>
      </c>
      <c r="E95" s="395" t="n">
        <v>0.01</v>
      </c>
      <c r="F95" s="396" t="n">
        <v>64315.46</v>
      </c>
      <c r="G95" s="304">
        <f>ROUND(E95*F95,2)</f>
        <v/>
      </c>
      <c r="H95" s="311">
        <f>G95/$G$149</f>
        <v/>
      </c>
      <c r="I95" s="304">
        <f>ROUND(F95*'Прил. 10'!$D$13,2)</f>
        <v/>
      </c>
      <c r="J95" s="304">
        <f>ROUND(I95*E95,2)</f>
        <v/>
      </c>
    </row>
    <row r="96" outlineLevel="1" ht="39.6" customFormat="1" customHeight="1" s="322">
      <c r="A96" s="387" t="n">
        <v>68</v>
      </c>
      <c r="B96" s="387" t="inlineStr">
        <is>
          <t>08.4.03.03-0031</t>
        </is>
      </c>
      <c r="C96" s="394" t="inlineStr">
        <is>
          <t>Сталь арматурная, горячекатаная, периодического профиля, класс А-III, диаметр 10 мм</t>
        </is>
      </c>
      <c r="D96" s="387" t="inlineStr">
        <is>
          <t>т</t>
        </is>
      </c>
      <c r="E96" s="395" t="n">
        <v>0.08</v>
      </c>
      <c r="F96" s="396" t="n">
        <v>8014.15</v>
      </c>
      <c r="G96" s="304">
        <f>ROUND(E96*F96,2)</f>
        <v/>
      </c>
      <c r="H96" s="311">
        <f>G96/$G$149</f>
        <v/>
      </c>
      <c r="I96" s="304">
        <f>ROUND(F96*'Прил. 10'!$D$13,2)</f>
        <v/>
      </c>
      <c r="J96" s="304">
        <f>ROUND(I96*E96,2)</f>
        <v/>
      </c>
    </row>
    <row r="97" outlineLevel="1" ht="13.9" customFormat="1" customHeight="1" s="322">
      <c r="A97" s="387" t="n">
        <v>69</v>
      </c>
      <c r="B97" s="387" t="inlineStr">
        <is>
          <t>08.1.02.25-0012</t>
        </is>
      </c>
      <c r="C97" s="394" t="inlineStr">
        <is>
          <t>Детали крепления, масса до 0,001 т</t>
        </is>
      </c>
      <c r="D97" s="387" t="inlineStr">
        <is>
          <t>т</t>
        </is>
      </c>
      <c r="E97" s="395" t="n">
        <v>0.06</v>
      </c>
      <c r="F97" s="396" t="n">
        <v>10100</v>
      </c>
      <c r="G97" s="304">
        <f>ROUND(E97*F97,2)</f>
        <v/>
      </c>
      <c r="H97" s="311">
        <f>G97/$G$149</f>
        <v/>
      </c>
      <c r="I97" s="304">
        <f>ROUND(F97*'Прил. 10'!$D$13,2)</f>
        <v/>
      </c>
      <c r="J97" s="304">
        <f>ROUND(I97*E97,2)</f>
        <v/>
      </c>
    </row>
    <row r="98" outlineLevel="1" ht="26.45" customFormat="1" customHeight="1" s="322">
      <c r="A98" s="387" t="n">
        <v>70</v>
      </c>
      <c r="B98" s="387" t="inlineStr">
        <is>
          <t>01.7.07.12-0022</t>
        </is>
      </c>
      <c r="C98" s="394" t="inlineStr">
        <is>
          <t>Пленка полиэтиленовая, толщина 0,2-0,5 мм</t>
        </is>
      </c>
      <c r="D98" s="387" t="inlineStr">
        <is>
          <t>м2</t>
        </is>
      </c>
      <c r="E98" s="395" t="n">
        <v>43.78</v>
      </c>
      <c r="F98" s="396" t="n">
        <v>12.19</v>
      </c>
      <c r="G98" s="304">
        <f>ROUND(E98*F98,2)</f>
        <v/>
      </c>
      <c r="H98" s="311">
        <f>G98/$G$149</f>
        <v/>
      </c>
      <c r="I98" s="304">
        <f>ROUND(F98*'Прил. 10'!$D$13,2)</f>
        <v/>
      </c>
      <c r="J98" s="304">
        <f>ROUND(I98*E98,2)</f>
        <v/>
      </c>
    </row>
    <row r="99" outlineLevel="1" ht="39.6" customFormat="1" customHeight="1" s="322">
      <c r="A99" s="387" t="n">
        <v>71</v>
      </c>
      <c r="B99" s="387" t="inlineStr">
        <is>
          <t>11.1.03.06-0095</t>
        </is>
      </c>
      <c r="C99" s="394" t="inlineStr">
        <is>
          <t>Доска обрезная, хвойных пород, ширина 75-150 мм, толщина 44 мм и более, длина 4-6,5 м, сорт III</t>
        </is>
      </c>
      <c r="D99" s="387" t="inlineStr">
        <is>
          <t>м3</t>
        </is>
      </c>
      <c r="E99" s="395" t="n">
        <v>0.47</v>
      </c>
      <c r="F99" s="396" t="n">
        <v>1056</v>
      </c>
      <c r="G99" s="304">
        <f>ROUND(E99*F99,2)</f>
        <v/>
      </c>
      <c r="H99" s="311">
        <f>G99/$G$149</f>
        <v/>
      </c>
      <c r="I99" s="304">
        <f>ROUND(F99*'Прил. 10'!$D$13,2)</f>
        <v/>
      </c>
      <c r="J99" s="304">
        <f>ROUND(I99*E99,2)</f>
        <v/>
      </c>
    </row>
    <row r="100" outlineLevel="1" ht="26.45" customFormat="1" customHeight="1" s="322">
      <c r="A100" s="387" t="n">
        <v>72</v>
      </c>
      <c r="B100" s="387" t="inlineStr">
        <is>
          <t>08.4.03.02-0002</t>
        </is>
      </c>
      <c r="C100" s="394" t="inlineStr">
        <is>
          <t>Сталь арматурная, горячекатаная, гладкая, класс А-I, диаметр 8 мм</t>
        </is>
      </c>
      <c r="D100" s="387" t="inlineStr">
        <is>
          <t>т</t>
        </is>
      </c>
      <c r="E100" s="395" t="n">
        <v>0.07000000000000001</v>
      </c>
      <c r="F100" s="396" t="n">
        <v>6780</v>
      </c>
      <c r="G100" s="304">
        <f>ROUND(E100*F100,2)</f>
        <v/>
      </c>
      <c r="H100" s="311">
        <f>G100/$G$149</f>
        <v/>
      </c>
      <c r="I100" s="304">
        <f>ROUND(F100*'Прил. 10'!$D$13,2)</f>
        <v/>
      </c>
      <c r="J100" s="304">
        <f>ROUND(I100*E100,2)</f>
        <v/>
      </c>
    </row>
    <row r="101" outlineLevel="1" ht="13.9" customFormat="1" customHeight="1" s="322">
      <c r="A101" s="387" t="n">
        <v>73</v>
      </c>
      <c r="B101" s="387" t="inlineStr">
        <is>
          <t>08.3.07.01-0056</t>
        </is>
      </c>
      <c r="C101" s="394" t="inlineStr">
        <is>
          <t>Сталь полосовая: 60х4 мм, марка Ст3сп</t>
        </is>
      </c>
      <c r="D101" s="387" t="inlineStr">
        <is>
          <t>т</t>
        </is>
      </c>
      <c r="E101" s="395" t="n">
        <v>0.06</v>
      </c>
      <c r="F101" s="396" t="n">
        <v>7396.23</v>
      </c>
      <c r="G101" s="304">
        <f>ROUND(E101*F101,2)</f>
        <v/>
      </c>
      <c r="H101" s="311">
        <f>G101/$G$149</f>
        <v/>
      </c>
      <c r="I101" s="304">
        <f>ROUND(F101*'Прил. 10'!$D$13,2)</f>
        <v/>
      </c>
      <c r="J101" s="304">
        <f>ROUND(I101*E101,2)</f>
        <v/>
      </c>
    </row>
    <row r="102" outlineLevel="1" ht="13.9" customFormat="1" customHeight="1" s="322">
      <c r="A102" s="387" t="n">
        <v>74</v>
      </c>
      <c r="B102" s="387" t="inlineStr">
        <is>
          <t>14.4.04.09-0016</t>
        </is>
      </c>
      <c r="C102" s="394" t="inlineStr">
        <is>
          <t>Эмаль ХВ-124, голубая</t>
        </is>
      </c>
      <c r="D102" s="387" t="inlineStr">
        <is>
          <t>т</t>
        </is>
      </c>
      <c r="E102" s="395" t="n">
        <v>0.02</v>
      </c>
      <c r="F102" s="396" t="n">
        <v>22050</v>
      </c>
      <c r="G102" s="304">
        <f>ROUND(E102*F102,2)</f>
        <v/>
      </c>
      <c r="H102" s="311">
        <f>G102/$G$149</f>
        <v/>
      </c>
      <c r="I102" s="304">
        <f>ROUND(F102*'Прил. 10'!$D$13,2)</f>
        <v/>
      </c>
      <c r="J102" s="304">
        <f>ROUND(I102*E102,2)</f>
        <v/>
      </c>
    </row>
    <row r="103" outlineLevel="1" ht="26.45" customFormat="1" customHeight="1" s="322">
      <c r="A103" s="387" t="n">
        <v>75</v>
      </c>
      <c r="B103" s="387" t="inlineStr">
        <is>
          <t>01.7.06.03-0022</t>
        </is>
      </c>
      <c r="C103" s="394" t="inlineStr">
        <is>
          <t>Лента полиэтиленовая с липким слоем А50</t>
        </is>
      </c>
      <c r="D103" s="387" t="inlineStr">
        <is>
          <t>кг</t>
        </is>
      </c>
      <c r="E103" s="395" t="n">
        <v>3.34</v>
      </c>
      <c r="F103" s="396" t="n">
        <v>112</v>
      </c>
      <c r="G103" s="304">
        <f>ROUND(E103*F103,2)</f>
        <v/>
      </c>
      <c r="H103" s="311">
        <f>G103/$G$149</f>
        <v/>
      </c>
      <c r="I103" s="304">
        <f>ROUND(F103*'Прил. 10'!$D$13,2)</f>
        <v/>
      </c>
      <c r="J103" s="304">
        <f>ROUND(I103*E103,2)</f>
        <v/>
      </c>
    </row>
    <row r="104" outlineLevel="1" ht="26.45" customFormat="1" customHeight="1" s="322">
      <c r="A104" s="387" t="n">
        <v>76</v>
      </c>
      <c r="B104" s="387" t="inlineStr">
        <is>
          <t>04.3.02.13-0212</t>
        </is>
      </c>
      <c r="C104" s="394" t="inlineStr">
        <is>
          <t>Смеси сухие цементно-песчаные кладочные, класс B3,5 (М50)</t>
        </is>
      </c>
      <c r="D104" s="387" t="inlineStr">
        <is>
          <t>т</t>
        </is>
      </c>
      <c r="E104" s="395" t="n">
        <v>0.58</v>
      </c>
      <c r="F104" s="396" t="n">
        <v>556.76</v>
      </c>
      <c r="G104" s="304">
        <f>ROUND(E104*F104,2)</f>
        <v/>
      </c>
      <c r="H104" s="311">
        <f>G104/$G$149</f>
        <v/>
      </c>
      <c r="I104" s="304">
        <f>ROUND(F104*'Прил. 10'!$D$13,2)</f>
        <v/>
      </c>
      <c r="J104" s="304">
        <f>ROUND(I104*E104,2)</f>
        <v/>
      </c>
    </row>
    <row r="105" outlineLevel="1" ht="26.45" customFormat="1" customHeight="1" s="322">
      <c r="A105" s="387" t="n">
        <v>77</v>
      </c>
      <c r="B105" s="387" t="inlineStr">
        <is>
          <t>21.2.01.02-0089</t>
        </is>
      </c>
      <c r="C105" s="394" t="inlineStr">
        <is>
          <t>Провод неизолированный для воздушных линий электропередачи АС 120/19</t>
        </is>
      </c>
      <c r="D105" s="387" t="inlineStr">
        <is>
          <t>т</t>
        </is>
      </c>
      <c r="E105" s="395" t="n">
        <v>0.01</v>
      </c>
      <c r="F105" s="396" t="n">
        <v>32007.25</v>
      </c>
      <c r="G105" s="304">
        <f>ROUND(E105*F105,2)</f>
        <v/>
      </c>
      <c r="H105" s="311">
        <f>G105/$G$149</f>
        <v/>
      </c>
      <c r="I105" s="304">
        <f>ROUND(F105*'Прил. 10'!$D$13,2)</f>
        <v/>
      </c>
      <c r="J105" s="304">
        <f>ROUND(I105*E105,2)</f>
        <v/>
      </c>
    </row>
    <row r="106" outlineLevel="1" ht="13.9" customFormat="1" customHeight="1" s="322">
      <c r="A106" s="387" t="n">
        <v>78</v>
      </c>
      <c r="B106" s="387" t="inlineStr">
        <is>
          <t>01.7.15.06-0111</t>
        </is>
      </c>
      <c r="C106" s="394" t="inlineStr">
        <is>
          <t>Гвозди строительные</t>
        </is>
      </c>
      <c r="D106" s="387" t="inlineStr">
        <is>
          <t>т</t>
        </is>
      </c>
      <c r="E106" s="395" t="n">
        <v>0.02</v>
      </c>
      <c r="F106" s="396" t="n">
        <v>11978</v>
      </c>
      <c r="G106" s="304">
        <f>ROUND(E106*F106,2)</f>
        <v/>
      </c>
      <c r="H106" s="311">
        <f>G106/$G$149</f>
        <v/>
      </c>
      <c r="I106" s="304">
        <f>ROUND(F106*'Прил. 10'!$D$13,2)</f>
        <v/>
      </c>
      <c r="J106" s="304">
        <f>ROUND(I106*E106,2)</f>
        <v/>
      </c>
    </row>
    <row r="107" outlineLevel="1" ht="13.9" customFormat="1" customHeight="1" s="322">
      <c r="A107" s="387" t="n">
        <v>79</v>
      </c>
      <c r="B107" s="387" t="inlineStr">
        <is>
          <t>01.7.11.07-0032</t>
        </is>
      </c>
      <c r="C107" s="394" t="inlineStr">
        <is>
          <t>Электроды сварочные Э42, диаметр 4 мм</t>
        </is>
      </c>
      <c r="D107" s="387" t="inlineStr">
        <is>
          <t>т</t>
        </is>
      </c>
      <c r="E107" s="395" t="n">
        <v>0.02</v>
      </c>
      <c r="F107" s="396" t="n">
        <v>10315.01</v>
      </c>
      <c r="G107" s="304">
        <f>ROUND(E107*F107,2)</f>
        <v/>
      </c>
      <c r="H107" s="311">
        <f>G107/$G$149</f>
        <v/>
      </c>
      <c r="I107" s="304">
        <f>ROUND(F107*'Прил. 10'!$D$13,2)</f>
        <v/>
      </c>
      <c r="J107" s="304">
        <f>ROUND(I107*E107,2)</f>
        <v/>
      </c>
    </row>
    <row r="108" outlineLevel="1" ht="26.45" customFormat="1" customHeight="1" s="322">
      <c r="A108" s="387" t="n">
        <v>80</v>
      </c>
      <c r="B108" s="387" t="inlineStr">
        <is>
          <t>08.4.01.01-0022</t>
        </is>
      </c>
      <c r="C108" s="394" t="inlineStr">
        <is>
          <t>Детали анкерные с резьбой из прямых или гнутых круглых стержней</t>
        </is>
      </c>
      <c r="D108" s="387" t="inlineStr">
        <is>
          <t>т</t>
        </is>
      </c>
      <c r="E108" s="395" t="n">
        <v>0.02</v>
      </c>
      <c r="F108" s="396" t="n">
        <v>10100</v>
      </c>
      <c r="G108" s="304">
        <f>ROUND(E108*F108,2)</f>
        <v/>
      </c>
      <c r="H108" s="311">
        <f>G108/$G$149</f>
        <v/>
      </c>
      <c r="I108" s="304">
        <f>ROUND(F108*'Прил. 10'!$D$13,2)</f>
        <v/>
      </c>
      <c r="J108" s="304">
        <f>ROUND(I108*E108,2)</f>
        <v/>
      </c>
    </row>
    <row r="109" outlineLevel="1" ht="26.45" customFormat="1" customHeight="1" s="322">
      <c r="A109" s="387" t="n">
        <v>81</v>
      </c>
      <c r="B109" s="387" t="inlineStr">
        <is>
          <t>08.4.03.02-0003</t>
        </is>
      </c>
      <c r="C109" s="394" t="inlineStr">
        <is>
          <t>Сталь арматурная, горячекатаная, гладкая, класс А-I, диаметр 10 мм</t>
        </is>
      </c>
      <c r="D109" s="387" t="inlineStr">
        <is>
          <t>т</t>
        </is>
      </c>
      <c r="E109" s="395" t="n">
        <v>0.03</v>
      </c>
      <c r="F109" s="396" t="n">
        <v>6726.18</v>
      </c>
      <c r="G109" s="304">
        <f>ROUND(E109*F109,2)</f>
        <v/>
      </c>
      <c r="H109" s="311">
        <f>G109/$G$149</f>
        <v/>
      </c>
      <c r="I109" s="304">
        <f>ROUND(F109*'Прил. 10'!$D$13,2)</f>
        <v/>
      </c>
      <c r="J109" s="304">
        <f>ROUND(I109*E109,2)</f>
        <v/>
      </c>
    </row>
    <row r="110" outlineLevel="1" ht="26.45" customFormat="1" customHeight="1" s="322">
      <c r="A110" s="387" t="n">
        <v>82</v>
      </c>
      <c r="B110" s="387" t="inlineStr">
        <is>
          <t>24.3.04.01-0013</t>
        </is>
      </c>
      <c r="C110" s="394" t="inlineStr">
        <is>
          <t>Трубы винипластовые, номинальный внутренний диаметр 32 мм</t>
        </is>
      </c>
      <c r="D110" s="387" t="inlineStr">
        <is>
          <t>м</t>
        </is>
      </c>
      <c r="E110" s="395" t="n">
        <v>33.33</v>
      </c>
      <c r="F110" s="396" t="n">
        <v>6.01</v>
      </c>
      <c r="G110" s="304">
        <f>ROUND(E110*F110,2)</f>
        <v/>
      </c>
      <c r="H110" s="311">
        <f>G110/$G$149</f>
        <v/>
      </c>
      <c r="I110" s="304">
        <f>ROUND(F110*'Прил. 10'!$D$13,2)</f>
        <v/>
      </c>
      <c r="J110" s="304">
        <f>ROUND(I110*E110,2)</f>
        <v/>
      </c>
    </row>
    <row r="111" outlineLevel="1" ht="13.9" customFormat="1" customHeight="1" s="322">
      <c r="A111" s="387" t="n">
        <v>83</v>
      </c>
      <c r="B111" s="387" t="inlineStr">
        <is>
          <t>08.3.11.01-0052</t>
        </is>
      </c>
      <c r="C111" s="394" t="inlineStr">
        <is>
          <t>Швеллеры № 12, марка стали Ст3пс</t>
        </is>
      </c>
      <c r="D111" s="387" t="inlineStr">
        <is>
          <t>т</t>
        </is>
      </c>
      <c r="E111" s="395" t="n">
        <v>0.04</v>
      </c>
      <c r="F111" s="396" t="n">
        <v>4900</v>
      </c>
      <c r="G111" s="304">
        <f>ROUND(E111*F111,2)</f>
        <v/>
      </c>
      <c r="H111" s="311">
        <f>G111/$G$149</f>
        <v/>
      </c>
      <c r="I111" s="304">
        <f>ROUND(F111*'Прил. 10'!$D$13,2)</f>
        <v/>
      </c>
      <c r="J111" s="304">
        <f>ROUND(I111*E111,2)</f>
        <v/>
      </c>
    </row>
    <row r="112" outlineLevel="1" ht="13.9" customFormat="1" customHeight="1" s="322">
      <c r="A112" s="387" t="n">
        <v>84</v>
      </c>
      <c r="B112" s="387" t="inlineStr">
        <is>
          <t>01.7.17.11-0001</t>
        </is>
      </c>
      <c r="C112" s="394" t="inlineStr">
        <is>
          <t>Бумага шлифовальная</t>
        </is>
      </c>
      <c r="D112" s="387" t="inlineStr">
        <is>
          <t>кг</t>
        </is>
      </c>
      <c r="E112" s="395" t="n">
        <v>3</v>
      </c>
      <c r="F112" s="396" t="n">
        <v>50</v>
      </c>
      <c r="G112" s="304">
        <f>ROUND(E112*F112,2)</f>
        <v/>
      </c>
      <c r="H112" s="311">
        <f>G112/$G$149</f>
        <v/>
      </c>
      <c r="I112" s="304">
        <f>ROUND(F112*'Прил. 10'!$D$13,2)</f>
        <v/>
      </c>
      <c r="J112" s="304">
        <f>ROUND(I112*E112,2)</f>
        <v/>
      </c>
    </row>
    <row r="113" outlineLevel="1" ht="39.6" customFormat="1" customHeight="1" s="322">
      <c r="A113" s="387" t="n">
        <v>85</v>
      </c>
      <c r="B113" s="387" t="inlineStr">
        <is>
          <t>08.3.07.01-0076</t>
        </is>
      </c>
      <c r="C113" s="394" t="inlineStr">
        <is>
          <t>Прокат полосовой, горячекатаный, марка стали Ст3сп, ширина 50-200 мм, толщина 4-5 мм</t>
        </is>
      </c>
      <c r="D113" s="387" t="inlineStr">
        <is>
          <t>т</t>
        </is>
      </c>
      <c r="E113" s="395" t="n">
        <v>0.03</v>
      </c>
      <c r="F113" s="396" t="n">
        <v>5000</v>
      </c>
      <c r="G113" s="304">
        <f>ROUND(E113*F113,2)</f>
        <v/>
      </c>
      <c r="H113" s="311">
        <f>G113/$G$149</f>
        <v/>
      </c>
      <c r="I113" s="304">
        <f>ROUND(F113*'Прил. 10'!$D$13,2)</f>
        <v/>
      </c>
      <c r="J113" s="304">
        <f>ROUND(I113*E113,2)</f>
        <v/>
      </c>
    </row>
    <row r="114" outlineLevel="1" ht="39.6" customFormat="1" customHeight="1" s="322">
      <c r="A114" s="387" t="n">
        <v>86</v>
      </c>
      <c r="B114" s="387" t="inlineStr">
        <is>
          <t>04.1.02.03-0004</t>
        </is>
      </c>
      <c r="C114" s="394" t="inlineStr">
        <is>
          <t>Смеси бетонные тяжелого бетона (БСТ) для дорожных и аэродромных покрытий и оснований, класс В10 (М150)</t>
        </is>
      </c>
      <c r="D114" s="387" t="inlineStr">
        <is>
          <t>м3</t>
        </is>
      </c>
      <c r="E114" s="395" t="n">
        <v>0.2</v>
      </c>
      <c r="F114" s="396" t="n">
        <v>584.8099999999999</v>
      </c>
      <c r="G114" s="304">
        <f>ROUND(E114*F114,2)</f>
        <v/>
      </c>
      <c r="H114" s="311">
        <f>G114/$G$149</f>
        <v/>
      </c>
      <c r="I114" s="304">
        <f>ROUND(F114*'Прил. 10'!$D$13,2)</f>
        <v/>
      </c>
      <c r="J114" s="304">
        <f>ROUND(I114*E114,2)</f>
        <v/>
      </c>
    </row>
    <row r="115" outlineLevel="1" ht="13.9" customFormat="1" customHeight="1" s="322">
      <c r="A115" s="387" t="n">
        <v>87</v>
      </c>
      <c r="B115" s="387" t="inlineStr">
        <is>
          <t>14.4.02.09-0001</t>
        </is>
      </c>
      <c r="C115" s="394" t="inlineStr">
        <is>
          <t>Краска</t>
        </is>
      </c>
      <c r="D115" s="387" t="inlineStr">
        <is>
          <t>кг</t>
        </is>
      </c>
      <c r="E115" s="395" t="n">
        <v>4</v>
      </c>
      <c r="F115" s="396" t="n">
        <v>28.6</v>
      </c>
      <c r="G115" s="304">
        <f>ROUND(E115*F115,2)</f>
        <v/>
      </c>
      <c r="H115" s="311">
        <f>G115/$G$149</f>
        <v/>
      </c>
      <c r="I115" s="304">
        <f>ROUND(F115*'Прил. 10'!$D$13,2)</f>
        <v/>
      </c>
      <c r="J115" s="304">
        <f>ROUND(I115*E115,2)</f>
        <v/>
      </c>
    </row>
    <row r="116" outlineLevel="1" ht="26.45" customFormat="1" customHeight="1" s="322">
      <c r="A116" s="387" t="n">
        <v>88</v>
      </c>
      <c r="B116" s="387" t="inlineStr">
        <is>
          <t>16.2.01.02-0002</t>
        </is>
      </c>
      <c r="C116" s="394" t="inlineStr">
        <is>
          <t>Земля растительная механизированной заготовки</t>
        </is>
      </c>
      <c r="D116" s="387" t="inlineStr">
        <is>
          <t>м3</t>
        </is>
      </c>
      <c r="E116" s="395" t="n">
        <v>0.75</v>
      </c>
      <c r="F116" s="396" t="n">
        <v>131.9</v>
      </c>
      <c r="G116" s="304">
        <f>ROUND(E116*F116,2)</f>
        <v/>
      </c>
      <c r="H116" s="311">
        <f>G116/$G$149</f>
        <v/>
      </c>
      <c r="I116" s="304">
        <f>ROUND(F116*'Прил. 10'!$D$13,2)</f>
        <v/>
      </c>
      <c r="J116" s="304">
        <f>ROUND(I116*E116,2)</f>
        <v/>
      </c>
    </row>
    <row r="117" outlineLevel="1" ht="13.9" customFormat="1" customHeight="1" s="322">
      <c r="A117" s="387" t="n">
        <v>89</v>
      </c>
      <c r="B117" s="387" t="inlineStr">
        <is>
          <t>14.5.09.07-0029</t>
        </is>
      </c>
      <c r="C117" s="394" t="inlineStr">
        <is>
          <t>Растворитель марки: Р-4</t>
        </is>
      </c>
      <c r="D117" s="387" t="inlineStr">
        <is>
          <t>т</t>
        </is>
      </c>
      <c r="E117" s="395" t="n">
        <v>0.01</v>
      </c>
      <c r="F117" s="396" t="n">
        <v>9420</v>
      </c>
      <c r="G117" s="304">
        <f>ROUND(E117*F117,2)</f>
        <v/>
      </c>
      <c r="H117" s="311">
        <f>G117/$G$149</f>
        <v/>
      </c>
      <c r="I117" s="304">
        <f>ROUND(F117*'Прил. 10'!$D$13,2)</f>
        <v/>
      </c>
      <c r="J117" s="304">
        <f>ROUND(I117*E117,2)</f>
        <v/>
      </c>
    </row>
    <row r="118" outlineLevel="1" ht="13.9" customFormat="1" customHeight="1" s="322">
      <c r="A118" s="387" t="n">
        <v>90</v>
      </c>
      <c r="B118" s="387" t="inlineStr">
        <is>
          <t>14.5.09.04-0121</t>
        </is>
      </c>
      <c r="C118" s="394" t="inlineStr">
        <is>
          <t>Отвердитель эпоксидных смол</t>
        </is>
      </c>
      <c r="D118" s="387" t="inlineStr">
        <is>
          <t>кг</t>
        </is>
      </c>
      <c r="E118" s="395" t="n">
        <v>1.2</v>
      </c>
      <c r="F118" s="396" t="n">
        <v>69.26000000000001</v>
      </c>
      <c r="G118" s="304">
        <f>ROUND(E118*F118,2)</f>
        <v/>
      </c>
      <c r="H118" s="311">
        <f>G118/$G$149</f>
        <v/>
      </c>
      <c r="I118" s="304">
        <f>ROUND(F118*'Прил. 10'!$D$13,2)</f>
        <v/>
      </c>
      <c r="J118" s="304">
        <f>ROUND(I118*E118,2)</f>
        <v/>
      </c>
    </row>
    <row r="119" outlineLevel="1" ht="13.9" customFormat="1" customHeight="1" s="322">
      <c r="A119" s="387" t="n">
        <v>91</v>
      </c>
      <c r="B119" s="387" t="inlineStr">
        <is>
          <t>14.5.09.01-0001</t>
        </is>
      </c>
      <c r="C119" s="394" t="inlineStr">
        <is>
          <t>Ацетон технический, сорт I</t>
        </is>
      </c>
      <c r="D119" s="387" t="inlineStr">
        <is>
          <t>т</t>
        </is>
      </c>
      <c r="E119" s="395" t="n">
        <v>0.01</v>
      </c>
      <c r="F119" s="396" t="n">
        <v>7716.7</v>
      </c>
      <c r="G119" s="304">
        <f>ROUND(E119*F119,2)</f>
        <v/>
      </c>
      <c r="H119" s="311">
        <f>G119/$G$149</f>
        <v/>
      </c>
      <c r="I119" s="304">
        <f>ROUND(F119*'Прил. 10'!$D$13,2)</f>
        <v/>
      </c>
      <c r="J119" s="304">
        <f>ROUND(I119*E119,2)</f>
        <v/>
      </c>
    </row>
    <row r="120" outlineLevel="1" ht="13.9" customFormat="1" customHeight="1" s="322">
      <c r="A120" s="387" t="n">
        <v>92</v>
      </c>
      <c r="B120" s="387" t="inlineStr">
        <is>
          <t>01.7.07.12-0024</t>
        </is>
      </c>
      <c r="C120" s="394" t="inlineStr">
        <is>
          <t>Пленка полиэтиленовая, толщина 0,15 мм</t>
        </is>
      </c>
      <c r="D120" s="387" t="inlineStr">
        <is>
          <t>м2</t>
        </is>
      </c>
      <c r="E120" s="395" t="n">
        <v>18.85</v>
      </c>
      <c r="F120" s="396" t="n">
        <v>3.62</v>
      </c>
      <c r="G120" s="304">
        <f>ROUND(E120*F120,2)</f>
        <v/>
      </c>
      <c r="H120" s="311">
        <f>G120/$G$149</f>
        <v/>
      </c>
      <c r="I120" s="304">
        <f>ROUND(F120*'Прил. 10'!$D$13,2)</f>
        <v/>
      </c>
      <c r="J120" s="304">
        <f>ROUND(I120*E120,2)</f>
        <v/>
      </c>
    </row>
    <row r="121" outlineLevel="1" ht="39.6" customFormat="1" customHeight="1" s="322">
      <c r="A121" s="387" t="n">
        <v>93</v>
      </c>
      <c r="B121" s="387" t="inlineStr">
        <is>
          <t>11.1.03.01-0079</t>
        </is>
      </c>
      <c r="C121" s="394" t="inlineStr">
        <is>
          <t>Бруски обрезные, хвойных пород, длина 4-6,5 м, ширина 75-150 мм, толщина 40-75 мм, сорт III</t>
        </is>
      </c>
      <c r="D121" s="387" t="inlineStr">
        <is>
          <t>м3</t>
        </is>
      </c>
      <c r="E121" s="395" t="n">
        <v>0.04</v>
      </c>
      <c r="F121" s="396" t="n">
        <v>1287</v>
      </c>
      <c r="G121" s="304">
        <f>ROUND(E121*F121,2)</f>
        <v/>
      </c>
      <c r="H121" s="311">
        <f>G121/$G$149</f>
        <v/>
      </c>
      <c r="I121" s="304">
        <f>ROUND(F121*'Прил. 10'!$D$13,2)</f>
        <v/>
      </c>
      <c r="J121" s="304">
        <f>ROUND(I121*E121,2)</f>
        <v/>
      </c>
    </row>
    <row r="122" outlineLevel="1" ht="26.45" customFormat="1" customHeight="1" s="322">
      <c r="A122" s="387" t="n">
        <v>94</v>
      </c>
      <c r="B122" s="387" t="inlineStr">
        <is>
          <t>01.7.11.07-0034</t>
        </is>
      </c>
      <c r="C122" s="394" t="inlineStr">
        <is>
          <t>Электроды сварочные Э42А, диаметр 4 мм</t>
        </is>
      </c>
      <c r="D122" s="387" t="inlineStr">
        <is>
          <t>кг</t>
        </is>
      </c>
      <c r="E122" s="395" t="n">
        <v>4.74</v>
      </c>
      <c r="F122" s="396" t="n">
        <v>10.57</v>
      </c>
      <c r="G122" s="304">
        <f>ROUND(E122*F122,2)</f>
        <v/>
      </c>
      <c r="H122" s="311">
        <f>G122/$G$149</f>
        <v/>
      </c>
      <c r="I122" s="304">
        <f>ROUND(F122*'Прил. 10'!$D$13,2)</f>
        <v/>
      </c>
      <c r="J122" s="304">
        <f>ROUND(I122*E122,2)</f>
        <v/>
      </c>
    </row>
    <row r="123" outlineLevel="1" ht="13.9" customFormat="1" customHeight="1" s="322">
      <c r="A123" s="387" t="n">
        <v>95</v>
      </c>
      <c r="B123" s="387" t="inlineStr">
        <is>
          <t>08.3.11.01-0091</t>
        </is>
      </c>
      <c r="C123" s="394" t="inlineStr">
        <is>
          <t>Швеллеры № 40, марка стали Ст0</t>
        </is>
      </c>
      <c r="D123" s="387" t="inlineStr">
        <is>
          <t>т</t>
        </is>
      </c>
      <c r="E123" s="395" t="n">
        <v>0.01</v>
      </c>
      <c r="F123" s="396" t="n">
        <v>4920</v>
      </c>
      <c r="G123" s="304">
        <f>ROUND(E123*F123,2)</f>
        <v/>
      </c>
      <c r="H123" s="311">
        <f>G123/$G$149</f>
        <v/>
      </c>
      <c r="I123" s="304">
        <f>ROUND(F123*'Прил. 10'!$D$13,2)</f>
        <v/>
      </c>
      <c r="J123" s="304">
        <f>ROUND(I123*E123,2)</f>
        <v/>
      </c>
    </row>
    <row r="124" outlineLevel="1" ht="26.45" customFormat="1" customHeight="1" s="322">
      <c r="A124" s="387" t="n">
        <v>96</v>
      </c>
      <c r="B124" s="387" t="inlineStr">
        <is>
          <t>08.3.03.06-0002</t>
        </is>
      </c>
      <c r="C124" s="394" t="inlineStr">
        <is>
          <t>Проволока горячекатаная в мотках, диаметр 6,3-6,5 мм</t>
        </is>
      </c>
      <c r="D124" s="387" t="inlineStr">
        <is>
          <t>т</t>
        </is>
      </c>
      <c r="E124" s="395" t="n">
        <v>0.01</v>
      </c>
      <c r="F124" s="396" t="n">
        <v>4455.2</v>
      </c>
      <c r="G124" s="304">
        <f>ROUND(E124*F124,2)</f>
        <v/>
      </c>
      <c r="H124" s="311">
        <f>G124/$G$149</f>
        <v/>
      </c>
      <c r="I124" s="304">
        <f>ROUND(F124*'Прил. 10'!$D$13,2)</f>
        <v/>
      </c>
      <c r="J124" s="304">
        <f>ROUND(I124*E124,2)</f>
        <v/>
      </c>
    </row>
    <row r="125" outlineLevel="1" ht="39.6" customFormat="1" customHeight="1" s="322">
      <c r="A125" s="387" t="n">
        <v>97</v>
      </c>
      <c r="B125" s="387" t="inlineStr">
        <is>
          <t>24.3.03.13-0417</t>
        </is>
      </c>
      <c r="C125" s="394" t="inlineStr">
        <is>
          <t>Трубы напорные полиэтиленовые, среднего типа, ПНД, номинальный наружный диаметр 90 мм</t>
        </is>
      </c>
      <c r="D125" s="387" t="inlineStr">
        <is>
          <t>м</t>
        </is>
      </c>
      <c r="E125" s="395" t="n">
        <v>0.83</v>
      </c>
      <c r="F125" s="396" t="n">
        <v>42.1</v>
      </c>
      <c r="G125" s="304">
        <f>ROUND(E125*F125,2)</f>
        <v/>
      </c>
      <c r="H125" s="311">
        <f>G125/$G$149</f>
        <v/>
      </c>
      <c r="I125" s="304">
        <f>ROUND(F125*'Прил. 10'!$D$13,2)</f>
        <v/>
      </c>
      <c r="J125" s="304">
        <f>ROUND(I125*E125,2)</f>
        <v/>
      </c>
    </row>
    <row r="126" outlineLevel="1" ht="39.6" customFormat="1" customHeight="1" s="322">
      <c r="A126" s="387" t="n">
        <v>98</v>
      </c>
      <c r="B126" s="387" t="inlineStr">
        <is>
          <t>11.1.02.04-0031</t>
        </is>
      </c>
      <c r="C126" s="394" t="inlineStr">
        <is>
          <t>Лесоматериалы круглые, хвойных пород, для строительства, диаметр 14-24 см, длина 3-6,5 м</t>
        </is>
      </c>
      <c r="D126" s="387" t="inlineStr">
        <is>
          <t>м3</t>
        </is>
      </c>
      <c r="E126" s="395" t="n">
        <v>0.06</v>
      </c>
      <c r="F126" s="396" t="n">
        <v>558.33</v>
      </c>
      <c r="G126" s="304">
        <f>ROUND(E126*F126,2)</f>
        <v/>
      </c>
      <c r="H126" s="311">
        <f>G126/$G$149</f>
        <v/>
      </c>
      <c r="I126" s="304">
        <f>ROUND(F126*'Прил. 10'!$D$13,2)</f>
        <v/>
      </c>
      <c r="J126" s="304">
        <f>ROUND(I126*E126,2)</f>
        <v/>
      </c>
    </row>
    <row r="127" outlineLevel="1" ht="13.9" customFormat="1" customHeight="1" s="322">
      <c r="A127" s="387" t="n">
        <v>99</v>
      </c>
      <c r="B127" s="387" t="inlineStr">
        <is>
          <t>01.7.15.07-0014</t>
        </is>
      </c>
      <c r="C127" s="394" t="inlineStr">
        <is>
          <t>Дюбели распорные полипропиленовые</t>
        </is>
      </c>
      <c r="D127" s="387" t="inlineStr">
        <is>
          <t>100 шт</t>
        </is>
      </c>
      <c r="E127" s="395" t="n">
        <v>0.29</v>
      </c>
      <c r="F127" s="396" t="n">
        <v>86</v>
      </c>
      <c r="G127" s="304">
        <f>ROUND(E127*F127,2)</f>
        <v/>
      </c>
      <c r="H127" s="311">
        <f>G127/$G$149</f>
        <v/>
      </c>
      <c r="I127" s="304">
        <f>ROUND(F127*'Прил. 10'!$D$13,2)</f>
        <v/>
      </c>
      <c r="J127" s="304">
        <f>ROUND(I127*E127,2)</f>
        <v/>
      </c>
    </row>
    <row r="128" outlineLevel="1" ht="26.45" customFormat="1" customHeight="1" s="322">
      <c r="A128" s="387" t="n">
        <v>100</v>
      </c>
      <c r="B128" s="387" t="inlineStr">
        <is>
          <t>999-9950</t>
        </is>
      </c>
      <c r="C128" s="394" t="inlineStr">
        <is>
          <t>Вспомогательные ненормируемые ресурсы (2% от Оплаты труда рабочих)</t>
        </is>
      </c>
      <c r="D128" s="387" t="inlineStr">
        <is>
          <t>руб.</t>
        </is>
      </c>
      <c r="E128" s="395" t="n">
        <v>23.82</v>
      </c>
      <c r="F128" s="396" t="n">
        <v>1</v>
      </c>
      <c r="G128" s="304">
        <f>ROUND(E128*F128,2)</f>
        <v/>
      </c>
      <c r="H128" s="311">
        <f>G128/$G$149</f>
        <v/>
      </c>
      <c r="I128" s="304">
        <f>ROUND(F128*'Прил. 10'!$D$13,2)</f>
        <v/>
      </c>
      <c r="J128" s="304">
        <f>ROUND(I128*E128,2)</f>
        <v/>
      </c>
    </row>
    <row r="129" outlineLevel="1" ht="13.9" customFormat="1" customHeight="1" s="322">
      <c r="A129" s="387" t="n">
        <v>101</v>
      </c>
      <c r="B129" s="387" t="inlineStr">
        <is>
          <t>20.2.08.05-0017</t>
        </is>
      </c>
      <c r="C129" s="394" t="inlineStr">
        <is>
          <t>Профиль монтажный</t>
        </is>
      </c>
      <c r="D129" s="387" t="inlineStr">
        <is>
          <t>шт</t>
        </is>
      </c>
      <c r="E129" s="395" t="n">
        <v>0.33</v>
      </c>
      <c r="F129" s="396" t="n">
        <v>66.81999999999999</v>
      </c>
      <c r="G129" s="304">
        <f>ROUND(E129*F129,2)</f>
        <v/>
      </c>
      <c r="H129" s="311">
        <f>G129/$G$149</f>
        <v/>
      </c>
      <c r="I129" s="304">
        <f>ROUND(F129*'Прил. 10'!$D$13,2)</f>
        <v/>
      </c>
      <c r="J129" s="304">
        <f>ROUND(I129*E129,2)</f>
        <v/>
      </c>
    </row>
    <row r="130" outlineLevel="1" ht="39.6" customFormat="1" customHeight="1" s="322">
      <c r="A130" s="387" t="n">
        <v>102</v>
      </c>
      <c r="B130" s="387" t="inlineStr">
        <is>
          <t>11.1.03.06-0087</t>
        </is>
      </c>
      <c r="C130" s="394" t="inlineStr">
        <is>
          <t>Доска обрезная, хвойных пород, ширина 75-150 мм, толщина 25 мм, длина 4-6,5 м, сорт III</t>
        </is>
      </c>
      <c r="D130" s="387" t="inlineStr">
        <is>
          <t>м3</t>
        </is>
      </c>
      <c r="E130" s="395" t="n">
        <v>0.02</v>
      </c>
      <c r="F130" s="396" t="n">
        <v>1100</v>
      </c>
      <c r="G130" s="304">
        <f>ROUND(E130*F130,2)</f>
        <v/>
      </c>
      <c r="H130" s="311">
        <f>G130/$G$149</f>
        <v/>
      </c>
      <c r="I130" s="304">
        <f>ROUND(F130*'Прил. 10'!$D$13,2)</f>
        <v/>
      </c>
      <c r="J130" s="304">
        <f>ROUND(I130*E130,2)</f>
        <v/>
      </c>
    </row>
    <row r="131" outlineLevel="1" ht="39.6" customFormat="1" customHeight="1" s="322">
      <c r="A131" s="387" t="n">
        <v>103</v>
      </c>
      <c r="B131" s="387" t="inlineStr">
        <is>
          <t>01.7.06.05-0041</t>
        </is>
      </c>
      <c r="C131" s="394" t="inlineStr">
        <is>
          <t>Лента изоляционная прорезиненная односторонняя, ширина 20 мм, толщина 0,25-0,35 мм</t>
        </is>
      </c>
      <c r="D131" s="387" t="inlineStr">
        <is>
          <t>кг</t>
        </is>
      </c>
      <c r="E131" s="395" t="n">
        <v>0.5</v>
      </c>
      <c r="F131" s="396" t="n">
        <v>30.4</v>
      </c>
      <c r="G131" s="304">
        <f>ROUND(E131*F131,2)</f>
        <v/>
      </c>
      <c r="H131" s="311">
        <f>G131/$G$149</f>
        <v/>
      </c>
      <c r="I131" s="304">
        <f>ROUND(F131*'Прил. 10'!$D$13,2)</f>
        <v/>
      </c>
      <c r="J131" s="304">
        <f>ROUND(I131*E131,2)</f>
        <v/>
      </c>
    </row>
    <row r="132" outlineLevel="1" ht="13.9" customFormat="1" customHeight="1" s="322">
      <c r="A132" s="387" t="n">
        <v>104</v>
      </c>
      <c r="B132" s="387" t="inlineStr">
        <is>
          <t>01.7.03.01-0001</t>
        </is>
      </c>
      <c r="C132" s="394" t="inlineStr">
        <is>
          <t>Вода</t>
        </is>
      </c>
      <c r="D132" s="387" t="inlineStr">
        <is>
          <t>м3</t>
        </is>
      </c>
      <c r="E132" s="395" t="n">
        <v>6.17</v>
      </c>
      <c r="F132" s="396" t="n">
        <v>2.44</v>
      </c>
      <c r="G132" s="304">
        <f>ROUND(E132*F132,2)</f>
        <v/>
      </c>
      <c r="H132" s="311">
        <f>G132/$G$149</f>
        <v/>
      </c>
      <c r="I132" s="304">
        <f>ROUND(F132*'Прил. 10'!$D$13,2)</f>
        <v/>
      </c>
      <c r="J132" s="304">
        <f>ROUND(I132*E132,2)</f>
        <v/>
      </c>
    </row>
    <row r="133" outlineLevel="1" ht="26.45" customFormat="1" customHeight="1" s="322">
      <c r="A133" s="387" t="n">
        <v>105</v>
      </c>
      <c r="B133" s="387" t="inlineStr">
        <is>
          <t>03.1.02.03-0011</t>
        </is>
      </c>
      <c r="C133" s="394" t="inlineStr">
        <is>
          <t>Известь строительная негашеная комовая, сорт I</t>
        </is>
      </c>
      <c r="D133" s="387" t="inlineStr">
        <is>
          <t>т</t>
        </is>
      </c>
      <c r="E133" s="395" t="n">
        <v>0.02</v>
      </c>
      <c r="F133" s="396" t="n">
        <v>734.5</v>
      </c>
      <c r="G133" s="304">
        <f>ROUND(E133*F133,2)</f>
        <v/>
      </c>
      <c r="H133" s="311">
        <f>G133/$G$149</f>
        <v/>
      </c>
      <c r="I133" s="304">
        <f>ROUND(F133*'Прил. 10'!$D$13,2)</f>
        <v/>
      </c>
      <c r="J133" s="304">
        <f>ROUND(I133*E133,2)</f>
        <v/>
      </c>
    </row>
    <row r="134" outlineLevel="1" ht="13.9" customFormat="1" customHeight="1" s="322">
      <c r="A134" s="387" t="n">
        <v>106</v>
      </c>
      <c r="B134" s="387" t="inlineStr">
        <is>
          <t>14.1.02.01-0002</t>
        </is>
      </c>
      <c r="C134" s="394" t="inlineStr">
        <is>
          <t>Клей БМК-5к</t>
        </is>
      </c>
      <c r="D134" s="387" t="inlineStr">
        <is>
          <t>кг</t>
        </is>
      </c>
      <c r="E134" s="395" t="n">
        <v>0.32</v>
      </c>
      <c r="F134" s="396" t="n">
        <v>25.8</v>
      </c>
      <c r="G134" s="304">
        <f>ROUND(E134*F134,2)</f>
        <v/>
      </c>
      <c r="H134" s="311">
        <f>G134/$G$149</f>
        <v/>
      </c>
      <c r="I134" s="304">
        <f>ROUND(F134*'Прил. 10'!$D$13,2)</f>
        <v/>
      </c>
      <c r="J134" s="304">
        <f>ROUND(I134*E134,2)</f>
        <v/>
      </c>
    </row>
    <row r="135" outlineLevel="1" ht="13.9" customFormat="1" customHeight="1" s="322">
      <c r="A135" s="387" t="n">
        <v>107</v>
      </c>
      <c r="B135" s="387" t="inlineStr">
        <is>
          <t>16.2.02.07-0001</t>
        </is>
      </c>
      <c r="C135" s="394" t="inlineStr">
        <is>
          <t>Семена трав: вика</t>
        </is>
      </c>
      <c r="D135" s="387" t="inlineStr">
        <is>
          <t>кг</t>
        </is>
      </c>
      <c r="E135" s="395" t="n">
        <v>0.1</v>
      </c>
      <c r="F135" s="396" t="n">
        <v>77.97</v>
      </c>
      <c r="G135" s="304">
        <f>ROUND(E135*F135,2)</f>
        <v/>
      </c>
      <c r="H135" s="311">
        <f>G135/$G$149</f>
        <v/>
      </c>
      <c r="I135" s="304">
        <f>ROUND(F135*'Прил. 10'!$D$13,2)</f>
        <v/>
      </c>
      <c r="J135" s="304">
        <f>ROUND(I135*E135,2)</f>
        <v/>
      </c>
    </row>
    <row r="136" outlineLevel="1" ht="13.9" customFormat="1" customHeight="1" s="322">
      <c r="A136" s="387" t="n">
        <v>108</v>
      </c>
      <c r="B136" s="387" t="inlineStr">
        <is>
          <t>20.1.02.23-0082</t>
        </is>
      </c>
      <c r="C136" s="394" t="inlineStr">
        <is>
          <t>Перемычки гибкие, тип ПГС-50</t>
        </is>
      </c>
      <c r="D136" s="387" t="inlineStr">
        <is>
          <t>10 шт</t>
        </is>
      </c>
      <c r="E136" s="395" t="n">
        <v>0.17</v>
      </c>
      <c r="F136" s="396" t="n">
        <v>39</v>
      </c>
      <c r="G136" s="304">
        <f>ROUND(E136*F136,2)</f>
        <v/>
      </c>
      <c r="H136" s="311">
        <f>G136/$G$149</f>
        <v/>
      </c>
      <c r="I136" s="304">
        <f>ROUND(F136*'Прил. 10'!$D$13,2)</f>
        <v/>
      </c>
      <c r="J136" s="304">
        <f>ROUND(I136*E136,2)</f>
        <v/>
      </c>
    </row>
    <row r="137" outlineLevel="1" ht="13.9" customFormat="1" customHeight="1" s="322">
      <c r="A137" s="387" t="n">
        <v>109</v>
      </c>
      <c r="B137" s="387" t="inlineStr">
        <is>
          <t>20.2.02.02-0011</t>
        </is>
      </c>
      <c r="C137" s="394" t="inlineStr">
        <is>
          <t>Заглушки</t>
        </is>
      </c>
      <c r="D137" s="387" t="inlineStr">
        <is>
          <t>10 шт</t>
        </is>
      </c>
      <c r="E137" s="395" t="n">
        <v>0.33</v>
      </c>
      <c r="F137" s="396" t="n">
        <v>19.9</v>
      </c>
      <c r="G137" s="304">
        <f>ROUND(E137*F137,2)</f>
        <v/>
      </c>
      <c r="H137" s="311">
        <f>G137/$G$149</f>
        <v/>
      </c>
      <c r="I137" s="304">
        <f>ROUND(F137*'Прил. 10'!$D$13,2)</f>
        <v/>
      </c>
      <c r="J137" s="304">
        <f>ROUND(I137*E137,2)</f>
        <v/>
      </c>
    </row>
    <row r="138" outlineLevel="1" ht="13.9" customFormat="1" customHeight="1" s="322">
      <c r="A138" s="387" t="n">
        <v>110</v>
      </c>
      <c r="B138" s="387" t="inlineStr">
        <is>
          <t>01.3.02.08-0001</t>
        </is>
      </c>
      <c r="C138" s="394" t="inlineStr">
        <is>
          <t>Кислород газообразный технический</t>
        </is>
      </c>
      <c r="D138" s="387" t="inlineStr">
        <is>
          <t>м3</t>
        </is>
      </c>
      <c r="E138" s="395" t="n">
        <v>0.97</v>
      </c>
      <c r="F138" s="396" t="n">
        <v>6.22</v>
      </c>
      <c r="G138" s="304">
        <f>ROUND(E138*F138,2)</f>
        <v/>
      </c>
      <c r="H138" s="311">
        <f>G138/$G$149</f>
        <v/>
      </c>
      <c r="I138" s="304">
        <f>ROUND(F138*'Прил. 10'!$D$13,2)</f>
        <v/>
      </c>
      <c r="J138" s="304">
        <f>ROUND(I138*E138,2)</f>
        <v/>
      </c>
    </row>
    <row r="139" outlineLevel="1" ht="26.45" customFormat="1" customHeight="1" s="322">
      <c r="A139" s="387" t="n">
        <v>111</v>
      </c>
      <c r="B139" s="387" t="inlineStr">
        <is>
          <t>04.3.01.09-0016</t>
        </is>
      </c>
      <c r="C139" s="394" t="inlineStr">
        <is>
          <t>Раствор готовый кладочный, цементный, М200</t>
        </is>
      </c>
      <c r="D139" s="387" t="inlineStr">
        <is>
          <t>м3</t>
        </is>
      </c>
      <c r="E139" s="395" t="n">
        <v>0.01</v>
      </c>
      <c r="F139" s="396" t="n">
        <v>600</v>
      </c>
      <c r="G139" s="304">
        <f>ROUND(E139*F139,2)</f>
        <v/>
      </c>
      <c r="H139" s="311">
        <f>G139/$G$149</f>
        <v/>
      </c>
      <c r="I139" s="304">
        <f>ROUND(F139*'Прил. 10'!$D$13,2)</f>
        <v/>
      </c>
      <c r="J139" s="304">
        <f>ROUND(I139*E139,2)</f>
        <v/>
      </c>
    </row>
    <row r="140" outlineLevel="1" ht="13.9" customFormat="1" customHeight="1" s="322">
      <c r="A140" s="387" t="n">
        <v>112</v>
      </c>
      <c r="B140" s="387" t="inlineStr">
        <is>
          <t>20.2.02.01-0019</t>
        </is>
      </c>
      <c r="C140" s="394" t="inlineStr">
        <is>
          <t>Втулки изолирующие</t>
        </is>
      </c>
      <c r="D140" s="387" t="inlineStr">
        <is>
          <t>1000 шт</t>
        </is>
      </c>
      <c r="E140" s="395" t="n">
        <v>0.02</v>
      </c>
      <c r="F140" s="396" t="n">
        <v>270</v>
      </c>
      <c r="G140" s="304">
        <f>ROUND(E140*F140,2)</f>
        <v/>
      </c>
      <c r="H140" s="311">
        <f>G140/$G$149</f>
        <v/>
      </c>
      <c r="I140" s="304">
        <f>ROUND(F140*'Прил. 10'!$D$13,2)</f>
        <v/>
      </c>
      <c r="J140" s="304">
        <f>ROUND(I140*E140,2)</f>
        <v/>
      </c>
    </row>
    <row r="141" outlineLevel="1" ht="13.9" customFormat="1" customHeight="1" s="322">
      <c r="A141" s="387" t="n">
        <v>113</v>
      </c>
      <c r="B141" s="387" t="inlineStr">
        <is>
          <t>01.3.02.09-0022</t>
        </is>
      </c>
      <c r="C141" s="394" t="inlineStr">
        <is>
          <t>Пропан-бутан смесь техническая</t>
        </is>
      </c>
      <c r="D141" s="387" t="inlineStr">
        <is>
          <t>кг</t>
        </is>
      </c>
      <c r="E141" s="395" t="n">
        <v>0.8</v>
      </c>
      <c r="F141" s="396" t="n">
        <v>6.09</v>
      </c>
      <c r="G141" s="304">
        <f>ROUND(E141*F141,2)</f>
        <v/>
      </c>
      <c r="H141" s="311">
        <f>G141/$G$149</f>
        <v/>
      </c>
      <c r="I141" s="304">
        <f>ROUND(F141*'Прил. 10'!$D$13,2)</f>
        <v/>
      </c>
      <c r="J141" s="304">
        <f>ROUND(I141*E141,2)</f>
        <v/>
      </c>
    </row>
    <row r="142" outlineLevel="1" ht="39.6" customFormat="1" customHeight="1" s="322">
      <c r="A142" s="387" t="n">
        <v>114</v>
      </c>
      <c r="B142" s="387" t="inlineStr">
        <is>
          <t>03.2.01.01-0003</t>
        </is>
      </c>
      <c r="C142" s="394" t="inlineStr">
        <is>
          <t>Портландцемент общестроительного назначения бездобавочный М500 Д0 (ЦЕМ I 42,5Н)</t>
        </is>
      </c>
      <c r="D142" s="387" t="inlineStr">
        <is>
          <t>т</t>
        </is>
      </c>
      <c r="E142" s="395" t="n">
        <v>0.01</v>
      </c>
      <c r="F142" s="396" t="n">
        <v>480</v>
      </c>
      <c r="G142" s="304">
        <f>ROUND(E142*F142,2)</f>
        <v/>
      </c>
      <c r="H142" s="311">
        <f>G142/$G$149</f>
        <v/>
      </c>
      <c r="I142" s="304">
        <f>ROUND(F142*'Прил. 10'!$D$13,2)</f>
        <v/>
      </c>
      <c r="J142" s="304">
        <f>ROUND(I142*E142,2)</f>
        <v/>
      </c>
    </row>
    <row r="143" outlineLevel="1" ht="13.9" customFormat="1" customHeight="1" s="322">
      <c r="A143" s="387" t="n">
        <v>115</v>
      </c>
      <c r="B143" s="387" t="inlineStr">
        <is>
          <t>01.7.15.07-0031</t>
        </is>
      </c>
      <c r="C143" s="394" t="inlineStr">
        <is>
          <t>Дюбели распорные с гайкой</t>
        </is>
      </c>
      <c r="D143" s="387" t="inlineStr">
        <is>
          <t>100 шт</t>
        </is>
      </c>
      <c r="E143" s="395" t="n">
        <v>0.04</v>
      </c>
      <c r="F143" s="396" t="n">
        <v>110</v>
      </c>
      <c r="G143" s="304">
        <f>ROUND(E143*F143,2)</f>
        <v/>
      </c>
      <c r="H143" s="311">
        <f>G143/$G$149</f>
        <v/>
      </c>
      <c r="I143" s="304">
        <f>ROUND(F143*'Прил. 10'!$D$13,2)</f>
        <v/>
      </c>
      <c r="J143" s="304">
        <f>ROUND(I143*E143,2)</f>
        <v/>
      </c>
    </row>
    <row r="144" outlineLevel="1" ht="52.9" customFormat="1" customHeight="1" s="322">
      <c r="A144" s="387" t="n">
        <v>116</v>
      </c>
      <c r="B144" s="387" t="inlineStr">
        <is>
          <t>08.2.02.11-0007</t>
        </is>
      </c>
      <c r="C144" s="394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387" t="inlineStr">
        <is>
          <t>10 м</t>
        </is>
      </c>
      <c r="E144" s="395" t="n">
        <v>0.08</v>
      </c>
      <c r="F144" s="396" t="n">
        <v>50.24</v>
      </c>
      <c r="G144" s="304">
        <f>ROUND(E144*F144,2)</f>
        <v/>
      </c>
      <c r="H144" s="311">
        <f>G144/$G$149</f>
        <v/>
      </c>
      <c r="I144" s="304">
        <f>ROUND(F144*'Прил. 10'!$D$13,2)</f>
        <v/>
      </c>
      <c r="J144" s="304">
        <f>ROUND(I144*E144,2)</f>
        <v/>
      </c>
    </row>
    <row r="145" outlineLevel="1" ht="26.45" customFormat="1" customHeight="1" s="322">
      <c r="A145" s="387" t="n">
        <v>117</v>
      </c>
      <c r="B145" s="387" t="inlineStr">
        <is>
          <t>02.2.05.04-1777</t>
        </is>
      </c>
      <c r="C145" s="394" t="inlineStr">
        <is>
          <t>Щебень М 800, фракция 20-40 мм, группа 2</t>
        </is>
      </c>
      <c r="D145" s="387" t="inlineStr">
        <is>
          <t>м3</t>
        </is>
      </c>
      <c r="E145" s="395" t="n">
        <v>0.01</v>
      </c>
      <c r="F145" s="396" t="n">
        <v>108.4</v>
      </c>
      <c r="G145" s="304">
        <f>ROUND(E145*F145,2)</f>
        <v/>
      </c>
      <c r="H145" s="311">
        <f>G145/$G$149</f>
        <v/>
      </c>
      <c r="I145" s="304">
        <f>ROUND(F145*'Прил. 10'!$D$13,2)</f>
        <v/>
      </c>
      <c r="J145" s="304">
        <f>ROUND(I145*E145,2)</f>
        <v/>
      </c>
    </row>
    <row r="146" outlineLevel="1" ht="26.45" customFormat="1" customHeight="1" s="322">
      <c r="A146" s="387" t="n">
        <v>118</v>
      </c>
      <c r="B146" s="387" t="inlineStr">
        <is>
          <t>02.3.01.02-1012</t>
        </is>
      </c>
      <c r="C146" s="394" t="inlineStr">
        <is>
          <t>Песок природный II класс, средний, круглые сита</t>
        </is>
      </c>
      <c r="D146" s="387" t="inlineStr">
        <is>
          <t>м3</t>
        </is>
      </c>
      <c r="E146" s="395" t="n">
        <v>0.01</v>
      </c>
      <c r="F146" s="396" t="n">
        <v>59.99</v>
      </c>
      <c r="G146" s="304">
        <f>ROUND(E146*F146,2)</f>
        <v/>
      </c>
      <c r="H146" s="311">
        <f>G146/$G$149</f>
        <v/>
      </c>
      <c r="I146" s="304">
        <f>ROUND(F146*'Прил. 10'!$D$13,2)</f>
        <v/>
      </c>
      <c r="J146" s="304">
        <f>ROUND(I146*E146,2)</f>
        <v/>
      </c>
    </row>
    <row r="147" outlineLevel="1" ht="52.9" customFormat="1" customHeight="1" s="322">
      <c r="A147" s="387" t="n">
        <v>119</v>
      </c>
      <c r="B147" s="387" t="inlineStr">
        <is>
          <t>01.7.15.14-0043</t>
        </is>
      </c>
      <c r="C147" s="394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387" t="inlineStr">
        <is>
          <t>100 шт</t>
        </is>
      </c>
      <c r="E147" s="395" t="n">
        <v>0.29</v>
      </c>
      <c r="F147" s="396" t="n">
        <v>2</v>
      </c>
      <c r="G147" s="304">
        <f>ROUND(E147*F147,2)</f>
        <v/>
      </c>
      <c r="H147" s="311">
        <f>G147/$G$149</f>
        <v/>
      </c>
      <c r="I147" s="304">
        <f>ROUND(F147*'Прил. 10'!$D$13,2)</f>
        <v/>
      </c>
      <c r="J147" s="304">
        <f>ROUND(I147*E147,2)</f>
        <v/>
      </c>
    </row>
    <row r="148" ht="13.9" customFormat="1" customHeight="1" s="322">
      <c r="A148" s="387" t="n"/>
      <c r="B148" s="387" t="n"/>
      <c r="C148" s="394" t="inlineStr">
        <is>
          <t>Итого прочие материалы</t>
        </is>
      </c>
      <c r="D148" s="387" t="n"/>
      <c r="E148" s="395" t="n"/>
      <c r="F148" s="396" t="n"/>
      <c r="G148" s="295">
        <f>SUM(G82:G147)</f>
        <v/>
      </c>
      <c r="H148" s="311">
        <f>G148/$G$149</f>
        <v/>
      </c>
      <c r="I148" s="304" t="n"/>
      <c r="J148" s="295">
        <f>SUM(J82:J147)</f>
        <v/>
      </c>
    </row>
    <row r="149" ht="13.9" customFormat="1" customHeight="1" s="322">
      <c r="A149" s="387" t="n"/>
      <c r="B149" s="387" t="n"/>
      <c r="C149" s="377" t="inlineStr">
        <is>
          <t>Итого по разделу «Материалы»</t>
        </is>
      </c>
      <c r="D149" s="387" t="n"/>
      <c r="E149" s="395" t="n"/>
      <c r="F149" s="396" t="n"/>
      <c r="G149" s="304">
        <f>G81+G148</f>
        <v/>
      </c>
      <c r="H149" s="311">
        <f>G149/$G$149</f>
        <v/>
      </c>
      <c r="I149" s="304" t="n"/>
      <c r="J149" s="304">
        <f>J81+J148</f>
        <v/>
      </c>
    </row>
    <row r="150" ht="13.9" customFormat="1" customHeight="1" s="322">
      <c r="A150" s="387" t="n"/>
      <c r="B150" s="387" t="n"/>
      <c r="C150" s="394" t="inlineStr">
        <is>
          <t>ИТОГО ПО РМ</t>
        </is>
      </c>
      <c r="D150" s="387" t="n"/>
      <c r="E150" s="395" t="n"/>
      <c r="F150" s="396" t="n"/>
      <c r="G150" s="304">
        <f>G14+G53+G149</f>
        <v/>
      </c>
      <c r="H150" s="397" t="n"/>
      <c r="I150" s="304" t="n"/>
      <c r="J150" s="304">
        <f>J14+J53+J149</f>
        <v/>
      </c>
    </row>
    <row r="151" ht="13.9" customFormat="1" customHeight="1" s="322">
      <c r="A151" s="387" t="n"/>
      <c r="B151" s="387" t="n"/>
      <c r="C151" s="394" t="inlineStr">
        <is>
          <t>Накладные расходы</t>
        </is>
      </c>
      <c r="D151" s="199">
        <f>ROUND(G151/(G$16+$G$14),2)</f>
        <v/>
      </c>
      <c r="E151" s="395" t="n"/>
      <c r="F151" s="396" t="n"/>
      <c r="G151" s="304" t="n">
        <v>20687.93</v>
      </c>
      <c r="H151" s="397" t="n"/>
      <c r="I151" s="304" t="n"/>
      <c r="J151" s="304">
        <f>ROUND(D151*(J14+J16),2)</f>
        <v/>
      </c>
    </row>
    <row r="152" ht="13.9" customFormat="1" customHeight="1" s="322">
      <c r="A152" s="387" t="n"/>
      <c r="B152" s="387" t="n"/>
      <c r="C152" s="394" t="inlineStr">
        <is>
          <t>Сметная прибыль</t>
        </is>
      </c>
      <c r="D152" s="199">
        <f>ROUND(G152/(G$14+G$16),2)</f>
        <v/>
      </c>
      <c r="E152" s="395" t="n"/>
      <c r="F152" s="396" t="n"/>
      <c r="G152" s="304" t="n">
        <v>16545.64</v>
      </c>
      <c r="H152" s="397" t="n"/>
      <c r="I152" s="304" t="n"/>
      <c r="J152" s="304">
        <f>ROUND(D152*(J14+J16),2)</f>
        <v/>
      </c>
    </row>
    <row r="153" ht="39.6" customFormat="1" customHeight="1" s="322">
      <c r="A153" s="387" t="n"/>
      <c r="B153" s="387" t="n"/>
      <c r="C153" s="394" t="inlineStr">
        <is>
          <t>Итого СМР (с НР и СП)</t>
        </is>
      </c>
      <c r="D153" s="387" t="inlineStr">
        <is>
          <t>Коэффициент на мощность кВА ДГР</t>
        </is>
      </c>
      <c r="E153" s="395" t="n">
        <v>0.32</v>
      </c>
      <c r="F153" s="396" t="n"/>
      <c r="G153" s="304">
        <f>ROUND((G14+G53+G149+G151+G152)/E153,2)</f>
        <v/>
      </c>
      <c r="H153" s="397" t="n"/>
      <c r="I153" s="304" t="n"/>
      <c r="J153" s="304">
        <f>ROUND((J14+J53+J149+J151+J152)/E153,2)</f>
        <v/>
      </c>
    </row>
    <row r="154" ht="13.9" customFormat="1" customHeight="1" s="322">
      <c r="A154" s="387" t="n"/>
      <c r="B154" s="387" t="n"/>
      <c r="C154" s="394" t="inlineStr">
        <is>
          <t>ВСЕГО СМР + ОБОРУДОВАНИЕ</t>
        </is>
      </c>
      <c r="D154" s="387" t="n"/>
      <c r="E154" s="395" t="n"/>
      <c r="F154" s="396" t="n"/>
      <c r="G154" s="304">
        <f>G153+G61</f>
        <v/>
      </c>
      <c r="H154" s="397" t="n"/>
      <c r="I154" s="304" t="n"/>
      <c r="J154" s="304">
        <f>J153+J61</f>
        <v/>
      </c>
    </row>
    <row r="155" ht="34.5" customFormat="1" customHeight="1" s="322">
      <c r="A155" s="387" t="n"/>
      <c r="B155" s="387" t="n"/>
      <c r="C155" s="394" t="inlineStr">
        <is>
          <t>ИТОГО ПОКАЗАТЕЛЬ НА ЕД. ИЗМ.</t>
        </is>
      </c>
      <c r="D155" s="387" t="inlineStr">
        <is>
          <t>ячейка</t>
        </is>
      </c>
      <c r="E155" s="395" t="n">
        <v>2</v>
      </c>
      <c r="F155" s="396" t="n"/>
      <c r="G155" s="304">
        <f>G154/E155</f>
        <v/>
      </c>
      <c r="H155" s="397" t="n"/>
      <c r="I155" s="304" t="n"/>
      <c r="J155" s="304">
        <f>J154/E155</f>
        <v/>
      </c>
    </row>
    <row r="157" ht="13.9" customFormat="1" customHeight="1" s="322">
      <c r="A157" s="333" t="inlineStr">
        <is>
          <t>Составил ______________________     Е. М. Добровольская</t>
        </is>
      </c>
    </row>
    <row r="158" ht="13.9" customFormat="1" customHeight="1" s="322">
      <c r="A158" s="324" t="inlineStr">
        <is>
          <t xml:space="preserve">                         (подпись, инициалы, фамилия)</t>
        </is>
      </c>
    </row>
    <row r="159" ht="13.9" customFormat="1" customHeight="1" s="322">
      <c r="A159" s="333" t="n"/>
    </row>
    <row r="160" ht="13.9" customFormat="1" customHeight="1" s="322">
      <c r="A160" s="333" t="inlineStr">
        <is>
          <t>Проверил ______________________        А.В. Костянецкая</t>
        </is>
      </c>
    </row>
    <row r="161" ht="13.9" customFormat="1" customHeight="1" s="322">
      <c r="A161" s="324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B18" sqref="B18"/>
    </sheetView>
  </sheetViews>
  <sheetFormatPr baseColWidth="8" defaultRowHeight="15"/>
  <cols>
    <col width="5.7109375" customWidth="1" style="338" min="1" max="1"/>
    <col width="17.5703125" customWidth="1" style="338" min="2" max="2"/>
    <col width="39.140625" customWidth="1" style="338" min="3" max="3"/>
    <col width="10.7109375" customWidth="1" style="338" min="4" max="4"/>
    <col width="13.85546875" customWidth="1" style="338" min="5" max="5"/>
    <col width="13.28515625" customWidth="1" style="338" min="6" max="6"/>
    <col width="14.140625" customWidth="1" style="338" min="7" max="7"/>
  </cols>
  <sheetData>
    <row r="1">
      <c r="A1" s="402" t="inlineStr">
        <is>
          <t>Приложение №6</t>
        </is>
      </c>
    </row>
    <row r="2" ht="21.75" customHeight="1" s="338">
      <c r="A2" s="402" t="n"/>
      <c r="B2" s="402" t="n"/>
      <c r="C2" s="402" t="n"/>
      <c r="D2" s="402" t="n"/>
      <c r="E2" s="402" t="n"/>
      <c r="F2" s="402" t="n"/>
      <c r="G2" s="402" t="n"/>
    </row>
    <row r="3">
      <c r="A3" s="355" t="inlineStr">
        <is>
          <t>Расчет стоимости оборудования</t>
        </is>
      </c>
    </row>
    <row r="4" ht="25.5" customHeight="1" s="338">
      <c r="A4" s="358" t="inlineStr">
        <is>
          <t>Наименование разрабатываемого показателя УНЦ — Ячейка реактора ДГР 35 кВ, мощность 360 кВА</t>
        </is>
      </c>
    </row>
    <row r="5">
      <c r="A5" s="333" t="n"/>
      <c r="B5" s="333" t="n"/>
      <c r="C5" s="333" t="n"/>
      <c r="D5" s="333" t="n"/>
      <c r="E5" s="333" t="n"/>
      <c r="F5" s="333" t="n"/>
      <c r="G5" s="333" t="n"/>
    </row>
    <row r="6" ht="30.2" customHeight="1" s="338">
      <c r="A6" s="407" t="inlineStr">
        <is>
          <t>№ пп.</t>
        </is>
      </c>
      <c r="B6" s="407" t="inlineStr">
        <is>
          <t>Код ресурса</t>
        </is>
      </c>
      <c r="C6" s="407" t="inlineStr">
        <is>
          <t>Наименование</t>
        </is>
      </c>
      <c r="D6" s="407" t="inlineStr">
        <is>
          <t>Ед. изм.</t>
        </is>
      </c>
      <c r="E6" s="387" t="inlineStr">
        <is>
          <t>Кол-во единиц по проектным данным</t>
        </is>
      </c>
      <c r="F6" s="407" t="inlineStr">
        <is>
          <t>Сметная стоимость в ценах на 01.01.2000 (руб.)</t>
        </is>
      </c>
      <c r="G6" s="461" t="n"/>
    </row>
    <row r="7">
      <c r="A7" s="463" t="n"/>
      <c r="B7" s="463" t="n"/>
      <c r="C7" s="463" t="n"/>
      <c r="D7" s="463" t="n"/>
      <c r="E7" s="463" t="n"/>
      <c r="F7" s="387" t="inlineStr">
        <is>
          <t>на ед. изм.</t>
        </is>
      </c>
      <c r="G7" s="387" t="inlineStr">
        <is>
          <t>общая</t>
        </is>
      </c>
    </row>
    <row r="8">
      <c r="A8" s="387" t="n">
        <v>1</v>
      </c>
      <c r="B8" s="387" t="n">
        <v>2</v>
      </c>
      <c r="C8" s="387" t="n">
        <v>3</v>
      </c>
      <c r="D8" s="387" t="n">
        <v>4</v>
      </c>
      <c r="E8" s="387" t="n">
        <v>5</v>
      </c>
      <c r="F8" s="387" t="n">
        <v>6</v>
      </c>
      <c r="G8" s="387" t="n">
        <v>7</v>
      </c>
    </row>
    <row r="9" ht="15" customHeight="1" s="338">
      <c r="A9" s="305" t="n"/>
      <c r="B9" s="394" t="inlineStr">
        <is>
          <t>ИНЖЕНЕРНОЕ ОБОРУДОВАНИЕ</t>
        </is>
      </c>
      <c r="C9" s="460" t="n"/>
      <c r="D9" s="460" t="n"/>
      <c r="E9" s="460" t="n"/>
      <c r="F9" s="460" t="n"/>
      <c r="G9" s="461" t="n"/>
    </row>
    <row r="10" ht="27" customHeight="1" s="338">
      <c r="A10" s="387" t="n"/>
      <c r="B10" s="377" t="n"/>
      <c r="C10" s="394" t="inlineStr">
        <is>
          <t>ИТОГО ИНЖЕНЕРНОЕ ОБОРУДОВАНИЕ</t>
        </is>
      </c>
      <c r="D10" s="377" t="n"/>
      <c r="E10" s="148" t="n"/>
      <c r="F10" s="396" t="n"/>
      <c r="G10" s="396" t="n">
        <v>0</v>
      </c>
    </row>
    <row r="11">
      <c r="A11" s="387" t="n"/>
      <c r="B11" s="394" t="inlineStr">
        <is>
          <t>ТЕХНОЛОГИЧЕСКОЕ ОБОРУДОВАНИЕ</t>
        </is>
      </c>
      <c r="C11" s="460" t="n"/>
      <c r="D11" s="460" t="n"/>
      <c r="E11" s="460" t="n"/>
      <c r="F11" s="460" t="n"/>
      <c r="G11" s="461" t="n"/>
    </row>
    <row r="12" ht="41.25" customHeight="1" s="338">
      <c r="A12" s="387" t="n">
        <v>1</v>
      </c>
      <c r="B12" s="394">
        <f>'Прил.5 Расчет СМР и ОБ'!B56</f>
        <v/>
      </c>
      <c r="C12" s="394">
        <f>'Прил.5 Расчет СМР и ОБ'!C56</f>
        <v/>
      </c>
      <c r="D12" s="387">
        <f>'Прил.5 Расчет СМР и ОБ'!D56</f>
        <v/>
      </c>
      <c r="E12" s="475">
        <f>'Прил.5 Расчет СМР и ОБ'!E56</f>
        <v/>
      </c>
      <c r="F12" s="406">
        <f>'Прил.5 Расчет СМР и ОБ'!F56</f>
        <v/>
      </c>
      <c r="G12" s="304">
        <f>ROUND(E12*F12,2)</f>
        <v/>
      </c>
    </row>
    <row r="13" ht="26.45" customHeight="1" s="338">
      <c r="A13" s="387" t="n">
        <v>2</v>
      </c>
      <c r="B13" s="394">
        <f>'Прил.5 Расчет СМР и ОБ'!B58</f>
        <v/>
      </c>
      <c r="C13" s="394">
        <f>'Прил.5 Расчет СМР и ОБ'!C58</f>
        <v/>
      </c>
      <c r="D13" s="387">
        <f>'Прил.5 Расчет СМР и ОБ'!D58</f>
        <v/>
      </c>
      <c r="E13" s="475">
        <f>'Прил.5 Расчет СМР и ОБ'!E58</f>
        <v/>
      </c>
      <c r="F13" s="406">
        <f>'Прил.5 Расчет СМР и ОБ'!F58</f>
        <v/>
      </c>
      <c r="G13" s="304">
        <f>ROUND(E13*F13,2)</f>
        <v/>
      </c>
    </row>
    <row r="14" ht="26.45" customHeight="1" s="338">
      <c r="A14" s="387" t="n">
        <v>3</v>
      </c>
      <c r="B14" s="394">
        <f>'Прил.5 Расчет СМР и ОБ'!B59</f>
        <v/>
      </c>
      <c r="C14" s="394">
        <f>'Прил.5 Расчет СМР и ОБ'!C59</f>
        <v/>
      </c>
      <c r="D14" s="387">
        <f>'Прил.5 Расчет СМР и ОБ'!D59</f>
        <v/>
      </c>
      <c r="E14" s="475">
        <f>'Прил.5 Расчет СМР и ОБ'!E59</f>
        <v/>
      </c>
      <c r="F14" s="406">
        <f>'Прил.5 Расчет СМР и ОБ'!F59</f>
        <v/>
      </c>
      <c r="G14" s="304">
        <f>ROUND(E14*F14,2)</f>
        <v/>
      </c>
    </row>
    <row r="15" ht="25.5" customHeight="1" s="338">
      <c r="A15" s="387" t="n"/>
      <c r="B15" s="394" t="n"/>
      <c r="C15" s="394" t="inlineStr">
        <is>
          <t>ИТОГО ТЕХНОЛОГИЧЕСКОЕ ОБОРУДОВАНИЕ</t>
        </is>
      </c>
      <c r="D15" s="394" t="n"/>
      <c r="E15" s="406" t="n"/>
      <c r="F15" s="396" t="n"/>
      <c r="G15" s="304">
        <f>SUM(G12:G14)</f>
        <v/>
      </c>
    </row>
    <row r="16" ht="19.5" customHeight="1" s="338">
      <c r="A16" s="387" t="n"/>
      <c r="B16" s="394" t="n"/>
      <c r="C16" s="394" t="inlineStr">
        <is>
          <t>Всего по разделу «Оборудование»</t>
        </is>
      </c>
      <c r="D16" s="394" t="n"/>
      <c r="E16" s="406" t="n"/>
      <c r="F16" s="396" t="n"/>
      <c r="G16" s="304">
        <f>G10+G15</f>
        <v/>
      </c>
    </row>
    <row r="17">
      <c r="A17" s="321" t="n"/>
      <c r="B17" s="325" t="n"/>
      <c r="C17" s="321" t="n"/>
      <c r="D17" s="321" t="n"/>
      <c r="E17" s="321" t="n"/>
      <c r="F17" s="321" t="n"/>
      <c r="G17" s="321" t="n"/>
    </row>
    <row r="18">
      <c r="A18" s="333" t="inlineStr">
        <is>
          <t>Составил ______________________    Е. М. Добровольская</t>
        </is>
      </c>
      <c r="B18" s="322" t="n"/>
      <c r="C18" s="322" t="n"/>
      <c r="D18" s="321" t="n"/>
      <c r="E18" s="321" t="n"/>
      <c r="F18" s="321" t="n"/>
      <c r="G18" s="321" t="n"/>
    </row>
    <row r="19">
      <c r="A19" s="324" t="inlineStr">
        <is>
          <t xml:space="preserve">                         (подпись, инициалы, фамилия)</t>
        </is>
      </c>
      <c r="B19" s="322" t="n"/>
      <c r="C19" s="322" t="n"/>
      <c r="D19" s="321" t="n"/>
      <c r="E19" s="321" t="n"/>
      <c r="F19" s="321" t="n"/>
      <c r="G19" s="321" t="n"/>
    </row>
    <row r="20">
      <c r="A20" s="333" t="n"/>
      <c r="B20" s="322" t="n"/>
      <c r="C20" s="322" t="n"/>
      <c r="D20" s="321" t="n"/>
      <c r="E20" s="321" t="n"/>
      <c r="F20" s="321" t="n"/>
      <c r="G20" s="321" t="n"/>
    </row>
    <row r="21">
      <c r="A21" s="333" t="inlineStr">
        <is>
          <t>Проверил ______________________        А.В. Костянецкая</t>
        </is>
      </c>
      <c r="B21" s="322" t="n"/>
      <c r="C21" s="322" t="n"/>
      <c r="D21" s="321" t="n"/>
      <c r="E21" s="321" t="n"/>
      <c r="F21" s="321" t="n"/>
      <c r="G21" s="321" t="n"/>
    </row>
    <row r="22">
      <c r="A22" s="324" t="inlineStr">
        <is>
          <t xml:space="preserve">                        (подпись, инициалы, фамилия)</t>
        </is>
      </c>
      <c r="B22" s="322" t="n"/>
      <c r="C22" s="322" t="n"/>
      <c r="D22" s="321" t="n"/>
      <c r="E22" s="321" t="n"/>
      <c r="F22" s="321" t="n"/>
      <c r="G22" s="32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2:B13"/>
    </sheetView>
  </sheetViews>
  <sheetFormatPr baseColWidth="8" defaultColWidth="8.85546875" defaultRowHeight="15"/>
  <cols>
    <col width="14.42578125" customWidth="1" style="338" min="1" max="1"/>
    <col width="29.7109375" customWidth="1" style="338" min="2" max="2"/>
    <col width="39.140625" customWidth="1" style="338" min="3" max="3"/>
    <col width="24.5703125" customWidth="1" style="338" min="4" max="4"/>
    <col width="8.85546875" customWidth="1" style="338" min="5" max="5"/>
  </cols>
  <sheetData>
    <row r="1">
      <c r="B1" s="333" t="n"/>
      <c r="C1" s="333" t="n"/>
      <c r="D1" s="402" t="inlineStr">
        <is>
          <t>Приложение №7</t>
        </is>
      </c>
    </row>
    <row r="2">
      <c r="A2" s="402" t="n"/>
      <c r="B2" s="402" t="n"/>
      <c r="C2" s="402" t="n"/>
      <c r="D2" s="402" t="n"/>
    </row>
    <row r="3" ht="24.75" customHeight="1" s="338">
      <c r="A3" s="355" t="inlineStr">
        <is>
          <t>Расчет показателя УНЦ</t>
        </is>
      </c>
    </row>
    <row r="4" ht="24.75" customHeight="1" s="338">
      <c r="A4" s="355" t="n"/>
      <c r="B4" s="355" t="n"/>
      <c r="C4" s="355" t="n"/>
      <c r="D4" s="355" t="n"/>
    </row>
    <row r="5" ht="24.6" customHeight="1" s="338">
      <c r="A5" s="358" t="inlineStr">
        <is>
          <t xml:space="preserve">Наименование разрабатываемого показателя УНЦ - </t>
        </is>
      </c>
      <c r="D5" s="358">
        <f>'Прил.5 Расчет СМР и ОБ'!D6:J6</f>
        <v/>
      </c>
    </row>
    <row r="6" ht="19.9" customHeight="1" s="338">
      <c r="A6" s="358" t="inlineStr">
        <is>
          <t>Единица измерения  — 1 ячейка</t>
        </is>
      </c>
      <c r="D6" s="358" t="n"/>
    </row>
    <row r="7">
      <c r="A7" s="333" t="n"/>
      <c r="B7" s="333" t="n"/>
      <c r="C7" s="333" t="n"/>
      <c r="D7" s="333" t="n"/>
    </row>
    <row r="8" ht="14.45" customHeight="1" s="338">
      <c r="A8" s="371" t="inlineStr">
        <is>
          <t>Код показателя</t>
        </is>
      </c>
      <c r="B8" s="371" t="inlineStr">
        <is>
          <t>Наименование показателя</t>
        </is>
      </c>
      <c r="C8" s="371" t="inlineStr">
        <is>
          <t>Наименование РМ, входящих в состав показателя</t>
        </is>
      </c>
      <c r="D8" s="371" t="inlineStr">
        <is>
          <t>Норматив цены на 01.01.2023, тыс.руб.</t>
        </is>
      </c>
    </row>
    <row r="9" ht="15" customHeight="1" s="338">
      <c r="A9" s="463" t="n"/>
      <c r="B9" s="463" t="n"/>
      <c r="C9" s="463" t="n"/>
      <c r="D9" s="463" t="n"/>
    </row>
    <row r="10">
      <c r="A10" s="387" t="n">
        <v>1</v>
      </c>
      <c r="B10" s="387" t="n">
        <v>2</v>
      </c>
      <c r="C10" s="387" t="n">
        <v>3</v>
      </c>
      <c r="D10" s="387" t="n">
        <v>4</v>
      </c>
    </row>
    <row r="11" ht="41.45" customHeight="1" s="338">
      <c r="A11" s="387" t="inlineStr">
        <is>
          <t>Р1-03-3</t>
        </is>
      </c>
      <c r="B11" s="387" t="inlineStr">
        <is>
          <t>УНЦ ячейки реактора ДГР 6-35 кВ</t>
        </is>
      </c>
      <c r="C11" s="328">
        <f>D5</f>
        <v/>
      </c>
      <c r="D11" s="327">
        <f>'Прил.4 РМ'!C41/1000</f>
        <v/>
      </c>
      <c r="E11" s="326" t="n"/>
    </row>
    <row r="12">
      <c r="A12" s="321" t="n"/>
      <c r="B12" s="325" t="n"/>
      <c r="C12" s="321" t="n"/>
      <c r="D12" s="321" t="n"/>
    </row>
    <row r="13">
      <c r="A13" s="333" t="inlineStr">
        <is>
          <t>Составил ______________________      Е. М. Добровольская</t>
        </is>
      </c>
      <c r="B13" s="322" t="n"/>
      <c r="C13" s="322" t="n"/>
      <c r="D13" s="321" t="n"/>
    </row>
    <row r="14">
      <c r="A14" s="324" t="inlineStr">
        <is>
          <t xml:space="preserve">                         (подпись, инициалы, фамилия)</t>
        </is>
      </c>
      <c r="B14" s="322" t="n"/>
      <c r="C14" s="322" t="n"/>
      <c r="D14" s="321" t="n"/>
    </row>
    <row r="15">
      <c r="A15" s="333" t="n"/>
      <c r="B15" s="322" t="n"/>
      <c r="C15" s="322" t="n"/>
      <c r="D15" s="321" t="n"/>
    </row>
    <row r="16">
      <c r="A16" s="333" t="inlineStr">
        <is>
          <t>Проверил ______________________        А.В. Костянецкая</t>
        </is>
      </c>
      <c r="B16" s="322" t="n"/>
      <c r="C16" s="322" t="n"/>
      <c r="D16" s="321" t="n"/>
    </row>
    <row r="17">
      <c r="A17" s="324" t="inlineStr">
        <is>
          <t xml:space="preserve">                        (подпись, инициалы, фамилия)</t>
        </is>
      </c>
      <c r="B17" s="322" t="n"/>
      <c r="C17" s="322" t="n"/>
      <c r="D17" s="321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zoomScale="60" zoomScaleNormal="85" workbookViewId="0">
      <selection activeCell="B23" sqref="B23"/>
    </sheetView>
  </sheetViews>
  <sheetFormatPr baseColWidth="8" defaultColWidth="9.140625" defaultRowHeight="15"/>
  <cols>
    <col width="9.140625" customWidth="1" style="338" min="1" max="1"/>
    <col width="40.7109375" customWidth="1" style="338" min="2" max="2"/>
    <col width="37" customWidth="1" style="338" min="3" max="3"/>
    <col width="32" customWidth="1" style="338" min="4" max="4"/>
    <col width="9.140625" customWidth="1" style="338" min="5" max="5"/>
  </cols>
  <sheetData>
    <row r="4" ht="15.6" customHeight="1" s="338">
      <c r="B4" s="362" t="inlineStr">
        <is>
          <t>Приложение № 10</t>
        </is>
      </c>
    </row>
    <row r="5" ht="18" customHeight="1" s="338">
      <c r="B5" s="172" t="n"/>
    </row>
    <row r="6" ht="15.6" customHeight="1" s="338">
      <c r="B6" s="363" t="inlineStr">
        <is>
          <t>Используемые индексы изменений сметной стоимости и нормы сопутствующих затрат</t>
        </is>
      </c>
    </row>
    <row r="7">
      <c r="B7" s="408" t="n"/>
    </row>
    <row r="8">
      <c r="B8" s="408" t="n"/>
      <c r="C8" s="408" t="n"/>
      <c r="D8" s="408" t="n"/>
      <c r="E8" s="408" t="n"/>
    </row>
    <row r="9" ht="46.9" customHeight="1" s="338">
      <c r="B9" s="371" t="inlineStr">
        <is>
          <t>Наименование индекса / норм сопутствующих затрат</t>
        </is>
      </c>
      <c r="C9" s="371" t="inlineStr">
        <is>
          <t>Дата применения и обоснование индекса / норм сопутствующих затрат</t>
        </is>
      </c>
      <c r="D9" s="371" t="inlineStr">
        <is>
          <t>Размер индекса / норма сопутствующих затрат</t>
        </is>
      </c>
    </row>
    <row r="10" ht="15.6" customHeight="1" s="338">
      <c r="B10" s="371" t="n">
        <v>1</v>
      </c>
      <c r="C10" s="371" t="n">
        <v>2</v>
      </c>
      <c r="D10" s="371" t="n">
        <v>3</v>
      </c>
    </row>
    <row r="11" ht="45" customHeight="1" s="338">
      <c r="B11" s="371" t="inlineStr">
        <is>
          <t xml:space="preserve">Индекс изменения сметной стоимости на 1 квартал 2023 года. ОЗП </t>
        </is>
      </c>
      <c r="C11" s="371" t="inlineStr">
        <is>
          <t>Письмо Минстроя России от 30.03.2023г. №17106-ИФ/09  прил.1</t>
        </is>
      </c>
      <c r="D11" s="371" t="n">
        <v>44.29</v>
      </c>
    </row>
    <row r="12" ht="29.25" customHeight="1" s="338">
      <c r="B12" s="371" t="inlineStr">
        <is>
          <t>Индекс изменения сметной стоимости на 1 квартал 2023 года. ЭМ</t>
        </is>
      </c>
      <c r="C12" s="371" t="inlineStr">
        <is>
          <t>Письмо Минстроя России от 30.03.2023г. №17106-ИФ/09  прил.1</t>
        </is>
      </c>
      <c r="D12" s="371" t="n">
        <v>13.47</v>
      </c>
    </row>
    <row r="13" ht="29.25" customHeight="1" s="338">
      <c r="B13" s="371" t="inlineStr">
        <is>
          <t>Индекс изменения сметной стоимости на 1 квартал 2023 года. МАТ</t>
        </is>
      </c>
      <c r="C13" s="371" t="inlineStr">
        <is>
          <t>Письмо Минстроя России от 30.03.2023г. №17106-ИФ/09  прил.1</t>
        </is>
      </c>
      <c r="D13" s="371" t="n">
        <v>8.039999999999999</v>
      </c>
    </row>
    <row r="14" ht="30.75" customHeight="1" s="338">
      <c r="B14" s="371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71" t="n">
        <v>6.26</v>
      </c>
    </row>
    <row r="15" ht="89.45" customHeight="1" s="338">
      <c r="B15" s="371" t="inlineStr">
        <is>
          <t>Временные здания и сооружения</t>
        </is>
      </c>
      <c r="C15" s="37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38">
      <c r="B16" s="371" t="inlineStr">
        <is>
          <t>Дополнительные затраты при производстве строительно-монтажных работ в зимнее время</t>
        </is>
      </c>
      <c r="C16" s="37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38">
      <c r="B17" s="371" t="inlineStr">
        <is>
          <t>Строительный контроль</t>
        </is>
      </c>
      <c r="C17" s="371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38">
      <c r="B18" s="371" t="inlineStr">
        <is>
          <t>Авторский надзор - 0,2%</t>
        </is>
      </c>
      <c r="C18" s="371" t="inlineStr">
        <is>
          <t>Приказ от 4.08.2020 № 421/пр п.173</t>
        </is>
      </c>
      <c r="D18" s="175" t="n">
        <v>0.002</v>
      </c>
    </row>
    <row r="19" ht="24" customHeight="1" s="338">
      <c r="B19" s="371" t="inlineStr">
        <is>
          <t>Непредвиденные расходы</t>
        </is>
      </c>
      <c r="C19" s="371" t="inlineStr">
        <is>
          <t>Приказ от 4.08.2020 № 421/пр п.179</t>
        </is>
      </c>
      <c r="D19" s="175" t="n">
        <v>0.03</v>
      </c>
    </row>
    <row r="20" ht="18" customHeight="1" s="338">
      <c r="B20" s="259" t="n"/>
    </row>
    <row r="21" ht="18" customHeight="1" s="338">
      <c r="B21" s="259" t="n"/>
    </row>
    <row r="22" ht="18" customHeight="1" s="338">
      <c r="B22" s="259" t="n"/>
    </row>
    <row r="23" ht="18" customHeight="1" s="338">
      <c r="B23" s="259" t="n"/>
    </row>
    <row r="26">
      <c r="B26" s="333" t="inlineStr">
        <is>
          <t>Составил ______________________         Е. М. Добровольская</t>
        </is>
      </c>
      <c r="C26" s="322" t="n"/>
    </row>
    <row r="27">
      <c r="B27" s="324" t="inlineStr">
        <is>
          <t xml:space="preserve">                         (подпись, инициалы, фамилия)</t>
        </is>
      </c>
      <c r="C27" s="322" t="n"/>
    </row>
    <row r="28">
      <c r="B28" s="333" t="n"/>
      <c r="C28" s="322" t="n"/>
    </row>
    <row r="29">
      <c r="B29" s="333" t="inlineStr">
        <is>
          <t>Проверил ______________________        А.В. Костянецкая</t>
        </is>
      </c>
      <c r="C29" s="322" t="n"/>
    </row>
    <row r="30">
      <c r="B30" s="324" t="inlineStr">
        <is>
          <t xml:space="preserve">                        (подпись, инициалы, фамилия)</t>
        </is>
      </c>
      <c r="C30" s="32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D7" sqref="D7"/>
    </sheetView>
  </sheetViews>
  <sheetFormatPr baseColWidth="8" defaultColWidth="9.140625" defaultRowHeight="15"/>
  <cols>
    <col width="44.85546875" customWidth="1" style="338" min="2" max="2"/>
    <col width="13" customWidth="1" style="338" min="3" max="3"/>
    <col width="22.85546875" customWidth="1" style="338" min="4" max="4"/>
    <col width="21.5703125" customWidth="1" style="338" min="5" max="5"/>
    <col width="43.85546875" customWidth="1" style="338" min="6" max="6"/>
  </cols>
  <sheetData>
    <row r="1" s="338"/>
    <row r="2" ht="17.25" customHeight="1" s="338">
      <c r="A2" s="363" t="inlineStr">
        <is>
          <t>Расчет размера средств на оплату труда рабочих-строителей в текущем уровне цен (ФОТр.тек.)</t>
        </is>
      </c>
    </row>
    <row r="3" s="338"/>
    <row r="4" ht="18" customHeight="1" s="338">
      <c r="A4" s="339" t="inlineStr">
        <is>
          <t>Составлен в уровне цен на 01.01.2023 г.</t>
        </is>
      </c>
      <c r="B4" s="340" t="n"/>
      <c r="C4" s="340" t="n"/>
      <c r="D4" s="340" t="n"/>
      <c r="E4" s="340" t="n"/>
      <c r="F4" s="340" t="n"/>
      <c r="G4" s="340" t="n"/>
    </row>
    <row r="5" ht="15.75" customHeight="1" s="338">
      <c r="A5" s="341" t="inlineStr">
        <is>
          <t>№ пп.</t>
        </is>
      </c>
      <c r="B5" s="341" t="inlineStr">
        <is>
          <t>Наименование элемента</t>
        </is>
      </c>
      <c r="C5" s="341" t="inlineStr">
        <is>
          <t>Обозначение</t>
        </is>
      </c>
      <c r="D5" s="341" t="inlineStr">
        <is>
          <t>Формула</t>
        </is>
      </c>
      <c r="E5" s="341" t="inlineStr">
        <is>
          <t>Величина элемента</t>
        </is>
      </c>
      <c r="F5" s="341" t="inlineStr">
        <is>
          <t>Наименования обосновывающих документов</t>
        </is>
      </c>
      <c r="G5" s="340" t="n"/>
    </row>
    <row r="6" ht="15.75" customHeight="1" s="338">
      <c r="A6" s="341" t="n">
        <v>1</v>
      </c>
      <c r="B6" s="341" t="n">
        <v>2</v>
      </c>
      <c r="C6" s="341" t="n">
        <v>3</v>
      </c>
      <c r="D6" s="341" t="n">
        <v>4</v>
      </c>
      <c r="E6" s="341" t="n">
        <v>5</v>
      </c>
      <c r="F6" s="341" t="n">
        <v>6</v>
      </c>
      <c r="G6" s="340" t="n"/>
    </row>
    <row r="7" ht="110.25" customHeight="1" s="338">
      <c r="A7" s="342" t="inlineStr">
        <is>
          <t>1.1</t>
        </is>
      </c>
      <c r="B7" s="34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71" t="inlineStr">
        <is>
          <t>С1ср</t>
        </is>
      </c>
      <c r="D7" s="371" t="inlineStr">
        <is>
          <t>-</t>
        </is>
      </c>
      <c r="E7" s="345" t="n">
        <v>47872.94</v>
      </c>
      <c r="F7" s="34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0" t="n"/>
    </row>
    <row r="8" ht="31.5" customHeight="1" s="338">
      <c r="A8" s="342" t="inlineStr">
        <is>
          <t>1.2</t>
        </is>
      </c>
      <c r="B8" s="347" t="inlineStr">
        <is>
          <t>Среднегодовое нормативное число часов работы одного рабочего в месяц, часы (ч.)</t>
        </is>
      </c>
      <c r="C8" s="371" t="inlineStr">
        <is>
          <t>tср</t>
        </is>
      </c>
      <c r="D8" s="371" t="inlineStr">
        <is>
          <t>1973ч/12мес.</t>
        </is>
      </c>
      <c r="E8" s="346">
        <f>1973/12</f>
        <v/>
      </c>
      <c r="F8" s="347" t="inlineStr">
        <is>
          <t>Производственный календарь 2023 год
(40-часов.неделя)</t>
        </is>
      </c>
      <c r="G8" s="349" t="n"/>
    </row>
    <row r="9" ht="15.75" customHeight="1" s="338">
      <c r="A9" s="342" t="inlineStr">
        <is>
          <t>1.3</t>
        </is>
      </c>
      <c r="B9" s="347" t="inlineStr">
        <is>
          <t>Коэффициент увеличения</t>
        </is>
      </c>
      <c r="C9" s="371" t="inlineStr">
        <is>
          <t>Кув</t>
        </is>
      </c>
      <c r="D9" s="371" t="inlineStr">
        <is>
          <t>-</t>
        </is>
      </c>
      <c r="E9" s="346" t="n">
        <v>1</v>
      </c>
      <c r="F9" s="347" t="n"/>
      <c r="G9" s="349" t="n"/>
    </row>
    <row r="10" ht="15.75" customHeight="1" s="338">
      <c r="A10" s="342" t="inlineStr">
        <is>
          <t>1.4</t>
        </is>
      </c>
      <c r="B10" s="347" t="inlineStr">
        <is>
          <t>Средний разряд работ</t>
        </is>
      </c>
      <c r="C10" s="371" t="n"/>
      <c r="D10" s="371" t="n"/>
      <c r="E10" s="350" t="n">
        <v>3.4</v>
      </c>
      <c r="F10" s="347" t="inlineStr">
        <is>
          <t>РТМ</t>
        </is>
      </c>
      <c r="G10" s="349" t="n"/>
    </row>
    <row r="11" ht="78.75" customHeight="1" s="338">
      <c r="A11" s="342" t="inlineStr">
        <is>
          <t>1.5</t>
        </is>
      </c>
      <c r="B11" s="347" t="inlineStr">
        <is>
          <t>Тарифный коэффициент среднего разряда работ</t>
        </is>
      </c>
      <c r="C11" s="371" t="inlineStr">
        <is>
          <t>КТ</t>
        </is>
      </c>
      <c r="D11" s="371" t="inlineStr">
        <is>
          <t>-</t>
        </is>
      </c>
      <c r="E11" s="351" t="n">
        <v>1.247</v>
      </c>
      <c r="F11" s="34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0" t="n"/>
    </row>
    <row r="12" ht="78.75" customHeight="1" s="338">
      <c r="A12" s="352" t="inlineStr">
        <is>
          <t>1.6</t>
        </is>
      </c>
      <c r="B12" s="452" t="inlineStr">
        <is>
          <t>Коэффициент инфляции, определяемый поквартально</t>
        </is>
      </c>
      <c r="C12" s="372" t="inlineStr">
        <is>
          <t>Кинф</t>
        </is>
      </c>
      <c r="D12" s="372" t="inlineStr">
        <is>
          <t>-</t>
        </is>
      </c>
      <c r="E12" s="480" t="n">
        <v>1.139</v>
      </c>
      <c r="F12" s="45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9" t="n"/>
    </row>
    <row r="13" ht="63" customHeight="1" s="338">
      <c r="A13" s="455" t="inlineStr">
        <is>
          <t>1.7</t>
        </is>
      </c>
      <c r="B13" s="456" t="inlineStr">
        <is>
          <t>Размер средств на оплату труда рабочих-строителей в текущем уровне цен (ФОТр.тек.), руб/чел.-ч</t>
        </is>
      </c>
      <c r="C13" s="457" t="inlineStr">
        <is>
          <t>ФОТр.тек.</t>
        </is>
      </c>
      <c r="D13" s="457" t="inlineStr">
        <is>
          <t>(С1ср/tср*КТ*Т*Кув)*Кинф</t>
        </is>
      </c>
      <c r="E13" s="458">
        <f>((E7*E9/E8)*E11)*E12</f>
        <v/>
      </c>
      <c r="F13" s="45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0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2025-01-24T12:13:28Z</dcterms:modified>
  <cp:lastModifiedBy>Nikolay Ivanov</cp:lastModifiedBy>
  <cp:lastPrinted>2023-11-30T17:09:42Z</cp:lastPrinted>
</cp:coreProperties>
</file>