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ОБ'!$A$1:$J$200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2.5703125" customWidth="1" style="201" min="4" max="4"/>
    <col width="37.42578125" customWidth="1" style="201" min="5" max="5"/>
    <col width="9.140625" customWidth="1" style="201" min="6" max="6"/>
  </cols>
  <sheetData>
    <row r="3">
      <c r="B3" s="220" t="inlineStr">
        <is>
          <t>Приложение № 1</t>
        </is>
      </c>
    </row>
    <row r="4">
      <c r="B4" s="221" t="inlineStr">
        <is>
          <t>Сравнительная таблица отбора объекта-представителя</t>
        </is>
      </c>
    </row>
    <row r="5" ht="84.2" customHeight="1" s="198">
      <c r="B5" s="2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10" t="n"/>
      <c r="C6" s="110" t="n"/>
      <c r="D6" s="110" t="n"/>
    </row>
    <row r="7" ht="45" customHeight="1" s="198">
      <c r="B7" s="222" t="inlineStr">
        <is>
          <t>Наименование разрабатываемого показателя УНЦ - Ячейка двухобмоточного трансформатора масляного Т20/НН, мощность 25кВА</t>
        </is>
      </c>
    </row>
    <row r="8">
      <c r="B8" s="222" t="inlineStr">
        <is>
          <t>Сопоставимый уровень цен: 4 квартал 2010 года</t>
        </is>
      </c>
    </row>
    <row r="9" ht="15.75" customHeight="1" s="198">
      <c r="B9" s="222" t="inlineStr">
        <is>
          <t>Единица измерения  — 1 ячейка</t>
        </is>
      </c>
    </row>
    <row r="10">
      <c r="B10" s="222" t="n"/>
    </row>
    <row r="11">
      <c r="B11" s="226" t="inlineStr">
        <is>
          <t>№ п/п</t>
        </is>
      </c>
      <c r="C11" s="226" t="inlineStr">
        <is>
          <t>Параметр</t>
        </is>
      </c>
      <c r="D11" s="226" t="inlineStr">
        <is>
          <t xml:space="preserve">Объект-представитель </t>
        </is>
      </c>
      <c r="E11" s="87" t="n"/>
    </row>
    <row r="12" ht="31.5" customHeight="1" s="198">
      <c r="B12" s="226" t="n">
        <v>1</v>
      </c>
      <c r="C12" s="82" t="inlineStr">
        <is>
          <t>Наименование объекта-представителя</t>
        </is>
      </c>
      <c r="D12" s="170" t="inlineStr">
        <is>
          <t>ПС 35 кВ Ужовка-2 (МРСК Центра и Приволжья)</t>
        </is>
      </c>
    </row>
    <row r="13">
      <c r="B13" s="226" t="n">
        <v>2</v>
      </c>
      <c r="C13" s="82" t="inlineStr">
        <is>
          <t>Наименование субъекта Российской Федерации</t>
        </is>
      </c>
      <c r="D13" s="170" t="inlineStr">
        <is>
          <t>Нижегородская обл.</t>
        </is>
      </c>
    </row>
    <row r="14">
      <c r="B14" s="226" t="n">
        <v>3</v>
      </c>
      <c r="C14" s="82" t="inlineStr">
        <is>
          <t>Климатический район и подрайон</t>
        </is>
      </c>
      <c r="D14" s="172" t="inlineStr">
        <is>
          <t>IIB</t>
        </is>
      </c>
    </row>
    <row r="15">
      <c r="B15" s="226" t="n">
        <v>4</v>
      </c>
      <c r="C15" s="82" t="inlineStr">
        <is>
          <t>Мощность объекта</t>
        </is>
      </c>
      <c r="D15" s="170" t="n">
        <v>2</v>
      </c>
    </row>
    <row r="16" ht="63" customHeight="1" s="198">
      <c r="B16" s="226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0" t="inlineStr">
        <is>
          <t>Трансформатор ТМГ 20 кВ 25 кВА</t>
        </is>
      </c>
    </row>
    <row r="17" ht="63" customHeight="1" s="198">
      <c r="B17" s="226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D18+D19+D20+D21</f>
        <v/>
      </c>
      <c r="E17" s="109" t="n"/>
    </row>
    <row r="18">
      <c r="B18" s="86" t="inlineStr">
        <is>
          <t>6.1</t>
        </is>
      </c>
      <c r="C18" s="82" t="inlineStr">
        <is>
          <t>строительно-монтажные работы</t>
        </is>
      </c>
      <c r="D18" s="209" t="n">
        <v>0.34</v>
      </c>
    </row>
    <row r="19" ht="15.75" customHeight="1" s="198">
      <c r="B19" s="86" t="inlineStr">
        <is>
          <t>6.2</t>
        </is>
      </c>
      <c r="C19" s="82" t="inlineStr">
        <is>
          <t>оборудование и инвентарь</t>
        </is>
      </c>
      <c r="D19" s="209" t="n">
        <v>45.66</v>
      </c>
    </row>
    <row r="20" ht="16.5" customHeight="1" s="198">
      <c r="B20" s="86" t="inlineStr">
        <is>
          <t>6.3</t>
        </is>
      </c>
      <c r="C20" s="82" t="inlineStr">
        <is>
          <t>пусконаладочные работы</t>
        </is>
      </c>
      <c r="D20" s="209" t="n"/>
    </row>
    <row r="21" ht="35.45" customHeight="1" s="198">
      <c r="B21" s="86" t="inlineStr">
        <is>
          <t>6.4</t>
        </is>
      </c>
      <c r="C21" s="85" t="inlineStr">
        <is>
          <t>прочие и лимитированные затраты</t>
        </is>
      </c>
      <c r="D21" s="209" t="n">
        <v>9.49</v>
      </c>
    </row>
    <row r="22">
      <c r="B22" s="226" t="n">
        <v>7</v>
      </c>
      <c r="C22" s="85" t="inlineStr">
        <is>
          <t>Сопоставимый уровень цен</t>
        </is>
      </c>
      <c r="D22" s="122" t="inlineStr">
        <is>
          <t>4 квартал 2010 года</t>
        </is>
      </c>
      <c r="E22" s="83" t="n"/>
    </row>
    <row r="23" ht="78.75" customHeight="1" s="198">
      <c r="B23" s="226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09" t="n"/>
    </row>
    <row r="24" ht="31.5" customHeight="1" s="198">
      <c r="B24" s="226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83" t="n"/>
    </row>
    <row r="25">
      <c r="B25" s="226" t="n">
        <v>10</v>
      </c>
      <c r="C25" s="82" t="inlineStr">
        <is>
          <t>Примечание</t>
        </is>
      </c>
      <c r="D25" s="226" t="n"/>
    </row>
    <row r="26">
      <c r="B26" s="81" t="n"/>
      <c r="C26" s="80" t="n"/>
      <c r="D26" s="80" t="n"/>
    </row>
    <row r="27" ht="37.5" customHeight="1" s="198">
      <c r="B27" s="79" t="n"/>
    </row>
    <row r="28">
      <c r="B28" s="201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201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0" t="inlineStr">
        <is>
          <t>Приложение № 2</t>
        </is>
      </c>
      <c r="K3" s="79" t="n"/>
    </row>
    <row r="4">
      <c r="B4" s="221" t="inlineStr">
        <is>
          <t>Расчет стоимости основных видов работ для выбора объекта-представителя</t>
        </is>
      </c>
    </row>
    <row r="5"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</row>
    <row r="6">
      <c r="B6" s="222">
        <f>'Прил.1 Сравнит табл'!B7:D7</f>
        <v/>
      </c>
    </row>
    <row r="7">
      <c r="B7" s="222">
        <f>'Прил.1 Сравнит табл'!B9:D9</f>
        <v/>
      </c>
    </row>
    <row r="8" ht="18.75" customHeight="1" s="198">
      <c r="B8" s="111" t="n"/>
    </row>
    <row r="9" ht="15.75" customHeight="1" s="198">
      <c r="B9" s="226" t="inlineStr">
        <is>
          <t>№ п/п</t>
        </is>
      </c>
      <c r="C9" s="2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6" t="inlineStr">
        <is>
          <t>Объект-представитель 1</t>
        </is>
      </c>
      <c r="E9" s="276" t="n"/>
      <c r="F9" s="276" t="n"/>
      <c r="G9" s="276" t="n"/>
      <c r="H9" s="276" t="n"/>
      <c r="I9" s="276" t="n"/>
      <c r="J9" s="277" t="n"/>
    </row>
    <row r="10" ht="15.75" customHeight="1" s="198">
      <c r="B10" s="278" t="n"/>
      <c r="C10" s="278" t="n"/>
      <c r="D10" s="226" t="inlineStr">
        <is>
          <t>Номер сметы</t>
        </is>
      </c>
      <c r="E10" s="226" t="inlineStr">
        <is>
          <t>Наименование сметы</t>
        </is>
      </c>
      <c r="F10" s="226" t="inlineStr">
        <is>
          <t>Сметная стоимость в уровне цен 4 кв. 2010 г., тыс. руб.</t>
        </is>
      </c>
      <c r="G10" s="276" t="n"/>
      <c r="H10" s="276" t="n"/>
      <c r="I10" s="276" t="n"/>
      <c r="J10" s="277" t="n"/>
    </row>
    <row r="11" ht="31.5" customHeight="1" s="198">
      <c r="B11" s="279" t="n"/>
      <c r="C11" s="279" t="n"/>
      <c r="D11" s="279" t="n"/>
      <c r="E11" s="279" t="n"/>
      <c r="F11" s="226" t="inlineStr">
        <is>
          <t>Строительные работы</t>
        </is>
      </c>
      <c r="G11" s="226" t="inlineStr">
        <is>
          <t>Монтажные работы</t>
        </is>
      </c>
      <c r="H11" s="226" t="inlineStr">
        <is>
          <t>Оборудование</t>
        </is>
      </c>
      <c r="I11" s="226" t="inlineStr">
        <is>
          <t>Прочее</t>
        </is>
      </c>
      <c r="J11" s="226" t="inlineStr">
        <is>
          <t>Всего</t>
        </is>
      </c>
    </row>
    <row r="12" ht="94.5" customHeight="1" s="198">
      <c r="B12" s="218" t="n">
        <v>1</v>
      </c>
      <c r="C12" s="170" t="inlineStr">
        <is>
          <t>Трансформатор ТМГ 20 кВ 25 кВА</t>
        </is>
      </c>
      <c r="D12" s="218" t="inlineStr">
        <is>
          <t>01.02-01-06</t>
        </is>
      </c>
      <c r="E12" s="218" t="inlineStr">
        <is>
          <t xml:space="preserve"> Установка трансформаторов и РУ 10 кВ на ПС 35 кВ Ужовка 2. Электротехнические решения</t>
        </is>
      </c>
      <c r="F12" s="219">
        <f>68*4.94/1000</f>
        <v/>
      </c>
      <c r="G12" s="219" t="n"/>
      <c r="H12" s="219">
        <f>13964*3.27/1000</f>
        <v/>
      </c>
      <c r="I12" s="219">
        <f>1574*6.03/1000</f>
        <v/>
      </c>
      <c r="J12" s="219">
        <f>SUM(F12:I12)</f>
        <v/>
      </c>
    </row>
    <row r="13" ht="15" customHeight="1" s="198">
      <c r="B13" s="224" t="inlineStr">
        <is>
          <t>Всего по объекту:</t>
        </is>
      </c>
      <c r="C13" s="280" t="n"/>
      <c r="D13" s="280" t="n"/>
      <c r="E13" s="281" t="n"/>
      <c r="F13" s="213">
        <f>SUM(F12)</f>
        <v/>
      </c>
      <c r="G13" s="213" t="n"/>
      <c r="H13" s="213">
        <f>SUM(H12)</f>
        <v/>
      </c>
      <c r="I13" s="213">
        <f>SUM(I12)</f>
        <v/>
      </c>
      <c r="J13" s="213">
        <f>SUM(J12)</f>
        <v/>
      </c>
    </row>
    <row r="14" ht="15.75" customHeight="1" s="198">
      <c r="B14" s="225" t="inlineStr">
        <is>
          <t>Всего по объекту в сопоставимом уровне цен 4 кв. 2010 г:</t>
        </is>
      </c>
      <c r="C14" s="276" t="n"/>
      <c r="D14" s="276" t="n"/>
      <c r="E14" s="277" t="n"/>
      <c r="F14" s="214">
        <f>F13</f>
        <v/>
      </c>
      <c r="G14" s="214" t="n"/>
      <c r="H14" s="214">
        <f>H13</f>
        <v/>
      </c>
      <c r="I14" s="214">
        <f>I13</f>
        <v/>
      </c>
      <c r="J14" s="214">
        <f>J13</f>
        <v/>
      </c>
    </row>
    <row r="15" ht="15" customHeight="1" s="198"/>
    <row r="16" ht="15" customHeight="1" s="198"/>
    <row r="17" ht="15" customHeight="1" s="198"/>
    <row r="18" ht="15" customHeight="1" s="198">
      <c r="C18" s="204" t="inlineStr">
        <is>
          <t>Составил ______________________     Д.А. Самуйленко</t>
        </is>
      </c>
      <c r="D18" s="205" t="n"/>
      <c r="E18" s="205" t="n"/>
    </row>
    <row r="19" ht="15" customHeight="1" s="198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198">
      <c r="C20" s="204" t="n"/>
      <c r="D20" s="205" t="n"/>
      <c r="E20" s="205" t="n"/>
    </row>
    <row r="21" ht="15" customHeight="1" s="198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198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198"/>
    <row r="24" ht="15" customHeight="1" s="198"/>
    <row r="25" ht="15" customHeight="1" s="198"/>
    <row r="26" ht="15" customHeight="1" s="198"/>
    <row r="27" ht="15" customHeight="1" s="198"/>
    <row r="28" ht="15" customHeight="1" s="1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85" workbookViewId="0">
      <selection activeCell="D200" sqref="D200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 s="198">
      <c r="A2" s="201" t="n"/>
      <c r="B2" s="201" t="n"/>
      <c r="C2" s="201" t="n"/>
      <c r="D2" s="201" t="n"/>
      <c r="E2" s="201" t="n"/>
      <c r="F2" s="201" t="n"/>
      <c r="G2" s="201" t="n"/>
      <c r="H2" s="201" t="n"/>
      <c r="I2" s="201" t="n"/>
      <c r="J2" s="201" t="n"/>
      <c r="K2" s="201" t="n"/>
      <c r="L2" s="201" t="n"/>
    </row>
    <row r="3">
      <c r="A3" s="220" t="inlineStr">
        <is>
          <t xml:space="preserve">Приложение № 3 </t>
        </is>
      </c>
    </row>
    <row r="4">
      <c r="A4" s="221" t="inlineStr">
        <is>
          <t>Объектная ресурсная ведомость</t>
        </is>
      </c>
    </row>
    <row r="5" ht="18.75" customHeight="1" s="198">
      <c r="A5" s="114" t="n"/>
      <c r="B5" s="114" t="n"/>
      <c r="C5" s="240" t="n"/>
    </row>
    <row r="6">
      <c r="A6" s="222" t="n"/>
    </row>
    <row r="7">
      <c r="A7" s="238" t="inlineStr">
        <is>
          <t>Наименование разрабатываемого показателя УНЦ - Ячейка двухобмоточного трансформатора масляного Т20/НН, мощность 25кВА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98">
      <c r="A9" s="226" t="inlineStr">
        <is>
          <t>п/п</t>
        </is>
      </c>
      <c r="B9" s="226" t="inlineStr">
        <is>
          <t>№ЛСР</t>
        </is>
      </c>
      <c r="C9" s="226" t="inlineStr">
        <is>
          <t>Код ресурса</t>
        </is>
      </c>
      <c r="D9" s="226" t="inlineStr">
        <is>
          <t>Наименование ресурса</t>
        </is>
      </c>
      <c r="E9" s="226" t="inlineStr">
        <is>
          <t>Ед. изм.</t>
        </is>
      </c>
      <c r="F9" s="226" t="inlineStr">
        <is>
          <t>Кол-во единиц по данным объекта-представителя</t>
        </is>
      </c>
      <c r="G9" s="226" t="inlineStr">
        <is>
          <t>Сметная стоимость в ценах на 01.01.2000 (руб.)</t>
        </is>
      </c>
      <c r="H9" s="277" t="n"/>
    </row>
    <row r="10" ht="40.7" customHeight="1" s="198">
      <c r="A10" s="279" t="n"/>
      <c r="B10" s="279" t="n"/>
      <c r="C10" s="279" t="n"/>
      <c r="D10" s="279" t="n"/>
      <c r="E10" s="279" t="n"/>
      <c r="F10" s="279" t="n"/>
      <c r="G10" s="226" t="inlineStr">
        <is>
          <t>на ед.изм.</t>
        </is>
      </c>
      <c r="H10" s="226" t="inlineStr">
        <is>
          <t>общая</t>
        </is>
      </c>
    </row>
    <row r="11">
      <c r="A11" s="227" t="n">
        <v>1</v>
      </c>
      <c r="B11" s="227" t="n"/>
      <c r="C11" s="227" t="n">
        <v>2</v>
      </c>
      <c r="D11" s="227" t="inlineStr">
        <is>
          <t>З</t>
        </is>
      </c>
      <c r="E11" s="227" t="n">
        <v>4</v>
      </c>
      <c r="F11" s="227" t="n">
        <v>5</v>
      </c>
      <c r="G11" s="227" t="n">
        <v>6</v>
      </c>
      <c r="H11" s="227" t="n">
        <v>7</v>
      </c>
    </row>
    <row r="12" customFormat="1" s="199">
      <c r="A12" s="232" t="inlineStr">
        <is>
          <t>Затраты труда рабочих</t>
        </is>
      </c>
      <c r="B12" s="276" t="n"/>
      <c r="C12" s="276" t="n"/>
      <c r="D12" s="276" t="n"/>
      <c r="E12" s="277" t="n"/>
      <c r="F12" s="112">
        <f>SUM(F13:F13)</f>
        <v/>
      </c>
      <c r="G12" s="113" t="n"/>
      <c r="H12" s="112">
        <f>SUM(H13:H13)</f>
        <v/>
      </c>
    </row>
    <row r="13">
      <c r="A13" s="245" t="n">
        <v>1</v>
      </c>
      <c r="B13" s="134" t="n"/>
      <c r="C13" s="176" t="inlineStr">
        <is>
          <t>1-3-2</t>
        </is>
      </c>
      <c r="D13" s="244" t="inlineStr">
        <is>
          <t>Затраты труда рабочих (средний разряд работы 3,2)</t>
        </is>
      </c>
      <c r="E13" s="245" t="inlineStr">
        <is>
          <t>чел.-ч</t>
        </is>
      </c>
      <c r="F13" s="245" t="n">
        <v>152.16</v>
      </c>
      <c r="G13" s="247" t="n">
        <v>8.74</v>
      </c>
      <c r="H13" s="169">
        <f>ROUND(F13*G13,2)</f>
        <v/>
      </c>
    </row>
    <row r="14" ht="15.75" customHeight="1" s="198">
      <c r="A14" s="239" t="inlineStr">
        <is>
          <t>Затраты труда машинистов</t>
        </is>
      </c>
      <c r="B14" s="276" t="n"/>
      <c r="C14" s="276" t="n"/>
      <c r="D14" s="276" t="n"/>
      <c r="E14" s="277" t="n"/>
      <c r="F14" s="232" t="n"/>
      <c r="G14" s="91" t="n"/>
      <c r="H14" s="112">
        <f>H15</f>
        <v/>
      </c>
    </row>
    <row r="15">
      <c r="A15" s="245" t="n">
        <v>2</v>
      </c>
      <c r="B15" s="139" t="n"/>
      <c r="C15" s="176" t="n">
        <v>2</v>
      </c>
      <c r="D15" s="244" t="inlineStr">
        <is>
          <t>Затраты труда машинистов</t>
        </is>
      </c>
      <c r="E15" s="245" t="inlineStr">
        <is>
          <t>чел.-ч</t>
        </is>
      </c>
      <c r="F15" s="245" t="n">
        <v>15.4491</v>
      </c>
      <c r="G15" s="169" t="n">
        <v>0</v>
      </c>
      <c r="H15" s="247" t="n">
        <v>189.1</v>
      </c>
    </row>
    <row r="16" customFormat="1" s="199">
      <c r="A16" s="232" t="inlineStr">
        <is>
          <t>Машины и механизмы</t>
        </is>
      </c>
      <c r="B16" s="276" t="n"/>
      <c r="C16" s="276" t="n"/>
      <c r="D16" s="276" t="n"/>
      <c r="E16" s="277" t="n"/>
      <c r="F16" s="232" t="n"/>
      <c r="G16" s="91" t="n"/>
      <c r="H16" s="112">
        <f>SUM(H17:H70)</f>
        <v/>
      </c>
    </row>
    <row r="17" ht="25.5" customHeight="1" s="198">
      <c r="A17" s="245" t="n">
        <v>3</v>
      </c>
      <c r="B17" s="139" t="n"/>
      <c r="C17" s="176" t="inlineStr">
        <is>
          <t>91.05.05-014</t>
        </is>
      </c>
      <c r="D17" s="244" t="inlineStr">
        <is>
          <t>Краны на автомобильном ходу, грузоподъемность 10 т</t>
        </is>
      </c>
      <c r="E17" s="245" t="inlineStr">
        <is>
          <t>маш.-ч</t>
        </is>
      </c>
      <c r="F17" s="161" t="n">
        <v>6.0792470277411</v>
      </c>
      <c r="G17" s="247" t="n">
        <v>111.99</v>
      </c>
      <c r="H17" s="247">
        <f>ROUND(F17*G17,2)</f>
        <v/>
      </c>
      <c r="I17" s="116" t="n"/>
      <c r="J17" s="115" t="n"/>
      <c r="L17" s="116" t="n"/>
    </row>
    <row r="18" ht="38.25" customFormat="1" customHeight="1" s="199">
      <c r="A18" s="245" t="n">
        <v>4</v>
      </c>
      <c r="B18" s="139" t="n"/>
      <c r="C18" s="176" t="inlineStr">
        <is>
          <t>91.18.01-007</t>
        </is>
      </c>
      <c r="D18" s="2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45" t="inlineStr">
        <is>
          <t>маш.-ч</t>
        </is>
      </c>
      <c r="F18" s="161" t="n">
        <v>2.7095112285337</v>
      </c>
      <c r="G18" s="247" t="n">
        <v>90</v>
      </c>
      <c r="H18" s="247">
        <f>ROUND(F18*G18,2)</f>
        <v/>
      </c>
      <c r="I18" s="116" t="n"/>
      <c r="L18" s="116" t="n"/>
    </row>
    <row r="19">
      <c r="A19" s="245" t="n">
        <v>5</v>
      </c>
      <c r="B19" s="139" t="n"/>
      <c r="C19" s="176" t="inlineStr">
        <is>
          <t>91.19.08-004</t>
        </is>
      </c>
      <c r="D19" s="244" t="inlineStr">
        <is>
          <t>Насосы, мощность 4 кВт</t>
        </is>
      </c>
      <c r="E19" s="245" t="inlineStr">
        <is>
          <t>маш.-ч</t>
        </is>
      </c>
      <c r="F19" s="161" t="n">
        <v>40.945825627477</v>
      </c>
      <c r="G19" s="247" t="n">
        <v>2.96</v>
      </c>
      <c r="H19" s="247">
        <f>ROUND(F19*G19,2)</f>
        <v/>
      </c>
      <c r="I19" s="116" t="n"/>
      <c r="L19" s="116" t="n"/>
    </row>
    <row r="20">
      <c r="A20" s="245" t="n">
        <v>6</v>
      </c>
      <c r="B20" s="139" t="n"/>
      <c r="C20" s="176" t="inlineStr">
        <is>
          <t>91.05.06-007</t>
        </is>
      </c>
      <c r="D20" s="244" t="inlineStr">
        <is>
          <t>Краны на гусеничном ходу, грузоподъемность 25 т</t>
        </is>
      </c>
      <c r="E20" s="245" t="inlineStr">
        <is>
          <t>маш.-ч</t>
        </is>
      </c>
      <c r="F20" s="161" t="n">
        <v>0.80165125495376</v>
      </c>
      <c r="G20" s="247" t="n">
        <v>120.04</v>
      </c>
      <c r="H20" s="247">
        <f>ROUND(F20*G20,2)</f>
        <v/>
      </c>
      <c r="I20" s="116" t="n"/>
      <c r="L20" s="116" t="n"/>
    </row>
    <row r="21">
      <c r="A21" s="245" t="n">
        <v>7</v>
      </c>
      <c r="B21" s="139" t="n"/>
      <c r="C21" s="176" t="inlineStr">
        <is>
          <t>91.05.06-012</t>
        </is>
      </c>
      <c r="D21" s="244" t="inlineStr">
        <is>
          <t>Краны на гусеничном ходу, грузоподъемность до 16 т</t>
        </is>
      </c>
      <c r="E21" s="245" t="inlineStr">
        <is>
          <t>маш.-ч</t>
        </is>
      </c>
      <c r="F21" s="161" t="n">
        <v>0.92067371202114</v>
      </c>
      <c r="G21" s="247" t="n">
        <v>96.89</v>
      </c>
      <c r="H21" s="247">
        <f>ROUND(F21*G21,2)</f>
        <v/>
      </c>
      <c r="I21" s="116" t="n"/>
      <c r="L21" s="116" t="n"/>
    </row>
    <row r="22">
      <c r="A22" s="245" t="n">
        <v>8</v>
      </c>
      <c r="B22" s="139" t="n"/>
      <c r="C22" s="176" t="inlineStr">
        <is>
          <t>91.14.02-001</t>
        </is>
      </c>
      <c r="D22" s="244" t="inlineStr">
        <is>
          <t>Автомобили бортовые, грузоподъемность: до 5 т</t>
        </is>
      </c>
      <c r="E22" s="245" t="inlineStr">
        <is>
          <t>маш.-ч</t>
        </is>
      </c>
      <c r="F22" s="161" t="n">
        <v>1.0277939233818</v>
      </c>
      <c r="G22" s="247" t="n">
        <v>65.70999999999999</v>
      </c>
      <c r="H22" s="247">
        <f>ROUND(F22*G22,2)</f>
        <v/>
      </c>
      <c r="I22" s="116" t="n"/>
      <c r="L22" s="116" t="n"/>
    </row>
    <row r="23">
      <c r="A23" s="245" t="n">
        <v>9</v>
      </c>
      <c r="B23" s="139" t="n"/>
      <c r="C23" s="176" t="inlineStr">
        <is>
          <t>91.21.18-011</t>
        </is>
      </c>
      <c r="D23" s="244" t="inlineStr">
        <is>
          <t>Маслоподогреватель</t>
        </is>
      </c>
      <c r="E23" s="245" t="inlineStr">
        <is>
          <t>маш.-ч</t>
        </is>
      </c>
      <c r="F23" s="161" t="n">
        <v>1.2994451783355</v>
      </c>
      <c r="G23" s="247" t="n">
        <v>38.87</v>
      </c>
      <c r="H23" s="247">
        <f>ROUND(F23*G23,2)</f>
        <v/>
      </c>
      <c r="I23" s="116" t="n"/>
    </row>
    <row r="24" ht="25.5" customHeight="1" s="198">
      <c r="A24" s="245" t="n">
        <v>10</v>
      </c>
      <c r="B24" s="139" t="n"/>
      <c r="C24" s="176" t="inlineStr">
        <is>
          <t>91.01.05-085</t>
        </is>
      </c>
      <c r="D24" s="244" t="inlineStr">
        <is>
          <t>Экскаваторы одноковшовые дизельные на гусеничном ходу, емкость ковша 0,5 м3</t>
        </is>
      </c>
      <c r="E24" s="245" t="inlineStr">
        <is>
          <t>маш.-ч</t>
        </is>
      </c>
      <c r="F24" s="161" t="n">
        <v>0.44388375165125</v>
      </c>
      <c r="G24" s="247" t="n">
        <v>100</v>
      </c>
      <c r="H24" s="247">
        <f>ROUND(F24*G24,2)</f>
        <v/>
      </c>
    </row>
    <row r="25" ht="25.5" customHeight="1" s="198">
      <c r="A25" s="245" t="n">
        <v>11</v>
      </c>
      <c r="B25" s="139" t="n"/>
      <c r="C25" s="176" t="inlineStr">
        <is>
          <t>91.01.05-106</t>
        </is>
      </c>
      <c r="D25" s="244" t="inlineStr">
        <is>
          <t>Экскаваторы одноковшовые дизельные на пневмоколесном ходу, емкость ковша 0,25 м3</t>
        </is>
      </c>
      <c r="E25" s="245" t="inlineStr">
        <is>
          <t>маш.-ч</t>
        </is>
      </c>
      <c r="F25" s="161" t="n">
        <v>0.58811096433289</v>
      </c>
      <c r="G25" s="247" t="n">
        <v>70.01000000000001</v>
      </c>
      <c r="H25" s="247">
        <f>ROUND(F25*G25,2)</f>
        <v/>
      </c>
    </row>
    <row r="26" ht="25.5" customHeight="1" s="198">
      <c r="A26" s="245" t="n">
        <v>12</v>
      </c>
      <c r="B26" s="139" t="n"/>
      <c r="C26" s="176" t="inlineStr">
        <is>
          <t>91.06.05-057</t>
        </is>
      </c>
      <c r="D26" s="244" t="inlineStr">
        <is>
          <t>Погрузчики одноковшовые универсальные фронтальные пневмоколесные, грузоподъемность 3 т</t>
        </is>
      </c>
      <c r="E26" s="245" t="inlineStr">
        <is>
          <t>маш.-ч</t>
        </is>
      </c>
      <c r="F26" s="161" t="n">
        <v>0.36406869220608</v>
      </c>
      <c r="G26" s="247" t="n">
        <v>90.40000000000001</v>
      </c>
      <c r="H26" s="247">
        <f>ROUND(F26*G26,2)</f>
        <v/>
      </c>
    </row>
    <row r="27">
      <c r="A27" s="245" t="n">
        <v>13</v>
      </c>
      <c r="B27" s="139" t="n"/>
      <c r="C27" s="176" t="inlineStr">
        <is>
          <t>91.05.14-025</t>
        </is>
      </c>
      <c r="D27" s="244" t="inlineStr">
        <is>
          <t>Краны переносные 1 т</t>
        </is>
      </c>
      <c r="E27" s="245" t="inlineStr">
        <is>
          <t>маш.-ч</t>
        </is>
      </c>
      <c r="F27" s="161" t="n">
        <v>1.0214927344782</v>
      </c>
      <c r="G27" s="247" t="n">
        <v>27.2</v>
      </c>
      <c r="H27" s="247">
        <f>ROUND(F27*G27,2)</f>
        <v/>
      </c>
    </row>
    <row r="28">
      <c r="A28" s="245" t="n">
        <v>14</v>
      </c>
      <c r="B28" s="139" t="n"/>
      <c r="C28" s="176" t="inlineStr">
        <is>
          <t>91.01.01-034</t>
        </is>
      </c>
      <c r="D28" s="244" t="inlineStr">
        <is>
          <t>Бульдозеры, мощность 59 кВт (80 л.с.)</t>
        </is>
      </c>
      <c r="E28" s="245" t="inlineStr">
        <is>
          <t>маш.-ч</t>
        </is>
      </c>
      <c r="F28" s="161" t="n">
        <v>0.46348745046235</v>
      </c>
      <c r="G28" s="247" t="n">
        <v>59.47</v>
      </c>
      <c r="H28" s="247">
        <f>ROUND(F28*G28,2)</f>
        <v/>
      </c>
    </row>
    <row r="29" ht="25.5" customHeight="1" s="198">
      <c r="A29" s="245" t="n">
        <v>15</v>
      </c>
      <c r="B29" s="139" t="n"/>
      <c r="C29" s="176" t="inlineStr">
        <is>
          <t>91.15.02-024</t>
        </is>
      </c>
      <c r="D29" s="244" t="inlineStr">
        <is>
          <t>Тракторы на гусеничном ходу, мощность 79 кВт (108 л.с.)</t>
        </is>
      </c>
      <c r="E29" s="245" t="inlineStr">
        <is>
          <t>маш.-ч</t>
        </is>
      </c>
      <c r="F29" s="161" t="n">
        <v>0.16803170409511</v>
      </c>
      <c r="G29" s="247" t="n">
        <v>83.09999999999999</v>
      </c>
      <c r="H29" s="247">
        <f>ROUND(F29*G29,2)</f>
        <v/>
      </c>
    </row>
    <row r="30">
      <c r="A30" s="245" t="n">
        <v>16</v>
      </c>
      <c r="B30" s="139" t="n"/>
      <c r="C30" s="176" t="inlineStr">
        <is>
          <t>91.06.09-061</t>
        </is>
      </c>
      <c r="D30" s="244" t="inlineStr">
        <is>
          <t>Подмости самоходные высотой подъема: 12 м</t>
        </is>
      </c>
      <c r="E30" s="245" t="inlineStr">
        <is>
          <t>маш.-ч</t>
        </is>
      </c>
      <c r="F30" s="161" t="n">
        <v>0.25064729194188</v>
      </c>
      <c r="G30" s="247" t="n">
        <v>35.3</v>
      </c>
      <c r="H30" s="247">
        <f>ROUND(F30*G30,2)</f>
        <v/>
      </c>
    </row>
    <row r="31">
      <c r="A31" s="245" t="n">
        <v>17</v>
      </c>
      <c r="B31" s="139" t="n"/>
      <c r="C31" s="176" t="inlineStr">
        <is>
          <t>91.06.06-042</t>
        </is>
      </c>
      <c r="D31" s="244" t="inlineStr">
        <is>
          <t>Подъемники гидравлические высотой подъема: 10 м</t>
        </is>
      </c>
      <c r="E31" s="245" t="inlineStr">
        <is>
          <t>маш.-ч</t>
        </is>
      </c>
      <c r="F31" s="161" t="n">
        <v>0.28845442536328</v>
      </c>
      <c r="G31" s="247" t="n">
        <v>29.6</v>
      </c>
      <c r="H31" s="247">
        <f>ROUND(F31*G31,2)</f>
        <v/>
      </c>
      <c r="J31" s="95" t="n"/>
      <c r="L31" s="116" t="n"/>
    </row>
    <row r="32" customFormat="1" s="199">
      <c r="A32" s="245" t="n">
        <v>18</v>
      </c>
      <c r="B32" s="139" t="n"/>
      <c r="C32" s="176" t="inlineStr">
        <is>
          <t>91.05.01-017</t>
        </is>
      </c>
      <c r="D32" s="244" t="inlineStr">
        <is>
          <t>Краны башенные, грузоподъемность 8 т</t>
        </is>
      </c>
      <c r="E32" s="245" t="inlineStr">
        <is>
          <t>маш.-ч</t>
        </is>
      </c>
      <c r="F32" s="161" t="n">
        <v>0.095918097754293</v>
      </c>
      <c r="G32" s="247" t="n">
        <v>86.40000000000001</v>
      </c>
      <c r="H32" s="247">
        <f>ROUND(F32*G32,2)</f>
        <v/>
      </c>
      <c r="L32" s="116" t="n"/>
    </row>
    <row r="33" ht="25.5" customHeight="1" s="198">
      <c r="A33" s="245" t="n">
        <v>19</v>
      </c>
      <c r="B33" s="139" t="n"/>
      <c r="C33" s="176" t="inlineStr">
        <is>
          <t>91.17.04-171</t>
        </is>
      </c>
      <c r="D33" s="244" t="inlineStr">
        <is>
          <t>Преобразователи сварочные номинальным сварочным током 315-500 А</t>
        </is>
      </c>
      <c r="E33" s="245" t="inlineStr">
        <is>
          <t>маш.-ч</t>
        </is>
      </c>
      <c r="F33" s="161" t="n">
        <v>0.60911492734478</v>
      </c>
      <c r="G33" s="247" t="n">
        <v>12.31</v>
      </c>
      <c r="H33" s="247">
        <f>ROUND(F33*G33,2)</f>
        <v/>
      </c>
      <c r="L33" s="116" t="n"/>
    </row>
    <row r="34" ht="25.5" customHeight="1" s="198">
      <c r="A34" s="245" t="n">
        <v>20</v>
      </c>
      <c r="B34" s="139" t="n"/>
      <c r="C34" s="176" t="inlineStr">
        <is>
          <t>91.17.04-233</t>
        </is>
      </c>
      <c r="D34" s="244" t="inlineStr">
        <is>
          <t>Установки для сварки: ручной дуговой (постоянного тока)</t>
        </is>
      </c>
      <c r="E34" s="245" t="inlineStr">
        <is>
          <t>маш.-ч</t>
        </is>
      </c>
      <c r="F34" s="161" t="n">
        <v>0.71413474240423</v>
      </c>
      <c r="G34" s="247" t="n">
        <v>8.1</v>
      </c>
      <c r="H34" s="247">
        <f>ROUND(F34*G34,2)</f>
        <v/>
      </c>
      <c r="L34" s="116" t="n"/>
    </row>
    <row r="35" ht="25.5" customHeight="1" s="198">
      <c r="A35" s="245" t="n">
        <v>21</v>
      </c>
      <c r="B35" s="139" t="n"/>
      <c r="C35" s="176" t="inlineStr">
        <is>
          <t>91.15.03-014</t>
        </is>
      </c>
      <c r="D35" s="244" t="inlineStr">
        <is>
          <t>Тракторы на пневмоколесном ходу, мощность 59 кВт (80 л.с.)</t>
        </is>
      </c>
      <c r="E35" s="245" t="inlineStr">
        <is>
          <t>маш.-ч</t>
        </is>
      </c>
      <c r="F35" s="161" t="n">
        <v>0.065812417437252</v>
      </c>
      <c r="G35" s="247" t="n">
        <v>74.61</v>
      </c>
      <c r="H35" s="247">
        <f>ROUND(F35*G35,2)</f>
        <v/>
      </c>
      <c r="L35" s="116" t="n"/>
    </row>
    <row r="36">
      <c r="A36" s="245" t="n">
        <v>22</v>
      </c>
      <c r="B36" s="139" t="n"/>
      <c r="C36" s="176" t="inlineStr">
        <is>
          <t>91.08.04-021</t>
        </is>
      </c>
      <c r="D36" s="244" t="inlineStr">
        <is>
          <t>Котлы битумные: передвижные 400 л</t>
        </is>
      </c>
      <c r="E36" s="245" t="inlineStr">
        <is>
          <t>маш.-ч</t>
        </is>
      </c>
      <c r="F36" s="161" t="n">
        <v>0.16313077939234</v>
      </c>
      <c r="G36" s="247" t="n">
        <v>30</v>
      </c>
      <c r="H36" s="247">
        <f>ROUND(F36*G36,2)</f>
        <v/>
      </c>
      <c r="L36" s="116" t="n"/>
    </row>
    <row r="37">
      <c r="A37" s="245" t="n">
        <v>23</v>
      </c>
      <c r="B37" s="139" t="n"/>
      <c r="C37" s="176" t="inlineStr">
        <is>
          <t>91.21.22-438</t>
        </is>
      </c>
      <c r="D37" s="244" t="inlineStr">
        <is>
          <t>Установка: передвижная цеолитовая</t>
        </is>
      </c>
      <c r="E37" s="245" t="inlineStr">
        <is>
          <t>маш.-ч</t>
        </is>
      </c>
      <c r="F37" s="161" t="n">
        <v>0.10501981505945</v>
      </c>
      <c r="G37" s="247" t="n">
        <v>38.65</v>
      </c>
      <c r="H37" s="247">
        <f>ROUND(F37*G37,2)</f>
        <v/>
      </c>
    </row>
    <row r="38">
      <c r="A38" s="245" t="n">
        <v>24</v>
      </c>
      <c r="B38" s="139" t="n"/>
      <c r="C38" s="176" t="inlineStr">
        <is>
          <t>91.06.01-003</t>
        </is>
      </c>
      <c r="D38" s="244" t="inlineStr">
        <is>
          <t>Домкраты гидравлические, грузоподъемность 63-100 т</t>
        </is>
      </c>
      <c r="E38" s="245" t="inlineStr">
        <is>
          <t>маш.-ч</t>
        </is>
      </c>
      <c r="F38" s="161" t="n">
        <v>3.6812945838838</v>
      </c>
      <c r="G38" s="247" t="n">
        <v>0.9</v>
      </c>
      <c r="H38" s="247">
        <f>ROUND(F38*G38,2)</f>
        <v/>
      </c>
    </row>
    <row r="39" ht="25.5" customHeight="1" s="198">
      <c r="A39" s="245" t="n">
        <v>25</v>
      </c>
      <c r="B39" s="139" t="n"/>
      <c r="C39" s="176" t="inlineStr">
        <is>
          <t>91.08.09-023</t>
        </is>
      </c>
      <c r="D39" s="244" t="inlineStr">
        <is>
          <t>Трамбовки пневматические при работе от: передвижных компрессорных станций</t>
        </is>
      </c>
      <c r="E39" s="245" t="inlineStr">
        <is>
          <t>маш.-ч</t>
        </is>
      </c>
      <c r="F39" s="161" t="n">
        <v>6.019035667107</v>
      </c>
      <c r="G39" s="247" t="n">
        <v>0.55</v>
      </c>
      <c r="H39" s="247">
        <f>ROUND(F39*G39,2)</f>
        <v/>
      </c>
    </row>
    <row r="40">
      <c r="A40" s="245" t="n">
        <v>26</v>
      </c>
      <c r="B40" s="139" t="n"/>
      <c r="C40" s="176" t="inlineStr">
        <is>
          <t>91.01.01-035</t>
        </is>
      </c>
      <c r="D40" s="244" t="inlineStr">
        <is>
          <t>Бульдозеры, мощность 79 кВт (108 л.с.)</t>
        </is>
      </c>
      <c r="E40" s="245" t="inlineStr">
        <is>
          <t>маш.-ч</t>
        </is>
      </c>
      <c r="F40" s="161" t="n">
        <v>0.0378071334214</v>
      </c>
      <c r="G40" s="247" t="n">
        <v>79.06999999999999</v>
      </c>
      <c r="H40" s="247">
        <f>ROUND(F40*G40,2)</f>
        <v/>
      </c>
    </row>
    <row r="41" ht="25.5" customHeight="1" s="198">
      <c r="A41" s="245" t="n">
        <v>27</v>
      </c>
      <c r="B41" s="139" t="n"/>
      <c r="C41" s="176" t="inlineStr">
        <is>
          <t>91.17.04-011</t>
        </is>
      </c>
      <c r="D41" s="244" t="inlineStr">
        <is>
          <t>Автоматы сварочные номинальным сварочным током 450-1250 А</t>
        </is>
      </c>
      <c r="E41" s="245" t="inlineStr">
        <is>
          <t>маш.-ч</t>
        </is>
      </c>
      <c r="F41" s="161" t="n">
        <v>0.072813738441215</v>
      </c>
      <c r="G41" s="247" t="n">
        <v>39.49</v>
      </c>
      <c r="H41" s="247">
        <f>ROUND(F41*G41,2)</f>
        <v/>
      </c>
    </row>
    <row r="42">
      <c r="A42" s="245" t="n">
        <v>28</v>
      </c>
      <c r="B42" s="139" t="n"/>
      <c r="C42" s="176" t="inlineStr">
        <is>
          <t>91.06.05-011</t>
        </is>
      </c>
      <c r="D42" s="244" t="inlineStr">
        <is>
          <t>Погрузчик, грузоподъемность 5 т</t>
        </is>
      </c>
      <c r="E42" s="245" t="inlineStr">
        <is>
          <t>маш.-ч</t>
        </is>
      </c>
      <c r="F42" s="161" t="n">
        <v>0.031505944517834</v>
      </c>
      <c r="G42" s="247" t="n">
        <v>89.98999999999999</v>
      </c>
      <c r="H42" s="247">
        <f>ROUND(F42*G42,2)</f>
        <v/>
      </c>
    </row>
    <row r="43" ht="25.5" customHeight="1" s="198">
      <c r="A43" s="245" t="n">
        <v>29</v>
      </c>
      <c r="B43" s="139" t="n"/>
      <c r="C43" s="176" t="inlineStr">
        <is>
          <t>91.21.01-012</t>
        </is>
      </c>
      <c r="D43" s="244" t="inlineStr">
        <is>
          <t>Агрегаты окрасочные высокого давления для окраски поверхностей конструкций, мощность 1 кВт</t>
        </is>
      </c>
      <c r="E43" s="245" t="inlineStr">
        <is>
          <t>маш.-ч</t>
        </is>
      </c>
      <c r="F43" s="161" t="n">
        <v>0.35706737120211</v>
      </c>
      <c r="G43" s="247" t="n">
        <v>6.82</v>
      </c>
      <c r="H43" s="247">
        <f>ROUND(F43*G43,2)</f>
        <v/>
      </c>
    </row>
    <row r="44">
      <c r="A44" s="245" t="n">
        <v>30</v>
      </c>
      <c r="B44" s="139" t="n"/>
      <c r="C44" s="176" t="inlineStr">
        <is>
          <t>91.19.10-031</t>
        </is>
      </c>
      <c r="D44" s="244" t="inlineStr">
        <is>
          <t>Станция насосная для привода гидродомкратов</t>
        </is>
      </c>
      <c r="E44" s="245" t="inlineStr">
        <is>
          <t>маш.-ч</t>
        </is>
      </c>
      <c r="F44" s="161" t="n">
        <v>0.89336856010568</v>
      </c>
      <c r="G44" s="247" t="n">
        <v>1.82</v>
      </c>
      <c r="H44" s="247">
        <f>ROUND(F44*G44,2)</f>
        <v/>
      </c>
    </row>
    <row r="45" ht="38.25" customHeight="1" s="198">
      <c r="A45" s="245" t="n">
        <v>31</v>
      </c>
      <c r="B45" s="139" t="n"/>
      <c r="C45" s="176" t="inlineStr">
        <is>
          <t>91.10.09-011</t>
        </is>
      </c>
      <c r="D45" s="24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45" t="inlineStr">
        <is>
          <t>маш.-ч</t>
        </is>
      </c>
      <c r="F45" s="161" t="n">
        <v>0.048309114927345</v>
      </c>
      <c r="G45" s="247" t="n">
        <v>29.67</v>
      </c>
      <c r="H45" s="247">
        <f>ROUND(F45*G45,2)</f>
        <v/>
      </c>
    </row>
    <row r="46">
      <c r="A46" s="245" t="n">
        <v>32</v>
      </c>
      <c r="B46" s="139" t="n"/>
      <c r="C46" s="176" t="inlineStr">
        <is>
          <t>91.21.18-051</t>
        </is>
      </c>
      <c r="D46" s="244" t="inlineStr">
        <is>
          <t>Шкаф сушильный</t>
        </is>
      </c>
      <c r="E46" s="245" t="inlineStr">
        <is>
          <t>маш.-ч</t>
        </is>
      </c>
      <c r="F46" s="161" t="n">
        <v>0.48729194187583</v>
      </c>
      <c r="G46" s="247" t="n">
        <v>2.67</v>
      </c>
      <c r="H46" s="247">
        <f>ROUND(F46*G46,2)</f>
        <v/>
      </c>
    </row>
    <row r="47" ht="25.5" customHeight="1" s="198">
      <c r="A47" s="245" t="n">
        <v>33</v>
      </c>
      <c r="B47" s="139" t="n"/>
      <c r="C47" s="176" t="inlineStr">
        <is>
          <t>91.21.10-002</t>
        </is>
      </c>
      <c r="D47" s="244" t="inlineStr">
        <is>
          <t>Молотки отбойные пневматические при работе от передвижных компрессоров</t>
        </is>
      </c>
      <c r="E47" s="245" t="inlineStr">
        <is>
          <t>маш.-ч</t>
        </is>
      </c>
      <c r="F47" s="161" t="n">
        <v>1.0789035667107</v>
      </c>
      <c r="G47" s="247" t="n">
        <v>1.2</v>
      </c>
      <c r="H47" s="247">
        <f>ROUND(F47*G47,2)</f>
        <v/>
      </c>
    </row>
    <row r="48">
      <c r="A48" s="245" t="n">
        <v>34</v>
      </c>
      <c r="B48" s="139" t="n"/>
      <c r="C48" s="176" t="inlineStr">
        <is>
          <t>91.07.08-024</t>
        </is>
      </c>
      <c r="D48" s="244" t="inlineStr">
        <is>
          <t>Растворосмесители передвижные: 65 л</t>
        </is>
      </c>
      <c r="E48" s="245" t="inlineStr">
        <is>
          <t>маш.-ч</t>
        </is>
      </c>
      <c r="F48" s="161" t="n">
        <v>0.058811096433289</v>
      </c>
      <c r="G48" s="247" t="n">
        <v>12.39</v>
      </c>
      <c r="H48" s="247">
        <f>ROUND(F48*G48,2)</f>
        <v/>
      </c>
    </row>
    <row r="49" ht="25.5" customHeight="1" s="198">
      <c r="A49" s="245" t="n">
        <v>35</v>
      </c>
      <c r="B49" s="139" t="n"/>
      <c r="C49" s="176" t="inlineStr">
        <is>
          <t>91.17.04-036</t>
        </is>
      </c>
      <c r="D49" s="244" t="inlineStr">
        <is>
          <t>Агрегаты сварочные передвижные номинальным сварочным током 250-400 А: с дизельным двигателем</t>
        </is>
      </c>
      <c r="E49" s="245" t="inlineStr">
        <is>
          <t>маш.-ч</t>
        </is>
      </c>
      <c r="F49" s="161" t="n">
        <v>0.0378071334214</v>
      </c>
      <c r="G49" s="247" t="n">
        <v>14</v>
      </c>
      <c r="H49" s="247">
        <f>ROUND(F49*G49,2)</f>
        <v/>
      </c>
    </row>
    <row r="50">
      <c r="A50" s="245" t="n">
        <v>36</v>
      </c>
      <c r="B50" s="139" t="n"/>
      <c r="C50" s="176" t="inlineStr">
        <is>
          <t>91.08.03-016</t>
        </is>
      </c>
      <c r="D50" s="244" t="inlineStr">
        <is>
          <t>Катки дорожные самоходные гладкие, масса 8 т</t>
        </is>
      </c>
      <c r="E50" s="245" t="inlineStr">
        <is>
          <t>маш.-ч</t>
        </is>
      </c>
      <c r="F50" s="161" t="n">
        <v>0.007001321003963</v>
      </c>
      <c r="G50" s="247" t="n">
        <v>75</v>
      </c>
      <c r="H50" s="247">
        <f>ROUND(F50*G50,2)</f>
        <v/>
      </c>
    </row>
    <row r="51" ht="25.5" customHeight="1" s="198">
      <c r="A51" s="245" t="n">
        <v>37</v>
      </c>
      <c r="B51" s="139" t="n"/>
      <c r="C51" s="176" t="inlineStr">
        <is>
          <t>91.06.03-062</t>
        </is>
      </c>
      <c r="D51" s="244" t="inlineStr">
        <is>
          <t>Лебедки электрические тяговым усилием: до 31,39 кН (3,2 т)</t>
        </is>
      </c>
      <c r="E51" s="245" t="inlineStr">
        <is>
          <t>маш.-ч</t>
        </is>
      </c>
      <c r="F51" s="161" t="n">
        <v>0.06441215323646</v>
      </c>
      <c r="G51" s="247" t="n">
        <v>6.9</v>
      </c>
      <c r="H51" s="247">
        <f>ROUND(F51*G51,2)</f>
        <v/>
      </c>
    </row>
    <row r="52">
      <c r="A52" s="245" t="n">
        <v>38</v>
      </c>
      <c r="B52" s="139" t="n"/>
      <c r="C52" s="176" t="inlineStr">
        <is>
          <t>91.05.02-005</t>
        </is>
      </c>
      <c r="D52" s="244" t="inlineStr">
        <is>
          <t>Краны козловые, грузоподъемность 32 т</t>
        </is>
      </c>
      <c r="E52" s="245" t="inlineStr">
        <is>
          <t>маш.-ч</t>
        </is>
      </c>
      <c r="F52" s="161" t="n">
        <v>0.0035006605019815</v>
      </c>
      <c r="G52" s="247" t="n">
        <v>120.24</v>
      </c>
      <c r="H52" s="247">
        <f>ROUND(F52*G52,2)</f>
        <v/>
      </c>
    </row>
    <row r="53">
      <c r="A53" s="245" t="n">
        <v>39</v>
      </c>
      <c r="B53" s="139" t="n"/>
      <c r="C53" s="176" t="inlineStr">
        <is>
          <t>91.17.04-042</t>
        </is>
      </c>
      <c r="D53" s="244" t="inlineStr">
        <is>
          <t>Аппарат для газовой сварки и резки</t>
        </is>
      </c>
      <c r="E53" s="245" t="inlineStr">
        <is>
          <t>маш.-ч</t>
        </is>
      </c>
      <c r="F53" s="161" t="n">
        <v>0.29545574636724</v>
      </c>
      <c r="G53" s="247" t="n">
        <v>1.2</v>
      </c>
      <c r="H53" s="247">
        <f>ROUND(F53*G53,2)</f>
        <v/>
      </c>
    </row>
    <row r="54">
      <c r="A54" s="245" t="n">
        <v>40</v>
      </c>
      <c r="B54" s="139" t="n"/>
      <c r="C54" s="176" t="inlineStr">
        <is>
          <t>91.13.01-038</t>
        </is>
      </c>
      <c r="D54" s="244" t="inlineStr">
        <is>
          <t>Машины поливомоечные 6000 л</t>
        </is>
      </c>
      <c r="E54" s="245" t="inlineStr">
        <is>
          <t>маш.-ч</t>
        </is>
      </c>
      <c r="F54" s="161" t="n">
        <v>0.0028005284015852</v>
      </c>
      <c r="G54" s="247" t="n">
        <v>110</v>
      </c>
      <c r="H54" s="247">
        <f>ROUND(F54*G54,2)</f>
        <v/>
      </c>
    </row>
    <row r="55">
      <c r="A55" s="245" t="n">
        <v>41</v>
      </c>
      <c r="B55" s="139" t="n"/>
      <c r="C55" s="176" t="inlineStr">
        <is>
          <t>91.08.09-001</t>
        </is>
      </c>
      <c r="D55" s="244" t="inlineStr">
        <is>
          <t>Виброплита с двигателем внутреннего сгорания</t>
        </is>
      </c>
      <c r="E55" s="245" t="inlineStr">
        <is>
          <t>маш.-ч</t>
        </is>
      </c>
      <c r="F55" s="161" t="n">
        <v>0.0042007926023778</v>
      </c>
      <c r="G55" s="247" t="n">
        <v>60</v>
      </c>
      <c r="H55" s="247">
        <f>ROUND(F55*G55,2)</f>
        <v/>
      </c>
    </row>
    <row r="56">
      <c r="A56" s="245" t="n">
        <v>42</v>
      </c>
      <c r="B56" s="139" t="n"/>
      <c r="C56" s="176" t="inlineStr">
        <is>
          <t>91.03.19-092</t>
        </is>
      </c>
      <c r="D56" s="244" t="inlineStr">
        <is>
          <t>Сболчиватели пневматические (без сжатого воздуха)</t>
        </is>
      </c>
      <c r="E56" s="245" t="inlineStr">
        <is>
          <t>маш.-ч</t>
        </is>
      </c>
      <c r="F56" s="161" t="n">
        <v>0.09661822985469</v>
      </c>
      <c r="G56" s="247" t="n">
        <v>2.19</v>
      </c>
      <c r="H56" s="247">
        <f>ROUND(F56*G56,2)</f>
        <v/>
      </c>
    </row>
    <row r="57">
      <c r="A57" s="245" t="n">
        <v>43</v>
      </c>
      <c r="B57" s="139" t="n"/>
      <c r="C57" s="176" t="inlineStr">
        <is>
          <t>91.06.03-052</t>
        </is>
      </c>
      <c r="D57" s="244" t="inlineStr">
        <is>
          <t>Лебедки тракторные тяговым усилием 78,48 кН (8 т)</t>
        </is>
      </c>
      <c r="E57" s="245" t="inlineStr">
        <is>
          <t>маш.-ч</t>
        </is>
      </c>
      <c r="F57" s="161" t="n">
        <v>0.020303830911493</v>
      </c>
      <c r="G57" s="247" t="n">
        <v>9.210000000000001</v>
      </c>
      <c r="H57" s="247">
        <f>ROUND(F57*G57,2)</f>
        <v/>
      </c>
    </row>
    <row r="58" ht="25.5" customHeight="1" s="198">
      <c r="A58" s="245" t="n">
        <v>44</v>
      </c>
      <c r="B58" s="139" t="n"/>
      <c r="C58" s="176" t="inlineStr">
        <is>
          <t>91.06.06-048</t>
        </is>
      </c>
      <c r="D58" s="244" t="inlineStr">
        <is>
          <t>Подъемники одномачтовые, грузоподъемность до 500 кг, высота подъема 45 м</t>
        </is>
      </c>
      <c r="E58" s="245" t="inlineStr">
        <is>
          <t>маш.-ч</t>
        </is>
      </c>
      <c r="F58" s="161" t="n">
        <v>0.0056010568031704</v>
      </c>
      <c r="G58" s="247" t="n">
        <v>31.26</v>
      </c>
      <c r="H58" s="247">
        <f>ROUND(F58*G58,2)</f>
        <v/>
      </c>
    </row>
    <row r="59">
      <c r="A59" s="245" t="n">
        <v>45</v>
      </c>
      <c r="B59" s="139" t="n"/>
      <c r="C59" s="176" t="inlineStr">
        <is>
          <t>91.16.01-002</t>
        </is>
      </c>
      <c r="D59" s="244" t="inlineStr">
        <is>
          <t>Электростанции передвижные, мощность 4 кВт</t>
        </is>
      </c>
      <c r="E59" s="245" t="inlineStr">
        <is>
          <t>маш.-ч</t>
        </is>
      </c>
      <c r="F59" s="161" t="n">
        <v>0.0063011889035667</v>
      </c>
      <c r="G59" s="247" t="n">
        <v>27.11</v>
      </c>
      <c r="H59" s="247">
        <f>ROUND(F59*G59,2)</f>
        <v/>
      </c>
    </row>
    <row r="60">
      <c r="A60" s="245" t="n">
        <v>46</v>
      </c>
      <c r="B60" s="139" t="n"/>
      <c r="C60" s="176" t="inlineStr">
        <is>
          <t>91.21.22-421</t>
        </is>
      </c>
      <c r="D60" s="244" t="inlineStr">
        <is>
          <t>Термос 100 л</t>
        </is>
      </c>
      <c r="E60" s="245" t="inlineStr">
        <is>
          <t>маш.-ч</t>
        </is>
      </c>
      <c r="F60" s="161" t="n">
        <v>0.044108322324967</v>
      </c>
      <c r="G60" s="247" t="n">
        <v>2.7</v>
      </c>
      <c r="H60" s="247">
        <f>ROUND(F60*G60,2)</f>
        <v/>
      </c>
    </row>
    <row r="61">
      <c r="A61" s="245" t="n">
        <v>47</v>
      </c>
      <c r="B61" s="139" t="n"/>
      <c r="C61" s="176" t="inlineStr">
        <is>
          <t>91.07.04-002</t>
        </is>
      </c>
      <c r="D61" s="244" t="inlineStr">
        <is>
          <t>Вибратор поверхностный</t>
        </is>
      </c>
      <c r="E61" s="245" t="inlineStr">
        <is>
          <t>маш.-ч</t>
        </is>
      </c>
      <c r="F61" s="161" t="n">
        <v>0.23104359313078</v>
      </c>
      <c r="G61" s="247" t="n">
        <v>0.5</v>
      </c>
      <c r="H61" s="247">
        <f>ROUND(F61*G61,2)</f>
        <v/>
      </c>
    </row>
    <row r="62">
      <c r="A62" s="245" t="n">
        <v>48</v>
      </c>
      <c r="B62" s="139" t="n"/>
      <c r="C62" s="176" t="inlineStr">
        <is>
          <t>91.07.08-011</t>
        </is>
      </c>
      <c r="D62" s="244" t="inlineStr">
        <is>
          <t>Глиномешалки, 4 м3</t>
        </is>
      </c>
      <c r="E62" s="245" t="inlineStr">
        <is>
          <t>маш.-ч</t>
        </is>
      </c>
      <c r="F62" s="161" t="n">
        <v>0.0042007926023778</v>
      </c>
      <c r="G62" s="247" t="n">
        <v>26.5</v>
      </c>
      <c r="H62" s="247">
        <f>ROUND(F62*G62,2)</f>
        <v/>
      </c>
    </row>
    <row r="63">
      <c r="A63" s="245" t="n">
        <v>49</v>
      </c>
      <c r="B63" s="139" t="n"/>
      <c r="C63" s="176" t="inlineStr">
        <is>
          <t>91.08.09-025</t>
        </is>
      </c>
      <c r="D63" s="244" t="inlineStr">
        <is>
          <t>Трамбовки электрические</t>
        </is>
      </c>
      <c r="E63" s="245" t="inlineStr">
        <is>
          <t>маш.-ч</t>
        </is>
      </c>
      <c r="F63" s="161" t="n">
        <v>0.01330250990753</v>
      </c>
      <c r="G63" s="247" t="n">
        <v>6.7</v>
      </c>
      <c r="H63" s="247">
        <f>ROUND(F63*G63,2)</f>
        <v/>
      </c>
    </row>
    <row r="64" ht="25.5" customHeight="1" s="198">
      <c r="A64" s="245" t="n">
        <v>50</v>
      </c>
      <c r="B64" s="139" t="n"/>
      <c r="C64" s="176" t="inlineStr">
        <is>
          <t>91.17.02-101</t>
        </is>
      </c>
      <c r="D64" s="244" t="inlineStr">
        <is>
          <t>Узлы вакуумные испытательные для контроля герметичности шва</t>
        </is>
      </c>
      <c r="E64" s="245" t="inlineStr">
        <is>
          <t>маш.-ч</t>
        </is>
      </c>
      <c r="F64" s="161" t="n">
        <v>0.007001321003963</v>
      </c>
      <c r="G64" s="247" t="n">
        <v>12.24</v>
      </c>
      <c r="H64" s="247">
        <f>ROUND(F64*G64,2)</f>
        <v/>
      </c>
    </row>
    <row r="65">
      <c r="A65" s="245" t="n">
        <v>51</v>
      </c>
      <c r="B65" s="139" t="n"/>
      <c r="C65" s="176" t="inlineStr">
        <is>
          <t>91.14.03-001</t>
        </is>
      </c>
      <c r="D65" s="244" t="inlineStr">
        <is>
          <t>Автомобиль-самосвал, грузоподъемность: до 7 т</t>
        </is>
      </c>
      <c r="E65" s="245" t="inlineStr">
        <is>
          <t>маш.-ч</t>
        </is>
      </c>
      <c r="F65" s="161" t="n">
        <v>0.0007001321003963</v>
      </c>
      <c r="G65" s="247" t="n">
        <v>89.54000000000001</v>
      </c>
      <c r="H65" s="247">
        <f>ROUND(F65*G65,2)</f>
        <v/>
      </c>
    </row>
    <row r="66">
      <c r="A66" s="245" t="n">
        <v>52</v>
      </c>
      <c r="B66" s="139" t="n"/>
      <c r="C66" s="176" t="inlineStr">
        <is>
          <t>91.14.02-002</t>
        </is>
      </c>
      <c r="D66" s="244" t="inlineStr">
        <is>
          <t>Автомобили бортовые, грузоподъемность: до 8 т</t>
        </is>
      </c>
      <c r="E66" s="245" t="inlineStr">
        <is>
          <t>маш.-ч</t>
        </is>
      </c>
      <c r="F66" s="161" t="n">
        <v>0.0007001321003963</v>
      </c>
      <c r="G66" s="247" t="n">
        <v>85.84</v>
      </c>
      <c r="H66" s="247">
        <f>ROUND(F66*G66,2)</f>
        <v/>
      </c>
    </row>
    <row r="67" ht="25.5" customHeight="1" s="198">
      <c r="A67" s="245" t="n">
        <v>53</v>
      </c>
      <c r="B67" s="139" t="n"/>
      <c r="C67" s="176" t="inlineStr">
        <is>
          <t>91.06.03-047</t>
        </is>
      </c>
      <c r="D67" s="244" t="inlineStr">
        <is>
          <t>Лебедки ручные и рычажные тяговым усилием: 31,39 кН (3,2 т)</t>
        </is>
      </c>
      <c r="E67" s="245" t="inlineStr">
        <is>
          <t>маш.-ч</t>
        </is>
      </c>
      <c r="F67" s="161" t="n">
        <v>0.008401585204755599</v>
      </c>
      <c r="G67" s="247" t="n">
        <v>3.12</v>
      </c>
      <c r="H67" s="247">
        <f>ROUND(F67*G67,2)</f>
        <v/>
      </c>
    </row>
    <row r="68">
      <c r="A68" s="245" t="n">
        <v>54</v>
      </c>
      <c r="B68" s="139" t="n"/>
      <c r="C68" s="176" t="inlineStr">
        <is>
          <t>91.21.16-001</t>
        </is>
      </c>
      <c r="D68" s="244" t="inlineStr">
        <is>
          <t>Пресс-ножницы комбинированные</t>
        </is>
      </c>
      <c r="E68" s="245" t="inlineStr">
        <is>
          <t>маш.-ч</t>
        </is>
      </c>
      <c r="F68" s="161" t="n">
        <v>0.0014002642007926</v>
      </c>
      <c r="G68" s="247" t="n">
        <v>15.4</v>
      </c>
      <c r="H68" s="247">
        <f>ROUND(F68*G68,2)</f>
        <v/>
      </c>
      <c r="J68" s="95" t="n"/>
      <c r="L68" s="116" t="n"/>
    </row>
    <row r="69" customFormat="1" s="199">
      <c r="A69" s="245" t="n">
        <v>55</v>
      </c>
      <c r="B69" s="139" t="n"/>
      <c r="C69" s="176" t="inlineStr">
        <is>
          <t>91.21.19-031</t>
        </is>
      </c>
      <c r="D69" s="244" t="inlineStr">
        <is>
          <t>Станок: сверлильный</t>
        </is>
      </c>
      <c r="E69" s="245" t="inlineStr">
        <is>
          <t>маш.-ч</t>
        </is>
      </c>
      <c r="F69" s="161" t="n">
        <v>0.0042007926023778</v>
      </c>
      <c r="G69" s="247" t="n">
        <v>2.36</v>
      </c>
      <c r="H69" s="247">
        <f>ROUND(F69*G69,2)</f>
        <v/>
      </c>
      <c r="L69" s="116" t="n"/>
    </row>
    <row r="70" ht="25.5" customHeight="1" s="198">
      <c r="A70" s="245" t="n">
        <v>56</v>
      </c>
      <c r="B70" s="139" t="n"/>
      <c r="C70" s="176" t="inlineStr">
        <is>
          <t>91.06.03-060</t>
        </is>
      </c>
      <c r="D70" s="244" t="inlineStr">
        <is>
          <t>Лебедки электрические тяговым усилием: до 5,79 кН (0,59 т)</t>
        </is>
      </c>
      <c r="E70" s="245" t="inlineStr">
        <is>
          <t>маш.-ч</t>
        </is>
      </c>
      <c r="F70" s="161" t="n">
        <v>0.0042007926023778</v>
      </c>
      <c r="G70" s="247" t="n">
        <v>1.7</v>
      </c>
      <c r="H70" s="247">
        <f>ROUND(F70*G70,2)</f>
        <v/>
      </c>
      <c r="L70" s="116" t="n"/>
    </row>
    <row r="71" ht="15" customHeight="1" s="198">
      <c r="A71" s="239" t="inlineStr">
        <is>
          <t>Оборудование</t>
        </is>
      </c>
      <c r="B71" s="276" t="n"/>
      <c r="C71" s="276" t="n"/>
      <c r="D71" s="276" t="n"/>
      <c r="E71" s="277" t="n"/>
      <c r="F71" s="113" t="n"/>
      <c r="G71" s="113" t="n"/>
      <c r="H71" s="112">
        <f>SUM(H72)</f>
        <v/>
      </c>
    </row>
    <row r="72" ht="25.5" customHeight="1" s="198">
      <c r="A72" s="245" t="n">
        <v>57</v>
      </c>
      <c r="B72" s="249" t="n"/>
      <c r="C72" s="176" t="inlineStr">
        <is>
          <t>Прайс из СД ОП</t>
        </is>
      </c>
      <c r="D72" s="244" t="inlineStr">
        <is>
          <t>Трансформатор собственных нужд трехфазный 
ТМГ 10/0,4 кВ, 100 кВА Цена=115574,15/3,14</t>
        </is>
      </c>
      <c r="E72" s="245" t="inlineStr">
        <is>
          <t>1 шт.</t>
        </is>
      </c>
      <c r="F72" s="176" t="n">
        <v>2</v>
      </c>
      <c r="G72" s="245" t="n">
        <v>36807.05</v>
      </c>
      <c r="H72" s="247">
        <f>G72*F72</f>
        <v/>
      </c>
    </row>
    <row r="73">
      <c r="A73" s="232" t="inlineStr">
        <is>
          <t>Материалы</t>
        </is>
      </c>
      <c r="B73" s="276" t="n"/>
      <c r="C73" s="276" t="n"/>
      <c r="D73" s="276" t="n"/>
      <c r="E73" s="277" t="n"/>
      <c r="F73" s="232" t="n"/>
      <c r="G73" s="91" t="n"/>
      <c r="H73" s="112">
        <f>SUM(H74:H172)</f>
        <v/>
      </c>
    </row>
    <row r="74" ht="25.5" customHeight="1" s="198">
      <c r="A74" s="135" t="n">
        <v>58</v>
      </c>
      <c r="B74" s="139" t="n"/>
      <c r="C74" s="176" t="inlineStr">
        <is>
          <t>07.2.07.04-0014</t>
        </is>
      </c>
      <c r="D74" s="244" t="inlineStr">
        <is>
          <t>Конструкции сварные индивидуальные прочие, масса сборочной единицы от 0,1 до 0,5 т</t>
        </is>
      </c>
      <c r="E74" s="245" t="inlineStr">
        <is>
          <t>т</t>
        </is>
      </c>
      <c r="F74" s="161" t="n">
        <v>0.085626155878468</v>
      </c>
      <c r="G74" s="247" t="n">
        <v>10046</v>
      </c>
      <c r="H74" s="247">
        <f>ROUND(F74*G74,2)</f>
        <v/>
      </c>
      <c r="I74" s="119" t="n"/>
      <c r="K74" s="116" t="n"/>
    </row>
    <row r="75" ht="38.25" customHeight="1" s="198">
      <c r="A75" s="135" t="n">
        <v>59</v>
      </c>
      <c r="B75" s="139" t="n"/>
      <c r="C75" s="176" t="inlineStr">
        <is>
          <t>02.3.01.02-0016</t>
        </is>
      </c>
      <c r="D75" s="244" t="inlineStr">
        <is>
          <t>Песок природный для строительных: работ средний с крупностью зерен размером свыше 5 мм-до 5% по массе</t>
        </is>
      </c>
      <c r="E75" s="245" t="inlineStr">
        <is>
          <t>м3</t>
        </is>
      </c>
      <c r="F75" s="161" t="n">
        <v>8.0515191545575</v>
      </c>
      <c r="G75" s="247" t="n">
        <v>55.26</v>
      </c>
      <c r="H75" s="247">
        <f>ROUND(F75*G75,2)</f>
        <v/>
      </c>
      <c r="I75" s="119" t="n"/>
      <c r="K75" s="116" t="n"/>
    </row>
    <row r="76">
      <c r="A76" s="135" t="n">
        <v>60</v>
      </c>
      <c r="B76" s="139" t="n"/>
      <c r="C76" s="176" t="inlineStr">
        <is>
          <t>02.2.05.04-1822</t>
        </is>
      </c>
      <c r="D76" s="244" t="inlineStr">
        <is>
          <t>Щебень М 1000, фракция 40-80(70) мм, группа 2</t>
        </is>
      </c>
      <c r="E76" s="245" t="inlineStr">
        <is>
          <t>м3</t>
        </is>
      </c>
      <c r="F76" s="161" t="n">
        <v>2.275429326288</v>
      </c>
      <c r="G76" s="247" t="n">
        <v>155.94</v>
      </c>
      <c r="H76" s="247">
        <f>ROUND(F76*G76,2)</f>
        <v/>
      </c>
      <c r="I76" s="119" t="n"/>
      <c r="K76" s="116" t="n"/>
    </row>
    <row r="77" ht="38.25" customHeight="1" s="198">
      <c r="A77" s="135" t="n">
        <v>61</v>
      </c>
      <c r="B77" s="139" t="n"/>
      <c r="C77" s="176" t="inlineStr">
        <is>
          <t>05.2.02.01-0037</t>
        </is>
      </c>
      <c r="D77" s="244" t="inlineStr">
        <is>
          <t>Блоки бетонные для стен подвалов полнотелые ФБС9-5-6-Т, бетон B7,5 (М100, объем 0,244 м3, расход арматуры 0,76 кг</t>
        </is>
      </c>
      <c r="E77" s="245" t="inlineStr">
        <is>
          <t>шт</t>
        </is>
      </c>
      <c r="F77" s="161" t="n">
        <v>2.2404227212682</v>
      </c>
      <c r="G77" s="247" t="n">
        <v>151.28</v>
      </c>
      <c r="H77" s="247">
        <f>ROUND(F77*G77,2)</f>
        <v/>
      </c>
      <c r="I77" s="119" t="n"/>
    </row>
    <row r="78" ht="38.25" customHeight="1" s="198">
      <c r="A78" s="135" t="n">
        <v>62</v>
      </c>
      <c r="B78" s="139" t="n"/>
      <c r="C78" s="176" t="inlineStr">
        <is>
          <t>05.2.02.01-0051</t>
        </is>
      </c>
      <c r="D78" s="244" t="inlineStr">
        <is>
          <t>Блоки бетонные для стен подвалов полнотелые ФБС24-3-6-Т, бетон B7,5 (М100, объем 0,406 м3, расход арматуры 0,97 кг</t>
        </is>
      </c>
      <c r="E78" s="245" t="inlineStr">
        <is>
          <t>шт</t>
        </is>
      </c>
      <c r="F78" s="161" t="n">
        <v>1.1202113606341</v>
      </c>
      <c r="G78" s="247" t="n">
        <v>243.6</v>
      </c>
      <c r="H78" s="247">
        <f>ROUND(F78*G78,2)</f>
        <v/>
      </c>
      <c r="I78" s="119" t="n"/>
    </row>
    <row r="79">
      <c r="A79" s="135" t="n">
        <v>63</v>
      </c>
      <c r="B79" s="139" t="n"/>
      <c r="C79" s="176" t="inlineStr">
        <is>
          <t>07.5.01.02-0021</t>
        </is>
      </c>
      <c r="D79" s="244" t="inlineStr">
        <is>
          <t>Лазы круглые</t>
        </is>
      </c>
      <c r="E79" s="245" t="inlineStr">
        <is>
          <t>т</t>
        </is>
      </c>
      <c r="F79" s="161" t="n">
        <v>0.012952443857332</v>
      </c>
      <c r="G79" s="247" t="n">
        <v>13189.34</v>
      </c>
      <c r="H79" s="247">
        <f>ROUND(F79*G79,2)</f>
        <v/>
      </c>
      <c r="I79" s="119" t="n"/>
    </row>
    <row r="80" ht="38.25" customHeight="1" s="198">
      <c r="A80" s="135" t="n">
        <v>64</v>
      </c>
      <c r="B80" s="139" t="n"/>
      <c r="C80" s="176" t="inlineStr">
        <is>
          <t>14.4.04.11-0005</t>
        </is>
      </c>
      <c r="D80" s="244" t="inlineStr">
        <is>
          <t>Эмаль двухкомпонентная из сополимера винилхлорида, модифицированного эпоксидной смолой</t>
        </is>
      </c>
      <c r="E80" s="245" t="inlineStr">
        <is>
          <t>т</t>
        </is>
      </c>
      <c r="F80" s="161" t="n">
        <v>0.0033746367239102</v>
      </c>
      <c r="G80" s="247" t="n">
        <v>48307</v>
      </c>
      <c r="H80" s="247">
        <f>ROUND(F80*G80,2)</f>
        <v/>
      </c>
      <c r="I80" s="119" t="n"/>
    </row>
    <row r="81">
      <c r="A81" s="135" t="n">
        <v>65</v>
      </c>
      <c r="B81" s="139" t="n"/>
      <c r="C81" s="176" t="inlineStr">
        <is>
          <t>23.1.02.06-0112</t>
        </is>
      </c>
      <c r="D81" s="244" t="inlineStr">
        <is>
          <t>Хомуты для крепления кронштейнов, оцинкованные</t>
        </is>
      </c>
      <c r="E81" s="245" t="inlineStr">
        <is>
          <t>т</t>
        </is>
      </c>
      <c r="F81" s="161" t="n">
        <v>0.0072813738441215</v>
      </c>
      <c r="G81" s="247" t="n">
        <v>20008.68</v>
      </c>
      <c r="H81" s="247">
        <f>ROUND(F81*G81,2)</f>
        <v/>
      </c>
      <c r="I81" s="119" t="n"/>
    </row>
    <row r="82">
      <c r="A82" s="135" t="n">
        <v>66</v>
      </c>
      <c r="B82" s="139" t="n"/>
      <c r="C82" s="176" t="inlineStr">
        <is>
          <t>08.1.02.06-0043</t>
        </is>
      </c>
      <c r="D82" s="244" t="inlineStr">
        <is>
          <t>Люк чугунный тяжелый</t>
        </is>
      </c>
      <c r="E82" s="245" t="inlineStr">
        <is>
          <t>шт</t>
        </is>
      </c>
      <c r="F82" s="161" t="n">
        <v>0.21003963011889</v>
      </c>
      <c r="G82" s="247" t="n">
        <v>569.52</v>
      </c>
      <c r="H82" s="247">
        <f>ROUND(F82*G82,2)</f>
        <v/>
      </c>
      <c r="I82" s="119" t="n"/>
    </row>
    <row r="83">
      <c r="A83" s="135" t="n">
        <v>67</v>
      </c>
      <c r="B83" s="139" t="n"/>
      <c r="C83" s="176" t="inlineStr">
        <is>
          <t>05.1.01.13-0043</t>
        </is>
      </c>
      <c r="D83" s="244" t="inlineStr">
        <is>
          <t>Плита железобетонная покрытий, перекрытий и днищ</t>
        </is>
      </c>
      <c r="E83" s="245" t="inlineStr">
        <is>
          <t>м3</t>
        </is>
      </c>
      <c r="F83" s="161" t="n">
        <v>0.08527608982826899</v>
      </c>
      <c r="G83" s="247" t="n">
        <v>1382.9</v>
      </c>
      <c r="H83" s="247">
        <f>ROUND(F83*G83,2)</f>
        <v/>
      </c>
      <c r="I83" s="119" t="n"/>
    </row>
    <row r="84">
      <c r="A84" s="135" t="n">
        <v>68</v>
      </c>
      <c r="B84" s="139" t="n"/>
      <c r="C84" s="176" t="inlineStr">
        <is>
          <t>22.2.02.07-0003</t>
        </is>
      </c>
      <c r="D84" s="244" t="inlineStr">
        <is>
          <t>Конструкции стальные порталов ОРУ</t>
        </is>
      </c>
      <c r="E84" s="245" t="inlineStr">
        <is>
          <t>т</t>
        </is>
      </c>
      <c r="F84" s="161" t="n">
        <v>0.0091717305151915</v>
      </c>
      <c r="G84" s="247" t="n">
        <v>12500</v>
      </c>
      <c r="H84" s="247">
        <f>ROUND(F84*G84,2)</f>
        <v/>
      </c>
      <c r="I84" s="119" t="n"/>
    </row>
    <row r="85" ht="25.5" customHeight="1" s="198">
      <c r="A85" s="135" t="n">
        <v>69</v>
      </c>
      <c r="B85" s="139" t="n"/>
      <c r="C85" s="176" t="inlineStr">
        <is>
          <t>04.1.02.05-0006</t>
        </is>
      </c>
      <c r="D85" s="244" t="inlineStr">
        <is>
          <t>Смеси бетонные тяжелого бетона (БСТ), класс В15 (М200)</t>
        </is>
      </c>
      <c r="E85" s="245" t="inlineStr">
        <is>
          <t>м3</t>
        </is>
      </c>
      <c r="F85" s="161" t="n">
        <v>0.18028401585205</v>
      </c>
      <c r="G85" s="247" t="n">
        <v>592.76</v>
      </c>
      <c r="H85" s="247">
        <f>ROUND(F85*G85,2)</f>
        <v/>
      </c>
      <c r="I85" s="119" t="n"/>
    </row>
    <row r="86" ht="25.5" customHeight="1" s="198">
      <c r="A86" s="135" t="n">
        <v>70</v>
      </c>
      <c r="B86" s="139" t="n"/>
      <c r="C86" s="176" t="inlineStr">
        <is>
          <t>08.4.03.03-0029</t>
        </is>
      </c>
      <c r="D86" s="244" t="inlineStr">
        <is>
          <t>Сталь арматурная, горячекатаная, периодического профиля, класс А-III, диаметр 6 мм</t>
        </is>
      </c>
      <c r="E86" s="245" t="inlineStr">
        <is>
          <t>т</t>
        </is>
      </c>
      <c r="F86" s="161" t="n">
        <v>0.011097093791281</v>
      </c>
      <c r="G86" s="247" t="n">
        <v>8213.719999999999</v>
      </c>
      <c r="H86" s="247">
        <f>ROUND(F86*G86,2)</f>
        <v/>
      </c>
      <c r="I86" s="119" t="n"/>
    </row>
    <row r="87" ht="25.5" customHeight="1" s="198">
      <c r="A87" s="135" t="n">
        <v>71</v>
      </c>
      <c r="B87" s="139" t="n"/>
      <c r="C87" s="176" t="inlineStr">
        <is>
          <t>07.2.07.04-0007</t>
        </is>
      </c>
      <c r="D87" s="244" t="inlineStr">
        <is>
          <t>Конструкции стальные индивидуальные решетчатые сварные, масса до 0,1 т</t>
        </is>
      </c>
      <c r="E87" s="245" t="inlineStr">
        <is>
          <t>т</t>
        </is>
      </c>
      <c r="F87" s="161" t="n">
        <v>0.0068332892998679</v>
      </c>
      <c r="G87" s="247" t="n">
        <v>11500</v>
      </c>
      <c r="H87" s="247">
        <f>ROUND(F87*G87,2)</f>
        <v/>
      </c>
      <c r="I87" s="119" t="n"/>
    </row>
    <row r="88">
      <c r="A88" s="135" t="n">
        <v>72</v>
      </c>
      <c r="B88" s="139" t="n"/>
      <c r="C88" s="176" t="inlineStr">
        <is>
          <t>25.1.01.04-0031</t>
        </is>
      </c>
      <c r="D88" s="244" t="inlineStr">
        <is>
          <t>Шпалы непропитанные для железных дорог, тип I</t>
        </is>
      </c>
      <c r="E88" s="245" t="inlineStr">
        <is>
          <t>шт</t>
        </is>
      </c>
      <c r="F88" s="161" t="n">
        <v>0.29125495376486</v>
      </c>
      <c r="G88" s="247" t="n">
        <v>266.67</v>
      </c>
      <c r="H88" s="247">
        <f>ROUND(F88*G88,2)</f>
        <v/>
      </c>
      <c r="I88" s="119" t="n"/>
    </row>
    <row r="89" ht="38.25" customHeight="1" s="198">
      <c r="A89" s="135" t="n">
        <v>73</v>
      </c>
      <c r="B89" s="139" t="n"/>
      <c r="C89" s="176" t="inlineStr">
        <is>
          <t>05.2.02.01-0035</t>
        </is>
      </c>
      <c r="D89" s="244" t="inlineStr">
        <is>
          <t>Блоки бетонные для стен подвалов полнотелые ФБС9-3-6-Т, бетон B7,5 (М100, объем 0,146 м3, расход арматуры 0,76 кг</t>
        </is>
      </c>
      <c r="E89" s="245" t="inlineStr">
        <is>
          <t>шт</t>
        </is>
      </c>
      <c r="F89" s="161" t="n">
        <v>0.8401585204755599</v>
      </c>
      <c r="G89" s="247" t="n">
        <v>90.53</v>
      </c>
      <c r="H89" s="247">
        <f>ROUND(F89*G89,2)</f>
        <v/>
      </c>
      <c r="I89" s="119" t="n"/>
    </row>
    <row r="90" ht="25.5" customHeight="1" s="198">
      <c r="A90" s="135" t="n">
        <v>74</v>
      </c>
      <c r="B90" s="139" t="n"/>
      <c r="C90" s="176" t="inlineStr">
        <is>
          <t>25.1.01.04-0012</t>
        </is>
      </c>
      <c r="D90" s="244" t="inlineStr">
        <is>
          <t>Шпалы из древесины хвойных пород для колеи 600 мм, непропитанные, длина 1200 мм, тип II</t>
        </is>
      </c>
      <c r="E90" s="245" t="inlineStr">
        <is>
          <t>шт</t>
        </is>
      </c>
      <c r="F90" s="161" t="n">
        <v>1.4002642007926</v>
      </c>
      <c r="G90" s="247" t="n">
        <v>42.6</v>
      </c>
      <c r="H90" s="247">
        <f>ROUND(F90*G90,2)</f>
        <v/>
      </c>
      <c r="I90" s="119" t="n"/>
    </row>
    <row r="91">
      <c r="A91" s="135" t="n">
        <v>75</v>
      </c>
      <c r="B91" s="139" t="n"/>
      <c r="C91" s="176" t="inlineStr">
        <is>
          <t>12.1.02.01-0011</t>
        </is>
      </c>
      <c r="D91" s="244" t="inlineStr">
        <is>
          <t>Гидроизол ГИ-Г</t>
        </is>
      </c>
      <c r="E91" s="245" t="inlineStr">
        <is>
          <t>м2</t>
        </is>
      </c>
      <c r="F91" s="161" t="n">
        <v>6.704464993395</v>
      </c>
      <c r="G91" s="247" t="n">
        <v>8.6</v>
      </c>
      <c r="H91" s="247">
        <f>ROUND(F91*G91,2)</f>
        <v/>
      </c>
      <c r="I91" s="119" t="n"/>
    </row>
    <row r="92">
      <c r="A92" s="135" t="n">
        <v>76</v>
      </c>
      <c r="B92" s="139" t="n"/>
      <c r="C92" s="176" t="inlineStr">
        <is>
          <t>08.1.02.06-0041</t>
        </is>
      </c>
      <c r="D92" s="244" t="inlineStr">
        <is>
          <t>Люки чугунные: легкие</t>
        </is>
      </c>
      <c r="E92" s="245" t="inlineStr">
        <is>
          <t>шт</t>
        </is>
      </c>
      <c r="F92" s="161" t="n">
        <v>0.14002642007926</v>
      </c>
      <c r="G92" s="247" t="n">
        <v>375</v>
      </c>
      <c r="H92" s="247">
        <f>ROUND(F92*G92,2)</f>
        <v/>
      </c>
      <c r="I92" s="119" t="n"/>
    </row>
    <row r="93" ht="51" customHeight="1" s="198">
      <c r="A93" s="135" t="n">
        <v>77</v>
      </c>
      <c r="B93" s="139" t="n"/>
      <c r="C93" s="176" t="inlineStr">
        <is>
          <t>07.2.07.12-0020</t>
        </is>
      </c>
      <c r="D93" s="24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45" t="inlineStr">
        <is>
          <t>т</t>
        </is>
      </c>
      <c r="F93" s="161" t="n">
        <v>0.0059931307793923</v>
      </c>
      <c r="G93" s="247" t="n">
        <v>7712</v>
      </c>
      <c r="H93" s="247">
        <f>ROUND(F93*G93,2)</f>
        <v/>
      </c>
      <c r="I93" s="119" t="n"/>
    </row>
    <row r="94">
      <c r="A94" s="135" t="n">
        <v>78</v>
      </c>
      <c r="B94" s="139" t="n"/>
      <c r="C94" s="176" t="inlineStr">
        <is>
          <t>04.3.01.09-0014</t>
        </is>
      </c>
      <c r="D94" s="244" t="inlineStr">
        <is>
          <t>Раствор готовый кладочный цементный марки: 100</t>
        </is>
      </c>
      <c r="E94" s="245" t="inlineStr">
        <is>
          <t>м3</t>
        </is>
      </c>
      <c r="F94" s="161" t="n">
        <v>0.07721056803170399</v>
      </c>
      <c r="G94" s="247" t="n">
        <v>519.8</v>
      </c>
      <c r="H94" s="247">
        <f>ROUND(F94*G94,2)</f>
        <v/>
      </c>
      <c r="I94" s="119" t="n"/>
    </row>
    <row r="95">
      <c r="A95" s="135" t="n">
        <v>79</v>
      </c>
      <c r="B95" s="139" t="n"/>
      <c r="C95" s="176" t="inlineStr">
        <is>
          <t>14.4.01.09-0428</t>
        </is>
      </c>
      <c r="D95" s="244" t="inlineStr">
        <is>
          <t>Грунтовка: ЭП-057</t>
        </is>
      </c>
      <c r="E95" s="245" t="inlineStr">
        <is>
          <t>т</t>
        </is>
      </c>
      <c r="F95" s="161" t="n">
        <v>0.00058811096433289</v>
      </c>
      <c r="G95" s="247" t="n">
        <v>67340</v>
      </c>
      <c r="H95" s="247">
        <f>ROUND(F95*G95,2)</f>
        <v/>
      </c>
      <c r="I95" s="119" t="n"/>
    </row>
    <row r="96">
      <c r="A96" s="135" t="n">
        <v>80</v>
      </c>
      <c r="B96" s="139" t="n"/>
      <c r="C96" s="176" t="inlineStr">
        <is>
          <t>02.1.01.01-0001</t>
        </is>
      </c>
      <c r="D96" s="244" t="inlineStr">
        <is>
          <t>Глина</t>
        </is>
      </c>
      <c r="E96" s="245" t="inlineStr">
        <is>
          <t>м3</t>
        </is>
      </c>
      <c r="F96" s="161" t="n">
        <v>0.3718821664465</v>
      </c>
      <c r="G96" s="247" t="n">
        <v>87.8</v>
      </c>
      <c r="H96" s="247">
        <f>ROUND(F96*G96,2)</f>
        <v/>
      </c>
      <c r="I96" s="119" t="n"/>
    </row>
    <row r="97" ht="25.5" customHeight="1" s="198">
      <c r="A97" s="135" t="n">
        <v>81</v>
      </c>
      <c r="B97" s="139" t="n"/>
      <c r="C97" s="176" t="inlineStr">
        <is>
          <t>08.3.05.02-0101</t>
        </is>
      </c>
      <c r="D97" s="244" t="inlineStr">
        <is>
          <t>Сталь листовая углеродистая обыкновенного качества марки ВСт3пс5 толщиной: 4-6 мм</t>
        </is>
      </c>
      <c r="E97" s="245" t="inlineStr">
        <is>
          <t>т</t>
        </is>
      </c>
      <c r="F97" s="161" t="n">
        <v>0.0049499339498018</v>
      </c>
      <c r="G97" s="247" t="n">
        <v>5763</v>
      </c>
      <c r="H97" s="247">
        <f>ROUND(F97*G97,2)</f>
        <v/>
      </c>
      <c r="I97" s="119" t="n"/>
    </row>
    <row r="98">
      <c r="A98" s="135" t="n">
        <v>82</v>
      </c>
      <c r="B98" s="139" t="n"/>
      <c r="C98" s="176" t="inlineStr">
        <is>
          <t>01.7.03.01-0001</t>
        </is>
      </c>
      <c r="D98" s="244" t="inlineStr">
        <is>
          <t>Вода</t>
        </is>
      </c>
      <c r="E98" s="245" t="inlineStr">
        <is>
          <t>м3</t>
        </is>
      </c>
      <c r="F98" s="161" t="n">
        <v>7.5412348745046</v>
      </c>
      <c r="G98" s="247" t="n">
        <v>2.44</v>
      </c>
      <c r="H98" s="247">
        <f>ROUND(F98*G98,2)</f>
        <v/>
      </c>
      <c r="I98" s="119" t="n"/>
    </row>
    <row r="99">
      <c r="A99" s="135" t="n">
        <v>83</v>
      </c>
      <c r="B99" s="139" t="n"/>
      <c r="C99" s="176" t="inlineStr">
        <is>
          <t>01.7.15.10-0053</t>
        </is>
      </c>
      <c r="D99" s="244" t="inlineStr">
        <is>
          <t>Скобы: металлические</t>
        </is>
      </c>
      <c r="E99" s="245" t="inlineStr">
        <is>
          <t>кг</t>
        </is>
      </c>
      <c r="F99" s="161" t="n">
        <v>2.8481373844122</v>
      </c>
      <c r="G99" s="247" t="n">
        <v>6.4</v>
      </c>
      <c r="H99" s="247">
        <f>ROUND(F99*G99,2)</f>
        <v/>
      </c>
      <c r="I99" s="119" t="n"/>
    </row>
    <row r="100">
      <c r="A100" s="135" t="n">
        <v>84</v>
      </c>
      <c r="B100" s="139" t="n"/>
      <c r="C100" s="176" t="inlineStr">
        <is>
          <t>14.4.04.08-0003</t>
        </is>
      </c>
      <c r="D100" s="244" t="inlineStr">
        <is>
          <t>Эмаль ПФ-115 серая</t>
        </is>
      </c>
      <c r="E100" s="245" t="inlineStr">
        <is>
          <t>т</t>
        </is>
      </c>
      <c r="F100" s="161" t="n">
        <v>0.0012532364597094</v>
      </c>
      <c r="G100" s="247" t="n">
        <v>14312.87</v>
      </c>
      <c r="H100" s="247">
        <f>ROUND(F100*G100,2)</f>
        <v/>
      </c>
      <c r="I100" s="119" t="n"/>
    </row>
    <row r="101">
      <c r="A101" s="135" t="n">
        <v>85</v>
      </c>
      <c r="B101" s="139" t="n"/>
      <c r="C101" s="176" t="inlineStr">
        <is>
          <t>01.7.07.29-0031</t>
        </is>
      </c>
      <c r="D101" s="244" t="inlineStr">
        <is>
          <t>Каболка</t>
        </is>
      </c>
      <c r="E101" s="245" t="inlineStr">
        <is>
          <t>т</t>
        </is>
      </c>
      <c r="F101" s="161" t="n">
        <v>0.000567107001321</v>
      </c>
      <c r="G101" s="247" t="n">
        <v>30030</v>
      </c>
      <c r="H101" s="247">
        <f>ROUND(F101*G101,2)</f>
        <v/>
      </c>
      <c r="I101" s="119" t="n"/>
    </row>
    <row r="102" ht="25.5" customHeight="1" s="198">
      <c r="A102" s="135" t="n">
        <v>86</v>
      </c>
      <c r="B102" s="139" t="n"/>
      <c r="C102" s="176" t="inlineStr">
        <is>
          <t>07.2.05.01-0032</t>
        </is>
      </c>
      <c r="D102" s="244" t="inlineStr">
        <is>
          <t>Ограждения лестничных проемов, лестничные марши, пожарные лестницы</t>
        </is>
      </c>
      <c r="E102" s="245" t="inlineStr">
        <is>
          <t>т</t>
        </is>
      </c>
      <c r="F102" s="161" t="n">
        <v>0.0022404227212682</v>
      </c>
      <c r="G102" s="247" t="n">
        <v>7571</v>
      </c>
      <c r="H102" s="247">
        <f>ROUND(F102*G102,2)</f>
        <v/>
      </c>
      <c r="I102" s="119" t="n"/>
    </row>
    <row r="103">
      <c r="A103" s="135" t="n">
        <v>87</v>
      </c>
      <c r="B103" s="139" t="n"/>
      <c r="C103" s="176" t="inlineStr">
        <is>
          <t>04.3.01.09-0012</t>
        </is>
      </c>
      <c r="D103" s="244" t="inlineStr">
        <is>
          <t>Раствор готовый кладочный цементный марки: 50</t>
        </is>
      </c>
      <c r="E103" s="245" t="inlineStr">
        <is>
          <t>м3</t>
        </is>
      </c>
      <c r="F103" s="161" t="n">
        <v>0.033858388375165</v>
      </c>
      <c r="G103" s="247" t="n">
        <v>485.9</v>
      </c>
      <c r="H103" s="247">
        <f>ROUND(F103*G103,2)</f>
        <v/>
      </c>
      <c r="I103" s="119" t="n"/>
    </row>
    <row r="104" ht="25.5" customHeight="1" s="198">
      <c r="A104" s="135" t="n">
        <v>88</v>
      </c>
      <c r="B104" s="139" t="n"/>
      <c r="C104" s="176" t="inlineStr">
        <is>
          <t>02.2.05.04-0056</t>
        </is>
      </c>
      <c r="D104" s="244" t="inlineStr">
        <is>
          <t>Щебень из гравия для строительных работ марка 1000, фракция 40-70 мм</t>
        </is>
      </c>
      <c r="E104" s="245" t="inlineStr">
        <is>
          <t>м3</t>
        </is>
      </c>
      <c r="F104" s="161" t="n">
        <v>0.11902245706737</v>
      </c>
      <c r="G104" s="247" t="n">
        <v>134.02</v>
      </c>
      <c r="H104" s="247">
        <f>ROUND(F104*G104,2)</f>
        <v/>
      </c>
      <c r="I104" s="119" t="n"/>
    </row>
    <row r="105">
      <c r="A105" s="135" t="n">
        <v>89</v>
      </c>
      <c r="B105" s="139" t="n"/>
      <c r="C105" s="176" t="inlineStr">
        <is>
          <t>01.2.03.03-0013</t>
        </is>
      </c>
      <c r="D105" s="244" t="inlineStr">
        <is>
          <t>Мастика битумная кровельная горячая</t>
        </is>
      </c>
      <c r="E105" s="245" t="inlineStr">
        <is>
          <t>т</t>
        </is>
      </c>
      <c r="F105" s="161" t="n">
        <v>0.0042007926023778</v>
      </c>
      <c r="G105" s="247" t="n">
        <v>3390</v>
      </c>
      <c r="H105" s="247">
        <f>ROUND(F105*G105,2)</f>
        <v/>
      </c>
      <c r="I105" s="119" t="n"/>
    </row>
    <row r="106" ht="25.5" customHeight="1" s="198">
      <c r="A106" s="135" t="n">
        <v>90</v>
      </c>
      <c r="B106" s="139" t="n"/>
      <c r="C106" s="176" t="inlineStr">
        <is>
          <t>02.2.05.04-0072</t>
        </is>
      </c>
      <c r="D106" s="244" t="inlineStr">
        <is>
          <t>Щебень из природного камня для строительных работ марка: 200, фракция 10-20 мм</t>
        </is>
      </c>
      <c r="E106" s="245" t="inlineStr">
        <is>
          <t>м3</t>
        </is>
      </c>
      <c r="F106" s="161" t="n">
        <v>0.12259313077939</v>
      </c>
      <c r="G106" s="247" t="n">
        <v>106.3</v>
      </c>
      <c r="H106" s="247">
        <f>ROUND(F106*G106,2)</f>
        <v/>
      </c>
      <c r="I106" s="119" t="n"/>
    </row>
    <row r="107">
      <c r="A107" s="135" t="n">
        <v>91</v>
      </c>
      <c r="B107" s="139" t="n"/>
      <c r="C107" s="176" t="inlineStr">
        <is>
          <t>01.7.07.29-0111</t>
        </is>
      </c>
      <c r="D107" s="244" t="inlineStr">
        <is>
          <t>Пакля пропитанная</t>
        </is>
      </c>
      <c r="E107" s="245" t="inlineStr">
        <is>
          <t>кг</t>
        </is>
      </c>
      <c r="F107" s="161" t="n">
        <v>1.3582562747688</v>
      </c>
      <c r="G107" s="247" t="n">
        <v>9.039999999999999</v>
      </c>
      <c r="H107" s="247">
        <f>ROUND(F107*G107,2)</f>
        <v/>
      </c>
      <c r="I107" s="119" t="n"/>
    </row>
    <row r="108" ht="25.5" customHeight="1" s="198">
      <c r="A108" s="135" t="n">
        <v>92</v>
      </c>
      <c r="B108" s="139" t="n"/>
      <c r="C108" s="176" t="inlineStr">
        <is>
          <t>999-9950</t>
        </is>
      </c>
      <c r="D108" s="244" t="inlineStr">
        <is>
          <t>Вспомогательные ненормируемые ресурсы (2% от Оплаты труда рабочих)</t>
        </is>
      </c>
      <c r="E108" s="245" t="inlineStr">
        <is>
          <t>руб.</t>
        </is>
      </c>
      <c r="F108" s="161" t="n">
        <v>11.311796301189</v>
      </c>
      <c r="G108" s="247" t="n">
        <v>1</v>
      </c>
      <c r="H108" s="247">
        <f>ROUND(F108*G108,2)</f>
        <v/>
      </c>
      <c r="I108" s="119" t="n"/>
    </row>
    <row r="109">
      <c r="A109" s="135" t="n">
        <v>93</v>
      </c>
      <c r="B109" s="139" t="n"/>
      <c r="C109" s="176" t="inlineStr">
        <is>
          <t>01.3.01.01-0009</t>
        </is>
      </c>
      <c r="D109" s="244" t="inlineStr">
        <is>
          <t>Бензин растворитель</t>
        </is>
      </c>
      <c r="E109" s="245" t="inlineStr">
        <is>
          <t>т</t>
        </is>
      </c>
      <c r="F109" s="161" t="n">
        <v>0.0016733157199472</v>
      </c>
      <c r="G109" s="247" t="n">
        <v>6143.8</v>
      </c>
      <c r="H109" s="247">
        <f>ROUND(F109*G109,2)</f>
        <v/>
      </c>
      <c r="I109" s="119" t="n"/>
    </row>
    <row r="110">
      <c r="A110" s="135" t="n">
        <v>94</v>
      </c>
      <c r="B110" s="139" t="n"/>
      <c r="C110" s="176" t="inlineStr">
        <is>
          <t>01.3.05.23-0181</t>
        </is>
      </c>
      <c r="D110" s="244" t="inlineStr">
        <is>
          <t>Стекло натриевое жидкое каустическое</t>
        </is>
      </c>
      <c r="E110" s="245" t="inlineStr">
        <is>
          <t>т</t>
        </is>
      </c>
      <c r="F110" s="161" t="n">
        <v>0.0036896961690885</v>
      </c>
      <c r="G110" s="247" t="n">
        <v>2734.6</v>
      </c>
      <c r="H110" s="247">
        <f>ROUND(F110*G110,2)</f>
        <v/>
      </c>
      <c r="I110" s="119" t="n"/>
    </row>
    <row r="111">
      <c r="A111" s="135" t="n">
        <v>95</v>
      </c>
      <c r="B111" s="139" t="n"/>
      <c r="C111" s="176" t="inlineStr">
        <is>
          <t>01.7.15.03-0041</t>
        </is>
      </c>
      <c r="D111" s="244" t="inlineStr">
        <is>
          <t>Болты с гайками и шайбами строительные</t>
        </is>
      </c>
      <c r="E111" s="245" t="inlineStr">
        <is>
          <t>т</t>
        </is>
      </c>
      <c r="F111" s="161" t="n">
        <v>0.0010291941875826</v>
      </c>
      <c r="G111" s="247" t="n">
        <v>9040.01</v>
      </c>
      <c r="H111" s="247">
        <f>ROUND(F111*G111,2)</f>
        <v/>
      </c>
      <c r="I111" s="119" t="n"/>
    </row>
    <row r="112">
      <c r="A112" s="135" t="n">
        <v>96</v>
      </c>
      <c r="B112" s="139" t="n"/>
      <c r="C112" s="176" t="inlineStr">
        <is>
          <t>02.2.04.03-0003</t>
        </is>
      </c>
      <c r="D112" s="244" t="inlineStr">
        <is>
          <t>Смесь песчано-гравийная природная</t>
        </is>
      </c>
      <c r="E112" s="245" t="inlineStr">
        <is>
          <t>м3</t>
        </is>
      </c>
      <c r="F112" s="161" t="n">
        <v>0.15444914134742</v>
      </c>
      <c r="G112" s="247" t="n">
        <v>60</v>
      </c>
      <c r="H112" s="247">
        <f>ROUND(F112*G112,2)</f>
        <v/>
      </c>
      <c r="I112" s="119" t="n"/>
    </row>
    <row r="113">
      <c r="A113" s="135" t="n">
        <v>97</v>
      </c>
      <c r="B113" s="139" t="n"/>
      <c r="C113" s="176" t="inlineStr">
        <is>
          <t>01.7.07.13-0011</t>
        </is>
      </c>
      <c r="D113" s="244" t="inlineStr">
        <is>
          <t>Порошок № 2 для кислотоупорной замазки</t>
        </is>
      </c>
      <c r="E113" s="245" t="inlineStr">
        <is>
          <t>т</t>
        </is>
      </c>
      <c r="F113" s="161" t="n">
        <v>0.007372391017173</v>
      </c>
      <c r="G113" s="247" t="n">
        <v>1234</v>
      </c>
      <c r="H113" s="247">
        <f>ROUND(F113*G113,2)</f>
        <v/>
      </c>
      <c r="I113" s="119" t="n"/>
    </row>
    <row r="114">
      <c r="A114" s="135" t="n">
        <v>98</v>
      </c>
      <c r="B114" s="139" t="n"/>
      <c r="C114" s="176" t="inlineStr">
        <is>
          <t>01.3.02.08-0001</t>
        </is>
      </c>
      <c r="D114" s="244" t="inlineStr">
        <is>
          <t>Кислород технический: газообразный</t>
        </is>
      </c>
      <c r="E114" s="245" t="inlineStr">
        <is>
          <t>м3</t>
        </is>
      </c>
      <c r="F114" s="161" t="n">
        <v>1.3448627476882</v>
      </c>
      <c r="G114" s="247" t="n">
        <v>6.22</v>
      </c>
      <c r="H114" s="247">
        <f>ROUND(F114*G114,2)</f>
        <v/>
      </c>
      <c r="I114" s="119" t="n"/>
    </row>
    <row r="115">
      <c r="A115" s="135" t="n">
        <v>99</v>
      </c>
      <c r="B115" s="139" t="n"/>
      <c r="C115" s="176" t="inlineStr">
        <is>
          <t>01.3.02.09-0022</t>
        </is>
      </c>
      <c r="D115" s="244" t="inlineStr">
        <is>
          <t>Пропан-бутан, смесь техническая</t>
        </is>
      </c>
      <c r="E115" s="245" t="inlineStr">
        <is>
          <t>кг</t>
        </is>
      </c>
      <c r="F115" s="161" t="n">
        <v>1.3733301188904</v>
      </c>
      <c r="G115" s="247" t="n">
        <v>6.09</v>
      </c>
      <c r="H115" s="247">
        <f>ROUND(F115*G115,2)</f>
        <v/>
      </c>
      <c r="I115" s="119" t="n"/>
    </row>
    <row r="116">
      <c r="A116" s="135" t="n">
        <v>100</v>
      </c>
      <c r="B116" s="139" t="n"/>
      <c r="C116" s="176" t="inlineStr">
        <is>
          <t>14.4.01.01-0003</t>
        </is>
      </c>
      <c r="D116" s="244" t="inlineStr">
        <is>
          <t>Грунтовка: ГФ-021 красно-коричневая</t>
        </is>
      </c>
      <c r="E116" s="245" t="inlineStr">
        <is>
          <t>т</t>
        </is>
      </c>
      <c r="F116" s="161" t="n">
        <v>0.00046208718626156</v>
      </c>
      <c r="G116" s="247" t="n">
        <v>15620</v>
      </c>
      <c r="H116" s="247">
        <f>ROUND(F116*G116,2)</f>
        <v/>
      </c>
      <c r="I116" s="119" t="n"/>
    </row>
    <row r="117">
      <c r="A117" s="135" t="n">
        <v>101</v>
      </c>
      <c r="B117" s="139" t="n"/>
      <c r="C117" s="176" t="inlineStr">
        <is>
          <t>25.2.01.01-0001</t>
        </is>
      </c>
      <c r="D117" s="244" t="inlineStr">
        <is>
          <t>Бирки-оконцеватели</t>
        </is>
      </c>
      <c r="E117" s="245" t="inlineStr">
        <is>
          <t>100 шт</t>
        </is>
      </c>
      <c r="F117" s="161" t="n">
        <v>0.11202113606341</v>
      </c>
      <c r="G117" s="247" t="n">
        <v>63</v>
      </c>
      <c r="H117" s="247">
        <f>ROUND(F117*G117,2)</f>
        <v/>
      </c>
      <c r="I117" s="119" t="n"/>
    </row>
    <row r="118">
      <c r="A118" s="135" t="n">
        <v>102</v>
      </c>
      <c r="B118" s="139" t="n"/>
      <c r="C118" s="176" t="inlineStr">
        <is>
          <t>20.2.09.13-0011</t>
        </is>
      </c>
      <c r="D118" s="244" t="inlineStr">
        <is>
          <t>Муфта</t>
        </is>
      </c>
      <c r="E118" s="245" t="inlineStr">
        <is>
          <t>шт</t>
        </is>
      </c>
      <c r="F118" s="161" t="n">
        <v>1.4002642007926</v>
      </c>
      <c r="G118" s="247" t="n">
        <v>5</v>
      </c>
      <c r="H118" s="247">
        <f>ROUND(F118*G118,2)</f>
        <v/>
      </c>
      <c r="I118" s="119" t="n"/>
    </row>
    <row r="119">
      <c r="A119" s="135" t="n">
        <v>103</v>
      </c>
      <c r="B119" s="139" t="n"/>
      <c r="C119" s="176" t="inlineStr">
        <is>
          <t>01.2.01.02-0054</t>
        </is>
      </c>
      <c r="D119" s="244" t="inlineStr">
        <is>
          <t>Битумы нефтяные строительные марки: БН-90/10</t>
        </is>
      </c>
      <c r="E119" s="245" t="inlineStr">
        <is>
          <t>т</t>
        </is>
      </c>
      <c r="F119" s="161" t="n">
        <v>0.0048939233817701</v>
      </c>
      <c r="G119" s="247" t="n">
        <v>1383.1</v>
      </c>
      <c r="H119" s="247">
        <f>ROUND(F119*G119,2)</f>
        <v/>
      </c>
      <c r="I119" s="119" t="n"/>
    </row>
    <row r="120" ht="38.25" customFormat="1" customHeight="1" s="199">
      <c r="A120" s="135" t="n">
        <v>104</v>
      </c>
      <c r="B120" s="139" t="n"/>
      <c r="C120" s="176" t="inlineStr">
        <is>
          <t>19.2.02.02-0013</t>
        </is>
      </c>
      <c r="D120" s="244" t="inlineStr">
        <is>
          <t>Зонты вентиляционных систем из листовой оцинкованной стали,: круглые, диаметром шахты 315 мм</t>
        </is>
      </c>
      <c r="E120" s="245" t="inlineStr">
        <is>
          <t>шт</t>
        </is>
      </c>
      <c r="F120" s="161" t="n">
        <v>0.07001321003963</v>
      </c>
      <c r="G120" s="247" t="n">
        <v>90.7</v>
      </c>
      <c r="H120" s="247">
        <f>ROUND(F120*G120,2)</f>
        <v/>
      </c>
      <c r="I120" s="119" t="n"/>
    </row>
    <row r="121">
      <c r="A121" s="135" t="n">
        <v>105</v>
      </c>
      <c r="B121" s="139" t="n"/>
      <c r="C121" s="176" t="inlineStr">
        <is>
          <t>14.5.09.04-0114</t>
        </is>
      </c>
      <c r="D121" s="244" t="inlineStr">
        <is>
          <t>Отвердитель: № 3</t>
        </is>
      </c>
      <c r="E121" s="245" t="inlineStr">
        <is>
          <t>т</t>
        </is>
      </c>
      <c r="F121" s="161" t="n">
        <v>4.2007926023778e-05</v>
      </c>
      <c r="G121" s="247" t="n">
        <v>123650</v>
      </c>
      <c r="H121" s="247">
        <f>ROUND(F121*G121,2)</f>
        <v/>
      </c>
      <c r="I121" s="119" t="n"/>
    </row>
    <row r="122">
      <c r="A122" s="135" t="n">
        <v>106</v>
      </c>
      <c r="B122" s="139" t="n"/>
      <c r="C122" s="176" t="inlineStr">
        <is>
          <t>01.7.11.07-0034</t>
        </is>
      </c>
      <c r="D122" s="244" t="inlineStr">
        <is>
          <t>Электроды диаметром: 4 мм Э42А</t>
        </is>
      </c>
      <c r="E122" s="245" t="inlineStr">
        <is>
          <t>кг</t>
        </is>
      </c>
      <c r="F122" s="161" t="n">
        <v>0.49009247027741</v>
      </c>
      <c r="G122" s="247" t="n">
        <v>10.57</v>
      </c>
      <c r="H122" s="247">
        <f>ROUND(F122*G122,2)</f>
        <v/>
      </c>
      <c r="I122" s="119" t="n"/>
      <c r="K122" s="116" t="n"/>
    </row>
    <row r="123">
      <c r="A123" s="135" t="n">
        <v>107</v>
      </c>
      <c r="B123" s="139" t="n"/>
      <c r="C123" s="176" t="inlineStr">
        <is>
          <t>14.5.09.07-0029</t>
        </is>
      </c>
      <c r="D123" s="244" t="inlineStr">
        <is>
          <t>Растворитель марки: Р-4</t>
        </is>
      </c>
      <c r="E123" s="245" t="inlineStr">
        <is>
          <t>т</t>
        </is>
      </c>
      <c r="F123" s="161" t="n">
        <v>0.00046908850726552</v>
      </c>
      <c r="G123" s="247" t="n">
        <v>9420</v>
      </c>
      <c r="H123" s="247">
        <f>ROUND(F123*G123,2)</f>
        <v/>
      </c>
      <c r="I123" s="119" t="n"/>
      <c r="K123" s="116" t="n"/>
    </row>
    <row r="124">
      <c r="A124" s="135" t="n">
        <v>108</v>
      </c>
      <c r="B124" s="139" t="n"/>
      <c r="C124" s="176" t="inlineStr">
        <is>
          <t>01.7.07.12-0024</t>
        </is>
      </c>
      <c r="D124" s="244" t="inlineStr">
        <is>
          <t>Пленка полиэтиленовая толщиной: 0,15 мм</t>
        </is>
      </c>
      <c r="E124" s="245" t="inlineStr">
        <is>
          <t>м2</t>
        </is>
      </c>
      <c r="F124" s="161" t="n">
        <v>1.2042272126816</v>
      </c>
      <c r="G124" s="247" t="n">
        <v>3.62</v>
      </c>
      <c r="H124" s="247">
        <f>ROUND(F124*G124,2)</f>
        <v/>
      </c>
      <c r="I124" s="119" t="n"/>
      <c r="K124" s="116" t="n"/>
    </row>
    <row r="125">
      <c r="A125" s="135" t="n">
        <v>109</v>
      </c>
      <c r="B125" s="139" t="n"/>
      <c r="C125" s="176" t="inlineStr">
        <is>
          <t>01.7.11.07-0066</t>
        </is>
      </c>
      <c r="D125" s="244" t="inlineStr">
        <is>
          <t>Электроды диаметром: 8 мм Э46</t>
        </is>
      </c>
      <c r="E125" s="245" t="inlineStr">
        <is>
          <t>т</t>
        </is>
      </c>
      <c r="F125" s="161" t="n">
        <v>0.00044808454425363</v>
      </c>
      <c r="G125" s="247" t="n">
        <v>9503</v>
      </c>
      <c r="H125" s="247">
        <f>ROUND(F125*G125,2)</f>
        <v/>
      </c>
    </row>
    <row r="126">
      <c r="A126" s="135" t="n">
        <v>110</v>
      </c>
      <c r="B126" s="139" t="n"/>
      <c r="C126" s="176" t="inlineStr">
        <is>
          <t>01.3.05.23-0102</t>
        </is>
      </c>
      <c r="D126" s="244" t="inlineStr">
        <is>
          <t>Натрий кремнефтористый технический, сорт I</t>
        </is>
      </c>
      <c r="E126" s="245" t="inlineStr">
        <is>
          <t>т</t>
        </is>
      </c>
      <c r="F126" s="161" t="n">
        <v>0.0005531043593130799</v>
      </c>
      <c r="G126" s="247" t="n">
        <v>7062.5</v>
      </c>
      <c r="H126" s="247">
        <f>ROUND(F126*G126,2)</f>
        <v/>
      </c>
    </row>
    <row r="127" ht="38.25" customHeight="1" s="198">
      <c r="A127" s="135" t="n">
        <v>111</v>
      </c>
      <c r="B127" s="139" t="n"/>
      <c r="C127" s="176" t="inlineStr">
        <is>
          <t>05.1.05.16-0001</t>
        </is>
      </c>
      <c r="D127" s="24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45" t="inlineStr">
        <is>
          <t>м3</t>
        </is>
      </c>
      <c r="F127" s="161" t="n">
        <v>0.0022404227212682</v>
      </c>
      <c r="G127" s="247" t="n">
        <v>1410</v>
      </c>
      <c r="H127" s="247">
        <f>ROUND(F127*G127,2)</f>
        <v/>
      </c>
    </row>
    <row r="128">
      <c r="A128" s="135" t="n">
        <v>112</v>
      </c>
      <c r="B128" s="139" t="n"/>
      <c r="C128" s="176" t="inlineStr">
        <is>
          <t>08.3.03.04-0012</t>
        </is>
      </c>
      <c r="D128" s="244" t="inlineStr">
        <is>
          <t>Проволока светлая диаметром: 1,1 мм</t>
        </is>
      </c>
      <c r="E128" s="245" t="inlineStr">
        <is>
          <t>т</t>
        </is>
      </c>
      <c r="F128" s="161" t="n">
        <v>0.00030805812417437</v>
      </c>
      <c r="G128" s="247" t="n">
        <v>10200</v>
      </c>
      <c r="H128" s="247">
        <f>ROUND(F128*G128,2)</f>
        <v/>
      </c>
    </row>
    <row r="129">
      <c r="A129" s="135" t="n">
        <v>113</v>
      </c>
      <c r="B129" s="139" t="n"/>
      <c r="C129" s="176" t="inlineStr">
        <is>
          <t>14.5.09.04-0115</t>
        </is>
      </c>
      <c r="D129" s="244" t="inlineStr">
        <is>
          <t>Отвердитель: амино-фенольный АФ-2</t>
        </is>
      </c>
      <c r="E129" s="245" t="inlineStr">
        <is>
          <t>т</t>
        </is>
      </c>
      <c r="F129" s="161" t="n">
        <v>6.301188903566699e-05</v>
      </c>
      <c r="G129" s="247" t="n">
        <v>48600</v>
      </c>
      <c r="H129" s="247">
        <f>ROUND(F129*G129,2)</f>
        <v/>
      </c>
    </row>
    <row r="130">
      <c r="A130" s="135" t="n">
        <v>114</v>
      </c>
      <c r="B130" s="139" t="n"/>
      <c r="C130" s="176" t="inlineStr">
        <is>
          <t>01.7.20.08-0031</t>
        </is>
      </c>
      <c r="D130" s="244" t="inlineStr">
        <is>
          <t>Бязь суровая арт. 6804</t>
        </is>
      </c>
      <c r="E130" s="245" t="inlineStr">
        <is>
          <t>10 м2</t>
        </is>
      </c>
      <c r="F130" s="161" t="n">
        <v>0.03598678996037</v>
      </c>
      <c r="G130" s="247" t="n">
        <v>79.09999999999999</v>
      </c>
      <c r="H130" s="247">
        <f>ROUND(F130*G130,2)</f>
        <v/>
      </c>
    </row>
    <row r="131">
      <c r="A131" s="135" t="n">
        <v>115</v>
      </c>
      <c r="B131" s="139" t="n"/>
      <c r="C131" s="176" t="inlineStr">
        <is>
          <t>04.3.01.09-0023</t>
        </is>
      </c>
      <c r="D131" s="244" t="inlineStr">
        <is>
          <t>Раствор готовый отделочный тяжелый,: цементный 1:3</t>
        </is>
      </c>
      <c r="E131" s="245" t="inlineStr">
        <is>
          <t>м3</t>
        </is>
      </c>
      <c r="F131" s="161" t="n">
        <v>0.0051249669749009</v>
      </c>
      <c r="G131" s="247" t="n">
        <v>497</v>
      </c>
      <c r="H131" s="247">
        <f>ROUND(F131*G131,2)</f>
        <v/>
      </c>
    </row>
    <row r="132">
      <c r="A132" s="135" t="n">
        <v>116</v>
      </c>
      <c r="B132" s="139" t="n"/>
      <c r="C132" s="176" t="inlineStr">
        <is>
          <t>01.7.07.13-0001</t>
        </is>
      </c>
      <c r="D132" s="244" t="inlineStr">
        <is>
          <t>Мука андезитовая кислотоупорная, марка: А</t>
        </is>
      </c>
      <c r="E132" s="245" t="inlineStr">
        <is>
          <t>т</t>
        </is>
      </c>
      <c r="F132" s="161" t="n">
        <v>0.0036756935270806</v>
      </c>
      <c r="G132" s="247" t="n">
        <v>688.8</v>
      </c>
      <c r="H132" s="247">
        <f>ROUND(F132*G132,2)</f>
        <v/>
      </c>
    </row>
    <row r="133">
      <c r="A133" s="135" t="n">
        <v>117</v>
      </c>
      <c r="B133" s="139" t="n"/>
      <c r="C133" s="176" t="inlineStr">
        <is>
          <t>03.2.02.08-0001</t>
        </is>
      </c>
      <c r="D133" s="244" t="inlineStr">
        <is>
          <t>Цемент гипсоглиноземистый расширяющийся</t>
        </is>
      </c>
      <c r="E133" s="245" t="inlineStr">
        <is>
          <t>т</t>
        </is>
      </c>
      <c r="F133" s="161" t="n">
        <v>0.0013582562747688</v>
      </c>
      <c r="G133" s="247" t="n">
        <v>1836</v>
      </c>
      <c r="H133" s="247">
        <f>ROUND(F133*G133,2)</f>
        <v/>
      </c>
    </row>
    <row r="134">
      <c r="A134" s="135" t="n">
        <v>118</v>
      </c>
      <c r="B134" s="139" t="n"/>
      <c r="C134" s="176" t="inlineStr">
        <is>
          <t>08.1.02.11-0001</t>
        </is>
      </c>
      <c r="D134" s="244" t="inlineStr">
        <is>
          <t>Поковки из квадратных заготовок, масса: 1,8 кг</t>
        </is>
      </c>
      <c r="E134" s="245" t="inlineStr">
        <is>
          <t>т</t>
        </is>
      </c>
      <c r="F134" s="161" t="n">
        <v>0.00041307793923382</v>
      </c>
      <c r="G134" s="247" t="n">
        <v>5989</v>
      </c>
      <c r="H134" s="247">
        <f>ROUND(F134*G134,2)</f>
        <v/>
      </c>
    </row>
    <row r="135" customFormat="1" s="199">
      <c r="A135" s="135" t="n">
        <v>119</v>
      </c>
      <c r="B135" s="139" t="n"/>
      <c r="C135" s="176" t="inlineStr">
        <is>
          <t>08.3.11.01-0091</t>
        </is>
      </c>
      <c r="D135" s="244" t="inlineStr">
        <is>
          <t>Швеллеры № 40 из стали марки: Ст0</t>
        </is>
      </c>
      <c r="E135" s="245" t="inlineStr">
        <is>
          <t>т</t>
        </is>
      </c>
      <c r="F135" s="161" t="n">
        <v>0.00043408190224571</v>
      </c>
      <c r="G135" s="247" t="n">
        <v>4920</v>
      </c>
      <c r="H135" s="247">
        <f>ROUND(F135*G135,2)</f>
        <v/>
      </c>
    </row>
    <row r="136">
      <c r="A136" s="135" t="n">
        <v>120</v>
      </c>
      <c r="B136" s="139" t="n"/>
      <c r="C136" s="176" t="inlineStr">
        <is>
          <t>01.7.15.03-0042</t>
        </is>
      </c>
      <c r="D136" s="244" t="inlineStr">
        <is>
          <t>Болты с гайками и шайбами строительные</t>
        </is>
      </c>
      <c r="E136" s="245" t="inlineStr">
        <is>
          <t>кг</t>
        </is>
      </c>
      <c r="F136" s="161" t="n">
        <v>0.23594451783355</v>
      </c>
      <c r="G136" s="247" t="n">
        <v>9.039999999999999</v>
      </c>
      <c r="H136" s="247">
        <f>ROUND(F136*G136,2)</f>
        <v/>
      </c>
    </row>
    <row r="137">
      <c r="A137" s="135" t="n">
        <v>121</v>
      </c>
      <c r="B137" s="139" t="n"/>
      <c r="C137" s="176" t="inlineStr">
        <is>
          <t>01.7.17.11-0001</t>
        </is>
      </c>
      <c r="D137" s="244" t="inlineStr">
        <is>
          <t>Бумага шлифовальная</t>
        </is>
      </c>
      <c r="E137" s="245" t="inlineStr">
        <is>
          <t>кг</t>
        </is>
      </c>
      <c r="F137" s="161" t="n">
        <v>0.042007926023778</v>
      </c>
      <c r="G137" s="247" t="n">
        <v>50</v>
      </c>
      <c r="H137" s="247">
        <f>ROUND(F137*G137,2)</f>
        <v/>
      </c>
      <c r="K137" s="116" t="n"/>
    </row>
    <row r="138" ht="38.25" customHeight="1" s="198">
      <c r="A138" s="135" t="n">
        <v>122</v>
      </c>
      <c r="B138" s="139" t="n"/>
      <c r="C138" s="176" t="inlineStr">
        <is>
          <t>07.2.01.01-0003</t>
        </is>
      </c>
      <c r="D138" s="24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45" t="inlineStr">
        <is>
          <t>т</t>
        </is>
      </c>
      <c r="F138" s="161" t="n">
        <v>0.00021003963011889</v>
      </c>
      <c r="G138" s="247" t="n">
        <v>9670</v>
      </c>
      <c r="H138" s="247">
        <f>ROUND(F138*G138,2)</f>
        <v/>
      </c>
      <c r="K138" s="116" t="n"/>
    </row>
    <row r="139">
      <c r="A139" s="135" t="n">
        <v>123</v>
      </c>
      <c r="B139" s="139" t="n"/>
      <c r="C139" s="176" t="inlineStr">
        <is>
          <t>14.4.02.09-0001</t>
        </is>
      </c>
      <c r="D139" s="244" t="inlineStr">
        <is>
          <t>Краска</t>
        </is>
      </c>
      <c r="E139" s="245" t="inlineStr">
        <is>
          <t>кг</t>
        </is>
      </c>
      <c r="F139" s="161" t="n">
        <v>0.058811096433289</v>
      </c>
      <c r="G139" s="247" t="n">
        <v>28.6</v>
      </c>
      <c r="H139" s="247">
        <f>ROUND(F139*G139,2)</f>
        <v/>
      </c>
      <c r="K139" s="116" t="n"/>
    </row>
    <row r="140">
      <c r="A140" s="135" t="n">
        <v>124</v>
      </c>
      <c r="B140" s="139" t="n"/>
      <c r="C140" s="176" t="inlineStr">
        <is>
          <t>01.7.11.07-0032</t>
        </is>
      </c>
      <c r="D140" s="244" t="inlineStr">
        <is>
          <t>Электроды диаметром: 4 мм Э42</t>
        </is>
      </c>
      <c r="E140" s="245" t="inlineStr">
        <is>
          <t>т</t>
        </is>
      </c>
      <c r="F140" s="161" t="n">
        <v>0.00015402906208719</v>
      </c>
      <c r="G140" s="247" t="n">
        <v>10315.01</v>
      </c>
      <c r="H140" s="247">
        <f>ROUND(F140*G140,2)</f>
        <v/>
      </c>
    </row>
    <row r="141" ht="25.5" customHeight="1" s="198">
      <c r="A141" s="135" t="n">
        <v>125</v>
      </c>
      <c r="B141" s="139" t="n"/>
      <c r="C141" s="176" t="inlineStr">
        <is>
          <t>25.1.01.05-0025</t>
        </is>
      </c>
      <c r="D141" s="244" t="inlineStr">
        <is>
          <t>Шпалы из древесины хвойных пород длиной: 1500 мм для колеи 750 мм пропитанные, тип 2</t>
        </is>
      </c>
      <c r="E141" s="245" t="inlineStr">
        <is>
          <t>шт</t>
        </is>
      </c>
      <c r="F141" s="161" t="n">
        <v>0.021256010568032</v>
      </c>
      <c r="G141" s="247" t="n">
        <v>68</v>
      </c>
      <c r="H141" s="247">
        <f>ROUND(F141*G141,2)</f>
        <v/>
      </c>
    </row>
    <row r="142">
      <c r="A142" s="135" t="n">
        <v>126</v>
      </c>
      <c r="B142" s="139" t="n"/>
      <c r="C142" s="176" t="inlineStr">
        <is>
          <t>01.3.01.03-0002</t>
        </is>
      </c>
      <c r="D142" s="244" t="inlineStr">
        <is>
          <t>Керосин для технических целей марок КТ-1, КТ-2</t>
        </is>
      </c>
      <c r="E142" s="245" t="inlineStr">
        <is>
          <t>т</t>
        </is>
      </c>
      <c r="F142" s="161" t="n">
        <v>0.00050409511228534</v>
      </c>
      <c r="G142" s="247" t="n">
        <v>2606.9</v>
      </c>
      <c r="H142" s="247">
        <f>ROUND(F142*G142,2)</f>
        <v/>
      </c>
    </row>
    <row r="143">
      <c r="A143" s="135" t="n">
        <v>127</v>
      </c>
      <c r="B143" s="139" t="n"/>
      <c r="C143" s="176" t="inlineStr">
        <is>
          <t>01.7.02.07-0011</t>
        </is>
      </c>
      <c r="D143" s="244" t="inlineStr">
        <is>
          <t>Прессшпан листовой, марки А</t>
        </is>
      </c>
      <c r="E143" s="245" t="inlineStr">
        <is>
          <t>кг</t>
        </is>
      </c>
      <c r="F143" s="161" t="n">
        <v>0.021003963011889</v>
      </c>
      <c r="G143" s="247" t="n">
        <v>47.57</v>
      </c>
      <c r="H143" s="247">
        <f>ROUND(F143*G143,2)</f>
        <v/>
      </c>
    </row>
    <row r="144">
      <c r="A144" s="135" t="n">
        <v>128</v>
      </c>
      <c r="B144" s="139" t="n"/>
      <c r="C144" s="176" t="inlineStr">
        <is>
          <t>01.2.01.02-0052</t>
        </is>
      </c>
      <c r="D144" s="244" t="inlineStr">
        <is>
          <t>Битумы нефтяные строительные марки: БН-70/30</t>
        </is>
      </c>
      <c r="E144" s="245" t="inlineStr">
        <is>
          <t>т</t>
        </is>
      </c>
      <c r="F144" s="161" t="n">
        <v>0.00056010568031704</v>
      </c>
      <c r="G144" s="247" t="n">
        <v>1525.5</v>
      </c>
      <c r="H144" s="247">
        <f>ROUND(F144*G144,2)</f>
        <v/>
      </c>
    </row>
    <row r="145" ht="25.5" customHeight="1" s="198">
      <c r="A145" s="135" t="n">
        <v>129</v>
      </c>
      <c r="B145" s="139" t="n"/>
      <c r="C145" s="176" t="inlineStr">
        <is>
          <t>08.3.08.02-0052</t>
        </is>
      </c>
      <c r="D145" s="244" t="inlineStr">
        <is>
          <t>Сталь угловая равнополочная, марка стали: ВСт3кп2, размером 50x50x5 мм</t>
        </is>
      </c>
      <c r="E145" s="245" t="inlineStr">
        <is>
          <t>т</t>
        </is>
      </c>
      <c r="F145" s="161" t="n">
        <v>0.00014002642007926</v>
      </c>
      <c r="G145" s="247" t="n">
        <v>5763</v>
      </c>
      <c r="H145" s="247">
        <f>ROUND(F145*G145,2)</f>
        <v/>
      </c>
    </row>
    <row r="146">
      <c r="A146" s="135" t="n">
        <v>130</v>
      </c>
      <c r="B146" s="139" t="n"/>
      <c r="C146" s="176" t="inlineStr">
        <is>
          <t>14.5.09.02-0002</t>
        </is>
      </c>
      <c r="D146" s="244" t="inlineStr">
        <is>
          <t>Ксилол нефтяной марки А</t>
        </is>
      </c>
      <c r="E146" s="245" t="inlineStr">
        <is>
          <t>т</t>
        </is>
      </c>
      <c r="F146" s="161" t="n">
        <v>0.00010501981505945</v>
      </c>
      <c r="G146" s="247" t="n">
        <v>7640</v>
      </c>
      <c r="H146" s="247">
        <f>ROUND(F146*G146,2)</f>
        <v/>
      </c>
    </row>
    <row r="147">
      <c r="A147" s="135" t="n">
        <v>131</v>
      </c>
      <c r="B147" s="139" t="n"/>
      <c r="C147" s="176" t="inlineStr">
        <is>
          <t>01.7.20.08-0071</t>
        </is>
      </c>
      <c r="D147" s="244" t="inlineStr">
        <is>
          <t>Канаты пеньковые пропитанные</t>
        </is>
      </c>
      <c r="E147" s="245" t="inlineStr">
        <is>
          <t>т</t>
        </is>
      </c>
      <c r="F147" s="161" t="n">
        <v>2.1003963011889e-05</v>
      </c>
      <c r="G147" s="247" t="n">
        <v>37900</v>
      </c>
      <c r="H147" s="247">
        <f>ROUND(F147*G147,2)</f>
        <v/>
      </c>
    </row>
    <row r="148">
      <c r="A148" s="135" t="n">
        <v>132</v>
      </c>
      <c r="B148" s="139" t="n"/>
      <c r="C148" s="176" t="inlineStr">
        <is>
          <t>14.5.09.11-0101</t>
        </is>
      </c>
      <c r="D148" s="244" t="inlineStr">
        <is>
          <t>Уайт-спирит</t>
        </is>
      </c>
      <c r="E148" s="245" t="inlineStr">
        <is>
          <t>т</t>
        </is>
      </c>
      <c r="F148" s="161" t="n">
        <v>9.1017173051519e-05</v>
      </c>
      <c r="G148" s="247" t="n">
        <v>6667</v>
      </c>
      <c r="H148" s="247">
        <f>ROUND(F148*G148,2)</f>
        <v/>
      </c>
    </row>
    <row r="149" ht="25.5" customHeight="1" s="198">
      <c r="A149" s="135" t="n">
        <v>133</v>
      </c>
      <c r="B149" s="139" t="n"/>
      <c r="C149" s="176" t="inlineStr">
        <is>
          <t>11.1.03.05-0085</t>
        </is>
      </c>
      <c r="D149" s="244" t="inlineStr">
        <is>
          <t>Доски необрезные хвойных пород длиной: 4-6,5 м, все ширины, толщиной 44 мм и более, III сорта</t>
        </is>
      </c>
      <c r="E149" s="245" t="inlineStr">
        <is>
          <t>м3</t>
        </is>
      </c>
      <c r="F149" s="161" t="n">
        <v>0.00084015852047556</v>
      </c>
      <c r="G149" s="247" t="n">
        <v>684</v>
      </c>
      <c r="H149" s="247">
        <f>ROUND(F149*G149,2)</f>
        <v/>
      </c>
    </row>
    <row r="150" ht="25.5" customFormat="1" customHeight="1" s="199">
      <c r="A150" s="135" t="n">
        <v>134</v>
      </c>
      <c r="B150" s="139" t="n"/>
      <c r="C150" s="176" t="inlineStr">
        <is>
          <t>01.2.01.01-0019</t>
        </is>
      </c>
      <c r="D150" s="244" t="inlineStr">
        <is>
          <t>Битумы нефтяные дорожные марки: БНД-60/90, БНД 90/130</t>
        </is>
      </c>
      <c r="E150" s="245" t="inlineStr">
        <is>
          <t>т</t>
        </is>
      </c>
      <c r="F150" s="161" t="n">
        <v>0.00029405548216645</v>
      </c>
      <c r="G150" s="247" t="n">
        <v>1690</v>
      </c>
      <c r="H150" s="247">
        <f>ROUND(F150*G150,2)</f>
        <v/>
      </c>
    </row>
    <row r="151">
      <c r="A151" s="135" t="n">
        <v>135</v>
      </c>
      <c r="B151" s="139" t="n"/>
      <c r="C151" s="176" t="inlineStr">
        <is>
          <t>01.3.01.06-0023</t>
        </is>
      </c>
      <c r="D151" s="244" t="inlineStr">
        <is>
          <t>Смазка № 9</t>
        </is>
      </c>
      <c r="E151" s="245" t="inlineStr">
        <is>
          <t>т</t>
        </is>
      </c>
      <c r="F151" s="161" t="n">
        <v>2.1003963011889e-05</v>
      </c>
      <c r="G151" s="247" t="n">
        <v>20600</v>
      </c>
      <c r="H151" s="247">
        <f>ROUND(F151*G151,2)</f>
        <v/>
      </c>
    </row>
    <row r="152">
      <c r="A152" s="135" t="n">
        <v>136</v>
      </c>
      <c r="B152" s="139" t="n"/>
      <c r="C152" s="176" t="inlineStr">
        <is>
          <t>01.2.03.03-0043</t>
        </is>
      </c>
      <c r="D152" s="244" t="inlineStr">
        <is>
          <t>Мастика битумно-кукерсольная холодная</t>
        </is>
      </c>
      <c r="E152" s="245" t="inlineStr">
        <is>
          <t>т</t>
        </is>
      </c>
      <c r="F152" s="161" t="n">
        <v>0.0001330250990753</v>
      </c>
      <c r="G152" s="247" t="n">
        <v>3219.2</v>
      </c>
      <c r="H152" s="247">
        <f>ROUND(F152*G152,2)</f>
        <v/>
      </c>
      <c r="K152" s="116" t="n"/>
    </row>
    <row r="153">
      <c r="A153" s="135" t="n">
        <v>137</v>
      </c>
      <c r="B153" s="139" t="n"/>
      <c r="C153" s="176" t="inlineStr">
        <is>
          <t>01.7.11.07-0044</t>
        </is>
      </c>
      <c r="D153" s="244" t="inlineStr">
        <is>
          <t>Электроды диаметром: 5 мм Э42</t>
        </is>
      </c>
      <c r="E153" s="245" t="inlineStr">
        <is>
          <t>т</t>
        </is>
      </c>
      <c r="F153" s="161" t="n">
        <v>3.5006605019815e-05</v>
      </c>
      <c r="G153" s="247" t="n">
        <v>9765</v>
      </c>
      <c r="H153" s="247">
        <f>ROUND(F153*G153,2)</f>
        <v/>
      </c>
      <c r="K153" s="116" t="n"/>
    </row>
    <row r="154" ht="25.5" customHeight="1" s="198">
      <c r="A154" s="135" t="n">
        <v>138</v>
      </c>
      <c r="B154" s="139" t="n"/>
      <c r="C154" s="176" t="inlineStr">
        <is>
          <t>11.1.03.01-0077</t>
        </is>
      </c>
      <c r="D154" s="244" t="inlineStr">
        <is>
          <t>Бруски обрезные хвойных пород длиной: 4-6,5 м, шириной 75-150 мм, толщиной 40-75 мм, I сорта</t>
        </is>
      </c>
      <c r="E154" s="245" t="inlineStr">
        <is>
          <t>м3</t>
        </is>
      </c>
      <c r="F154" s="161" t="n">
        <v>0.00018203434610304</v>
      </c>
      <c r="G154" s="247" t="n">
        <v>1700</v>
      </c>
      <c r="H154" s="247">
        <f>ROUND(F154*G154,2)</f>
        <v/>
      </c>
      <c r="K154" s="116" t="n"/>
    </row>
    <row r="155">
      <c r="A155" s="135" t="n">
        <v>139</v>
      </c>
      <c r="B155" s="139" t="n"/>
      <c r="C155" s="176" t="inlineStr">
        <is>
          <t>01.7.20.08-0102</t>
        </is>
      </c>
      <c r="D155" s="244" t="inlineStr">
        <is>
          <t>Миткаль «Т-2» суровый (суровье)</t>
        </is>
      </c>
      <c r="E155" s="245" t="inlineStr">
        <is>
          <t>10 м</t>
        </is>
      </c>
      <c r="F155" s="161" t="n">
        <v>0.0042007926023778</v>
      </c>
      <c r="G155" s="247" t="n">
        <v>73.65000000000001</v>
      </c>
      <c r="H155" s="247">
        <f>ROUND(F155*G155,2)</f>
        <v/>
      </c>
    </row>
    <row r="156">
      <c r="A156" s="135" t="n">
        <v>140</v>
      </c>
      <c r="B156" s="139" t="n"/>
      <c r="C156" s="176" t="inlineStr">
        <is>
          <t>01.1.02.10-0021</t>
        </is>
      </c>
      <c r="D156" s="244" t="inlineStr">
        <is>
          <t>Асбест хризотиловый марки: К-6-30</t>
        </is>
      </c>
      <c r="E156" s="245" t="inlineStr">
        <is>
          <t>т</t>
        </is>
      </c>
      <c r="F156" s="161" t="n">
        <v>0.00023804491413474</v>
      </c>
      <c r="G156" s="247" t="n">
        <v>1160</v>
      </c>
      <c r="H156" s="247">
        <f>ROUND(F156*G156,2)</f>
        <v/>
      </c>
    </row>
    <row r="157">
      <c r="A157" s="135" t="n">
        <v>141</v>
      </c>
      <c r="B157" s="139" t="n"/>
      <c r="C157" s="176" t="inlineStr">
        <is>
          <t>14.4.03.03-0002</t>
        </is>
      </c>
      <c r="D157" s="244" t="inlineStr">
        <is>
          <t>Лак битумный: БТ-123</t>
        </is>
      </c>
      <c r="E157" s="245" t="inlineStr">
        <is>
          <t>т</t>
        </is>
      </c>
      <c r="F157" s="161" t="n">
        <v>3.5006605019815e-05</v>
      </c>
      <c r="G157" s="247" t="n">
        <v>7826.9</v>
      </c>
      <c r="H157" s="247">
        <f>ROUND(F157*G157,2)</f>
        <v/>
      </c>
    </row>
    <row r="158" ht="51" customHeight="1" s="198">
      <c r="A158" s="135" t="n">
        <v>142</v>
      </c>
      <c r="B158" s="139" t="n"/>
      <c r="C158" s="176" t="inlineStr">
        <is>
          <t>08.2.02.11-0007</t>
        </is>
      </c>
      <c r="D158" s="24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45" t="inlineStr">
        <is>
          <t>10 м</t>
        </is>
      </c>
      <c r="F158" s="161" t="n">
        <v>0.0041167767503302</v>
      </c>
      <c r="G158" s="247" t="n">
        <v>50.24</v>
      </c>
      <c r="H158" s="247">
        <f>ROUND(F158*G158,2)</f>
        <v/>
      </c>
    </row>
    <row r="159">
      <c r="A159" s="135" t="n">
        <v>143</v>
      </c>
      <c r="B159" s="139" t="n"/>
      <c r="C159" s="176" t="inlineStr">
        <is>
          <t>01.7.11.07-0035</t>
        </is>
      </c>
      <c r="D159" s="244" t="inlineStr">
        <is>
          <t>Электроды диаметром: 4 мм Э46</t>
        </is>
      </c>
      <c r="E159" s="245" t="inlineStr">
        <is>
          <t>т</t>
        </is>
      </c>
      <c r="F159" s="161" t="n">
        <v>1.4002642007926e-05</v>
      </c>
      <c r="G159" s="247" t="n">
        <v>10749</v>
      </c>
      <c r="H159" s="247">
        <f>ROUND(F159*G159,2)</f>
        <v/>
      </c>
    </row>
    <row r="160" ht="25.5" customHeight="1" s="198">
      <c r="A160" s="135" t="n">
        <v>144</v>
      </c>
      <c r="B160" s="139" t="n"/>
      <c r="C160" s="176" t="inlineStr">
        <is>
          <t>03.2.01.01-0001</t>
        </is>
      </c>
      <c r="D160" s="244" t="inlineStr">
        <is>
          <t>Портландцемент общестроительного назначения бездобавочный, марки: 400</t>
        </is>
      </c>
      <c r="E160" s="245" t="inlineStr">
        <is>
          <t>т</t>
        </is>
      </c>
      <c r="F160" s="161" t="n">
        <v>0.00035006605019815</v>
      </c>
      <c r="G160" s="247" t="n">
        <v>412</v>
      </c>
      <c r="H160" s="247">
        <f>ROUND(F160*G160,2)</f>
        <v/>
      </c>
    </row>
    <row r="161">
      <c r="A161" s="135" t="n">
        <v>145</v>
      </c>
      <c r="B161" s="139" t="n"/>
      <c r="C161" s="176" t="inlineStr">
        <is>
          <t>01.7.07.08-0003</t>
        </is>
      </c>
      <c r="D161" s="244" t="inlineStr">
        <is>
          <t>Мыло твердое хозяйственное 72%</t>
        </is>
      </c>
      <c r="E161" s="245" t="inlineStr">
        <is>
          <t>шт</t>
        </is>
      </c>
      <c r="F161" s="161" t="n">
        <v>0.031323910171731</v>
      </c>
      <c r="G161" s="247" t="n">
        <v>4.5</v>
      </c>
      <c r="H161" s="247">
        <f>ROUND(F161*G161,2)</f>
        <v/>
      </c>
    </row>
    <row r="162">
      <c r="A162" s="135" t="n">
        <v>146</v>
      </c>
      <c r="B162" s="139" t="n"/>
      <c r="C162" s="176" t="inlineStr">
        <is>
          <t>01.3.01.01-0001</t>
        </is>
      </c>
      <c r="D162" s="244" t="inlineStr">
        <is>
          <t>Бензин авиационный Б-70</t>
        </is>
      </c>
      <c r="E162" s="245" t="inlineStr">
        <is>
          <t>т</t>
        </is>
      </c>
      <c r="F162" s="161" t="n">
        <v>2.8005284015852e-05</v>
      </c>
      <c r="G162" s="247" t="n">
        <v>4488.4</v>
      </c>
      <c r="H162" s="247">
        <f>ROUND(F162*G162,2)</f>
        <v/>
      </c>
    </row>
    <row r="163" ht="25.5" customHeight="1" s="198">
      <c r="A163" s="135" t="n">
        <v>147</v>
      </c>
      <c r="B163" s="139" t="n"/>
      <c r="C163" s="176" t="inlineStr">
        <is>
          <t>01.3.01.06-0050</t>
        </is>
      </c>
      <c r="D163" s="244" t="inlineStr">
        <is>
          <t>Смазка универсальная тугоплавкая УТ (консталин жировой)</t>
        </is>
      </c>
      <c r="E163" s="245" t="inlineStr">
        <is>
          <t>т</t>
        </is>
      </c>
      <c r="F163" s="161" t="n">
        <v>7.001321003963e-06</v>
      </c>
      <c r="G163" s="247" t="n">
        <v>17500</v>
      </c>
      <c r="H163" s="247">
        <f>ROUND(F163*G163,2)</f>
        <v/>
      </c>
    </row>
    <row r="164">
      <c r="A164" s="135" t="n">
        <v>148</v>
      </c>
      <c r="B164" s="139" t="n"/>
      <c r="C164" s="176" t="inlineStr">
        <is>
          <t>01.7.15.06-0121</t>
        </is>
      </c>
      <c r="D164" s="244" t="inlineStr">
        <is>
          <t>Гвозди строительные с плоской головкой: 1,6x50 мм</t>
        </is>
      </c>
      <c r="E164" s="245" t="inlineStr">
        <is>
          <t>т</t>
        </is>
      </c>
      <c r="F164" s="161" t="n">
        <v>1.4002642007926e-05</v>
      </c>
      <c r="G164" s="247" t="n">
        <v>8475</v>
      </c>
      <c r="H164" s="247">
        <f>ROUND(F164*G164,2)</f>
        <v/>
      </c>
    </row>
    <row r="165" customFormat="1" s="199">
      <c r="A165" s="135" t="n">
        <v>149</v>
      </c>
      <c r="B165" s="139" t="n"/>
      <c r="C165" s="176" t="inlineStr">
        <is>
          <t>14.1.02.01-0002</t>
        </is>
      </c>
      <c r="D165" s="244" t="inlineStr">
        <is>
          <t>Клей БМК-5к</t>
        </is>
      </c>
      <c r="E165" s="245" t="inlineStr">
        <is>
          <t>кг</t>
        </is>
      </c>
      <c r="F165" s="161" t="n">
        <v>0.0042007926023778</v>
      </c>
      <c r="G165" s="247" t="n">
        <v>25.8</v>
      </c>
      <c r="H165" s="247">
        <f>ROUND(F165*G165,2)</f>
        <v/>
      </c>
    </row>
    <row r="166">
      <c r="A166" s="135" t="n">
        <v>150</v>
      </c>
      <c r="B166" s="139" t="n"/>
      <c r="C166" s="176" t="inlineStr">
        <is>
          <t>14.5.09.01-0001</t>
        </is>
      </c>
      <c r="D166" s="244" t="inlineStr">
        <is>
          <t>Ацетон технический, сорт I</t>
        </is>
      </c>
      <c r="E166" s="245" t="inlineStr">
        <is>
          <t>т</t>
        </is>
      </c>
      <c r="F166" s="161" t="n">
        <v>1.4002642007926e-05</v>
      </c>
      <c r="G166" s="247" t="n">
        <v>7716.7</v>
      </c>
      <c r="H166" s="247">
        <f>ROUND(F166*G166,2)</f>
        <v/>
      </c>
    </row>
    <row r="167">
      <c r="A167" s="135" t="n">
        <v>151</v>
      </c>
      <c r="B167" s="139" t="n"/>
      <c r="C167" s="176" t="inlineStr">
        <is>
          <t>01.7.11.07-0045</t>
        </is>
      </c>
      <c r="D167" s="244" t="inlineStr">
        <is>
          <t>Электроды диаметром: 5 мм Э42А</t>
        </is>
      </c>
      <c r="E167" s="245" t="inlineStr">
        <is>
          <t>т</t>
        </is>
      </c>
      <c r="F167" s="161" t="n">
        <v>7.001321003963e-06</v>
      </c>
      <c r="G167" s="247" t="n">
        <v>10362</v>
      </c>
      <c r="H167" s="247">
        <f>ROUND(F167*G167,2)</f>
        <v/>
      </c>
      <c r="K167" s="116" t="n"/>
    </row>
    <row r="168" ht="25.5" customHeight="1" s="198">
      <c r="A168" s="135" t="n">
        <v>152</v>
      </c>
      <c r="B168" s="139" t="n"/>
      <c r="C168" s="176" t="inlineStr">
        <is>
          <t>02.2.05.04-0093</t>
        </is>
      </c>
      <c r="D168" s="244" t="inlineStr">
        <is>
          <t>Щебень из природного камня для строительных работ марка: 800, фракция 20-40 мм</t>
        </is>
      </c>
      <c r="E168" s="245" t="inlineStr">
        <is>
          <t>м3</t>
        </is>
      </c>
      <c r="F168" s="161" t="n">
        <v>0.00062311756935271</v>
      </c>
      <c r="G168" s="247" t="n">
        <v>108.4</v>
      </c>
      <c r="H168" s="247">
        <f>ROUND(F168*G168,2)</f>
        <v/>
      </c>
      <c r="K168" s="116" t="n"/>
    </row>
    <row r="169" ht="25.5" customHeight="1" s="198">
      <c r="A169" s="135" t="n">
        <v>153</v>
      </c>
      <c r="B169" s="139" t="n"/>
      <c r="C169" s="176" t="inlineStr">
        <is>
          <t>11.1.03.01-0079</t>
        </is>
      </c>
      <c r="D169" s="244" t="inlineStr">
        <is>
          <t>Бруски обрезные хвойных пород длиной: 4-6,5 м, шириной 75-150 мм, толщиной 40-75 мм, III сорта</t>
        </is>
      </c>
      <c r="E169" s="245" t="inlineStr">
        <is>
          <t>м3</t>
        </is>
      </c>
      <c r="F169" s="161" t="n">
        <v>4.9009247027741e-05</v>
      </c>
      <c r="G169" s="247" t="n">
        <v>1287</v>
      </c>
      <c r="H169" s="247">
        <f>ROUND(F169*G169,2)</f>
        <v/>
      </c>
      <c r="K169" s="116" t="n"/>
    </row>
    <row r="170">
      <c r="A170" s="135" t="n">
        <v>154</v>
      </c>
      <c r="B170" s="139" t="n"/>
      <c r="C170" s="176" t="inlineStr">
        <is>
          <t>04.1.02.05-0007</t>
        </is>
      </c>
      <c r="D170" s="244" t="inlineStr">
        <is>
          <t>Бетон тяжелый, класс: В20 (М250)</t>
        </is>
      </c>
      <c r="E170" s="245" t="inlineStr">
        <is>
          <t>м3</t>
        </is>
      </c>
      <c r="F170" s="161" t="n">
        <v>5.6010568031704e-05</v>
      </c>
      <c r="G170" s="247" t="n">
        <v>665</v>
      </c>
      <c r="H170" s="247">
        <f>ROUND(F170*G170,2)</f>
        <v/>
      </c>
    </row>
    <row r="171">
      <c r="A171" s="135" t="n">
        <v>155</v>
      </c>
      <c r="B171" s="139" t="n"/>
      <c r="C171" s="176" t="inlineStr">
        <is>
          <t>01.7.20.08-0051</t>
        </is>
      </c>
      <c r="D171" s="244" t="inlineStr">
        <is>
          <t>Ветошь</t>
        </is>
      </c>
      <c r="E171" s="245" t="inlineStr">
        <is>
          <t>кг</t>
        </is>
      </c>
      <c r="F171" s="161" t="n">
        <v>0.016453104359313</v>
      </c>
      <c r="G171" s="247" t="n">
        <v>1.82</v>
      </c>
      <c r="H171" s="247">
        <f>ROUND(F171*G171,2)</f>
        <v/>
      </c>
    </row>
    <row r="172">
      <c r="A172" s="135" t="n">
        <v>156</v>
      </c>
      <c r="B172" s="139" t="n"/>
      <c r="C172" s="176" t="inlineStr">
        <is>
          <t>03.1.02.03-0015</t>
        </is>
      </c>
      <c r="D172" s="244" t="inlineStr">
        <is>
          <t>Известь строительная: негашеная хлорная, марки А</t>
        </is>
      </c>
      <c r="E172" s="245" t="inlineStr">
        <is>
          <t>кг</t>
        </is>
      </c>
      <c r="F172" s="161" t="n">
        <v>0.007953500660502001</v>
      </c>
      <c r="G172" s="247" t="n">
        <v>2.15</v>
      </c>
      <c r="H172" s="247">
        <f>ROUND(F172*G172,2)</f>
        <v/>
      </c>
    </row>
    <row r="175">
      <c r="B175" s="201" t="inlineStr">
        <is>
          <t>Составил ______________________    Д.А. Самуйленко</t>
        </is>
      </c>
    </row>
    <row r="176">
      <c r="B176" s="79" t="inlineStr">
        <is>
          <t xml:space="preserve">                         (подпись, инициалы, фамилия)</t>
        </is>
      </c>
    </row>
    <row r="178">
      <c r="B178" s="201" t="inlineStr">
        <is>
          <t>Проверил ______________________        А.В. Костянецкая</t>
        </is>
      </c>
    </row>
    <row r="179">
      <c r="B179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4" zoomScale="85" zoomScaleSheetLayoutView="85" workbookViewId="0">
      <selection activeCell="D45" sqref="D45"/>
    </sheetView>
  </sheetViews>
  <sheetFormatPr baseColWidth="8" defaultColWidth="9.140625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3.4257812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68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41" t="inlineStr">
        <is>
          <t>Ресурсная модель</t>
        </is>
      </c>
    </row>
    <row r="6">
      <c r="B6" s="107" t="n"/>
      <c r="C6" s="204" t="n"/>
      <c r="D6" s="204" t="n"/>
      <c r="E6" s="204" t="n"/>
    </row>
    <row r="7" ht="25.5" customHeight="1" s="198">
      <c r="B7" s="242" t="inlineStr">
        <is>
          <t>Наименование разрабатываемого показателя УНЦ — Ячейка двухобмоточного трансформатора масляного Т20/НН, мощность 25кВА</t>
        </is>
      </c>
    </row>
    <row r="8">
      <c r="B8" s="243" t="inlineStr">
        <is>
          <t>Единица измерения  — 1 ячейка</t>
        </is>
      </c>
    </row>
    <row r="9">
      <c r="B9" s="107" t="n"/>
      <c r="C9" s="204" t="n"/>
      <c r="D9" s="204" t="n"/>
      <c r="E9" s="204" t="n"/>
    </row>
    <row r="10" ht="51" customHeight="1" s="198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130" t="inlineStr">
        <is>
          <t>Оплата труда рабочих</t>
        </is>
      </c>
      <c r="C11" s="100">
        <f>'Прил.5 Расчет СМР и ОБ'!J14</f>
        <v/>
      </c>
      <c r="D11" s="101">
        <f>C11/$C$24</f>
        <v/>
      </c>
      <c r="E11" s="101">
        <f>C11/$C$40</f>
        <v/>
      </c>
    </row>
    <row r="12">
      <c r="B12" s="130" t="inlineStr">
        <is>
          <t>Эксплуатация машин основных</t>
        </is>
      </c>
      <c r="C12" s="100">
        <f>'Прил.5 Расчет СМР и ОБ'!J27</f>
        <v/>
      </c>
      <c r="D12" s="101">
        <f>C12/$C$24</f>
        <v/>
      </c>
      <c r="E12" s="101">
        <f>C12/$C$40</f>
        <v/>
      </c>
    </row>
    <row r="13">
      <c r="B13" s="130" t="inlineStr">
        <is>
          <t>Эксплуатация машин прочих</t>
        </is>
      </c>
      <c r="C13" s="100">
        <f>'Прил.5 Расчет СМР и ОБ'!J74</f>
        <v/>
      </c>
      <c r="D13" s="101">
        <f>C13/$C$24</f>
        <v/>
      </c>
      <c r="E13" s="101">
        <f>C13/$C$40</f>
        <v/>
      </c>
    </row>
    <row r="14">
      <c r="B14" s="130" t="inlineStr">
        <is>
          <t>ЭКСПЛУАТАЦИЯ МАШИН, ВСЕГО:</t>
        </is>
      </c>
      <c r="C14" s="100">
        <f>C13+C12</f>
        <v/>
      </c>
      <c r="D14" s="101">
        <f>C14/$C$24</f>
        <v/>
      </c>
      <c r="E14" s="101">
        <f>C14/$C$40</f>
        <v/>
      </c>
    </row>
    <row r="15">
      <c r="B15" s="130" t="inlineStr">
        <is>
          <t>в том числе зарплата машинистов</t>
        </is>
      </c>
      <c r="C15" s="100">
        <f>'Прил.5 Расчет СМР и ОБ'!J16</f>
        <v/>
      </c>
      <c r="D15" s="101">
        <f>C15/$C$24</f>
        <v/>
      </c>
      <c r="E15" s="101">
        <f>C15/$C$40</f>
        <v/>
      </c>
    </row>
    <row r="16">
      <c r="B16" s="130" t="inlineStr">
        <is>
          <t>Материалы основные</t>
        </is>
      </c>
      <c r="C16" s="100">
        <f>'Прил.5 Расчет СМР и ОБ'!J103</f>
        <v/>
      </c>
      <c r="D16" s="101">
        <f>C16/$C$24</f>
        <v/>
      </c>
      <c r="E16" s="101">
        <f>C16/$C$40</f>
        <v/>
      </c>
    </row>
    <row r="17">
      <c r="B17" s="130" t="inlineStr">
        <is>
          <t>Материалы прочие</t>
        </is>
      </c>
      <c r="C17" s="100">
        <f>'Прил.5 Расчет СМР и ОБ'!J185</f>
        <v/>
      </c>
      <c r="D17" s="101">
        <f>C17/$C$24</f>
        <v/>
      </c>
      <c r="E17" s="101">
        <f>C17/$C$40</f>
        <v/>
      </c>
      <c r="G17" s="105" t="n"/>
    </row>
    <row r="18">
      <c r="B18" s="130" t="inlineStr">
        <is>
          <t>МАТЕРИАЛЫ, ВСЕГО:</t>
        </is>
      </c>
      <c r="C18" s="100">
        <f>C17+C16</f>
        <v/>
      </c>
      <c r="D18" s="101">
        <f>C18/$C$24</f>
        <v/>
      </c>
      <c r="E18" s="101">
        <f>C18/$C$40</f>
        <v/>
      </c>
    </row>
    <row r="19">
      <c r="B19" s="130" t="inlineStr">
        <is>
          <t>ИТОГО</t>
        </is>
      </c>
      <c r="C19" s="100">
        <f>C18+C14+C11</f>
        <v/>
      </c>
      <c r="D19" s="101" t="n"/>
      <c r="E19" s="130" t="n"/>
    </row>
    <row r="20">
      <c r="B20" s="130" t="inlineStr">
        <is>
          <t>Сметная прибыль, руб.</t>
        </is>
      </c>
      <c r="C20" s="100">
        <f>ROUND(C21*(C11+C15),2)</f>
        <v/>
      </c>
      <c r="D20" s="101">
        <f>C20/$C$24</f>
        <v/>
      </c>
      <c r="E20" s="101">
        <f>C20/$C$40</f>
        <v/>
      </c>
    </row>
    <row r="21">
      <c r="B21" s="130" t="inlineStr">
        <is>
          <t>Сметная прибыль, %</t>
        </is>
      </c>
      <c r="C21" s="104">
        <f>'Прил.5 Расчет СМР и ОБ'!D189</f>
        <v/>
      </c>
      <c r="D21" s="101" t="n"/>
      <c r="E21" s="130" t="n"/>
    </row>
    <row r="22">
      <c r="B22" s="130" t="inlineStr">
        <is>
          <t>Накладные расходы, руб.</t>
        </is>
      </c>
      <c r="C22" s="100">
        <f>ROUND(C23*(C11+C15),2)</f>
        <v/>
      </c>
      <c r="D22" s="101">
        <f>C22/$C$24</f>
        <v/>
      </c>
      <c r="E22" s="101">
        <f>C22/$C$40</f>
        <v/>
      </c>
    </row>
    <row r="23">
      <c r="B23" s="130" t="inlineStr">
        <is>
          <t>Накладные расходы, %</t>
        </is>
      </c>
      <c r="C23" s="104">
        <f>'Прил.5 Расчет СМР и ОБ'!D188</f>
        <v/>
      </c>
      <c r="D23" s="101" t="n"/>
      <c r="E23" s="130" t="n"/>
    </row>
    <row r="24">
      <c r="B24" s="130" t="inlineStr">
        <is>
          <t>ВСЕГО СМР с НР и СП</t>
        </is>
      </c>
      <c r="C24" s="100">
        <f>C19+C20+C22</f>
        <v/>
      </c>
      <c r="D24" s="101">
        <f>C24/$C$24</f>
        <v/>
      </c>
      <c r="E24" s="101">
        <f>C24/$C$40</f>
        <v/>
      </c>
    </row>
    <row r="25" ht="25.5" customHeight="1" s="198">
      <c r="B25" s="130" t="inlineStr">
        <is>
          <t>ВСЕГО стоимость оборудования, в том числе</t>
        </is>
      </c>
      <c r="C25" s="100">
        <f>'Прил.5 Расчет СМР и ОБ'!J81</f>
        <v/>
      </c>
      <c r="D25" s="101" t="n"/>
      <c r="E25" s="101">
        <f>C25/$C$40</f>
        <v/>
      </c>
    </row>
    <row r="26" ht="25.5" customHeight="1" s="198">
      <c r="B26" s="130" t="inlineStr">
        <is>
          <t>стоимость оборудования технологического</t>
        </is>
      </c>
      <c r="C26" s="100">
        <f>'Прил.5 Расчет СМР и ОБ'!J82</f>
        <v/>
      </c>
      <c r="D26" s="101" t="n"/>
      <c r="E26" s="101">
        <f>C26/$C$40</f>
        <v/>
      </c>
    </row>
    <row r="27">
      <c r="B27" s="130" t="inlineStr">
        <is>
          <t>ИТОГО (СМР + ОБОРУДОВАНИЕ)</t>
        </is>
      </c>
      <c r="C27" s="177">
        <f>C24+C25</f>
        <v/>
      </c>
      <c r="D27" s="101" t="n"/>
      <c r="E27" s="101">
        <f>C27/$C$40</f>
        <v/>
      </c>
      <c r="G27" s="102" t="n"/>
    </row>
    <row r="28" ht="33" customHeight="1" s="198">
      <c r="B28" s="130" t="inlineStr">
        <is>
          <t>ПРОЧ. ЗАТР., УЧТЕННЫЕ ПОКАЗАТЕЛЕМ,  в том числе</t>
        </is>
      </c>
      <c r="C28" s="130" t="n"/>
      <c r="D28" s="130" t="n"/>
      <c r="E28" s="130" t="n"/>
    </row>
    <row r="29" ht="25.5" customHeight="1" s="198">
      <c r="B29" s="130" t="inlineStr">
        <is>
          <t>Временные здания и сооружения - 2,5%</t>
        </is>
      </c>
      <c r="C29" s="177">
        <f>ROUND(C24*2.5%,2)</f>
        <v/>
      </c>
      <c r="D29" s="130" t="n"/>
      <c r="E29" s="101">
        <f>C29/$C$40</f>
        <v/>
      </c>
    </row>
    <row r="30" ht="38.25" customHeight="1" s="198">
      <c r="B30" s="130" t="inlineStr">
        <is>
          <t>Дополнительные затраты при производстве строительно-монтажных работ в зимнее время - 2,1%</t>
        </is>
      </c>
      <c r="C30" s="177">
        <f>ROUND((C24+C29)*2.1%,2)</f>
        <v/>
      </c>
      <c r="D30" s="130" t="n"/>
      <c r="E30" s="101">
        <f>C30/$C$40</f>
        <v/>
      </c>
    </row>
    <row r="31">
      <c r="B31" s="130" t="inlineStr">
        <is>
          <t>Пусконаладочные работы</t>
        </is>
      </c>
      <c r="C31" s="177" t="n">
        <v>27579.03</v>
      </c>
      <c r="D31" s="130" t="n"/>
      <c r="E31" s="101">
        <f>C31/$C$40</f>
        <v/>
      </c>
    </row>
    <row r="32" ht="25.5" customHeight="1" s="198">
      <c r="B32" s="130" t="inlineStr">
        <is>
          <t>Затраты по перевозке работников к месту работы и обратно</t>
        </is>
      </c>
      <c r="C32" s="177" t="n">
        <v>0</v>
      </c>
      <c r="D32" s="130" t="n"/>
      <c r="E32" s="101">
        <f>C32/$C$40</f>
        <v/>
      </c>
    </row>
    <row r="33" ht="25.5" customHeight="1" s="198">
      <c r="B33" s="130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130" t="n"/>
      <c r="E33" s="101">
        <f>C33/$C$40</f>
        <v/>
      </c>
    </row>
    <row r="34" ht="51" customHeight="1" s="198">
      <c r="B34" s="13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130" t="n"/>
      <c r="E34" s="101">
        <f>C34/$C$40</f>
        <v/>
      </c>
    </row>
    <row r="35" ht="76.5" customHeight="1" s="198">
      <c r="B35" s="13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130" t="n"/>
      <c r="E35" s="101">
        <f>C35/$C$40</f>
        <v/>
      </c>
    </row>
    <row r="36" ht="25.5" customHeight="1" s="198">
      <c r="B36" s="130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130" t="n"/>
      <c r="E36" s="101">
        <f>C36/$C$40</f>
        <v/>
      </c>
      <c r="L36" s="102" t="n"/>
    </row>
    <row r="37">
      <c r="B37" s="130" t="inlineStr">
        <is>
          <t>Авторский надзор - 0,2%</t>
        </is>
      </c>
      <c r="C37" s="177">
        <f>ROUND((C27+C32+C33+C34+C35+C29+C31+C30)*0.2%,2)</f>
        <v/>
      </c>
      <c r="D37" s="130" t="n"/>
      <c r="E37" s="101">
        <f>C37/$C$40</f>
        <v/>
      </c>
      <c r="L37" s="102" t="n"/>
    </row>
    <row r="38" ht="38.25" customHeight="1" s="198">
      <c r="B38" s="130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130" t="n"/>
      <c r="E38" s="101">
        <f>C38/$C$40</f>
        <v/>
      </c>
    </row>
    <row r="39" ht="13.7" customHeight="1" s="198">
      <c r="B39" s="130" t="inlineStr">
        <is>
          <t>Непредвиденные расходы</t>
        </is>
      </c>
      <c r="C39" s="100">
        <f>ROUND(C38*3%,2)</f>
        <v/>
      </c>
      <c r="D39" s="130" t="n"/>
      <c r="E39" s="101">
        <f>C39/$C$38</f>
        <v/>
      </c>
    </row>
    <row r="40">
      <c r="B40" s="130" t="inlineStr">
        <is>
          <t>ВСЕГО:</t>
        </is>
      </c>
      <c r="C40" s="100">
        <f>C39+C38</f>
        <v/>
      </c>
      <c r="D40" s="130" t="n"/>
      <c r="E40" s="101">
        <f>C40/$C$40</f>
        <v/>
      </c>
    </row>
    <row r="41">
      <c r="B41" s="130" t="inlineStr">
        <is>
          <t>ИТОГО ПОКАЗАТЕЛЬ НА ЕД. ИЗМ.</t>
        </is>
      </c>
      <c r="C41" s="100">
        <f>C40/'Прил.5 Расчет СМР и ОБ'!E192</f>
        <v/>
      </c>
      <c r="D41" s="130" t="n"/>
      <c r="E41" s="130" t="n"/>
    </row>
    <row r="42">
      <c r="B42" s="98" t="n"/>
      <c r="C42" s="204" t="n"/>
      <c r="D42" s="204" t="n"/>
      <c r="E42" s="204" t="n"/>
    </row>
    <row r="43">
      <c r="B43" s="98" t="inlineStr">
        <is>
          <t>Составил ____________________________  Д.А. Самуйленко</t>
        </is>
      </c>
      <c r="C43" s="204" t="n"/>
      <c r="D43" s="204" t="n"/>
      <c r="E43" s="204" t="n"/>
    </row>
    <row r="44">
      <c r="B44" s="98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98" t="n"/>
      <c r="C45" s="204" t="n"/>
      <c r="D45" s="204" t="n"/>
      <c r="E45" s="204" t="n"/>
    </row>
    <row r="46">
      <c r="B46" s="98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43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view="pageBreakPreview" zoomScale="85" workbookViewId="0">
      <selection activeCell="N20" sqref="N2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3.570312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  <col width="9.140625" customWidth="1" style="198" min="13" max="13"/>
  </cols>
  <sheetData>
    <row r="1" s="198">
      <c r="A1" s="205" t="n"/>
      <c r="B1" s="205" t="n"/>
      <c r="C1" s="205" t="n"/>
      <c r="D1" s="205" t="n"/>
      <c r="E1" s="205" t="n"/>
      <c r="F1" s="205" t="n"/>
      <c r="G1" s="205" t="n"/>
      <c r="H1" s="205" t="n"/>
      <c r="I1" s="205" t="n"/>
      <c r="J1" s="205" t="n"/>
      <c r="K1" s="205" t="n"/>
      <c r="L1" s="205" t="n"/>
      <c r="M1" s="205" t="n"/>
      <c r="N1" s="205" t="n"/>
    </row>
    <row r="2" ht="15.75" customHeight="1" s="198">
      <c r="A2" s="205" t="n"/>
      <c r="B2" s="205" t="n"/>
      <c r="C2" s="205" t="n"/>
      <c r="D2" s="205" t="n"/>
      <c r="E2" s="205" t="n"/>
      <c r="F2" s="205" t="n"/>
      <c r="G2" s="205" t="n"/>
      <c r="H2" s="262" t="inlineStr">
        <is>
          <t>Приложение №5</t>
        </is>
      </c>
      <c r="K2" s="205" t="n"/>
      <c r="L2" s="205" t="n"/>
      <c r="M2" s="205" t="n"/>
      <c r="N2" s="205" t="n"/>
    </row>
    <row r="3" s="198">
      <c r="A3" s="205" t="n"/>
      <c r="B3" s="205" t="n"/>
      <c r="C3" s="205" t="n"/>
      <c r="D3" s="205" t="n"/>
      <c r="E3" s="205" t="n"/>
      <c r="F3" s="205" t="n"/>
      <c r="G3" s="205" t="n"/>
      <c r="H3" s="205" t="n"/>
      <c r="I3" s="205" t="n"/>
      <c r="J3" s="205" t="n"/>
      <c r="K3" s="205" t="n"/>
      <c r="L3" s="205" t="n"/>
      <c r="M3" s="205" t="n"/>
      <c r="N3" s="205" t="n"/>
    </row>
    <row r="4" ht="12.75" customFormat="1" customHeight="1" s="204">
      <c r="A4" s="241" t="inlineStr">
        <is>
          <t>Расчет стоимости СМР и оборудования</t>
        </is>
      </c>
    </row>
    <row r="5" ht="12.75" customFormat="1" customHeight="1" s="204">
      <c r="A5" s="241" t="n"/>
      <c r="B5" s="241" t="n"/>
      <c r="C5" s="47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204">
      <c r="A6" s="74" t="inlineStr">
        <is>
          <t>Наименование разрабатываемого показателя УНЦ</t>
        </is>
      </c>
      <c r="B6" s="73" t="n"/>
      <c r="C6" s="73" t="n"/>
      <c r="D6" s="263" t="inlineStr">
        <is>
          <t>Ячейка двухобмоточного трансформатора масляного Т20/НН, мощность 25кВА</t>
        </is>
      </c>
    </row>
    <row r="7" ht="12.75" customFormat="1" customHeight="1" s="204">
      <c r="A7" s="263" t="inlineStr">
        <is>
          <t>Единица измерения  — 1 ячейка</t>
        </is>
      </c>
      <c r="I7" s="242" t="n"/>
      <c r="J7" s="242" t="n"/>
    </row>
    <row r="8" ht="13.7" customFormat="1" customHeight="1" s="204">
      <c r="A8" s="263" t="n"/>
    </row>
    <row r="9" ht="27" customHeight="1" s="198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277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277" t="n"/>
      <c r="K9" s="205" t="n"/>
      <c r="L9" s="205" t="n"/>
      <c r="M9" s="205" t="n"/>
      <c r="N9" s="205" t="n"/>
    </row>
    <row r="10" ht="28.5" customHeight="1" s="198">
      <c r="A10" s="279" t="n"/>
      <c r="B10" s="279" t="n"/>
      <c r="C10" s="279" t="n"/>
      <c r="D10" s="279" t="n"/>
      <c r="E10" s="279" t="n"/>
      <c r="F10" s="245" t="inlineStr">
        <is>
          <t>на ед. изм.</t>
        </is>
      </c>
      <c r="G10" s="245" t="inlineStr">
        <is>
          <t>общая</t>
        </is>
      </c>
      <c r="H10" s="279" t="n"/>
      <c r="I10" s="245" t="inlineStr">
        <is>
          <t>на ед. изм.</t>
        </is>
      </c>
      <c r="J10" s="245" t="inlineStr">
        <is>
          <t>общая</t>
        </is>
      </c>
      <c r="K10" s="205" t="n"/>
      <c r="L10" s="205" t="n"/>
      <c r="M10" s="205" t="n"/>
      <c r="N10" s="205" t="n"/>
    </row>
    <row r="11" s="198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66" t="n">
        <v>9</v>
      </c>
      <c r="J11" s="266" t="n">
        <v>10</v>
      </c>
      <c r="K11" s="205" t="n"/>
      <c r="L11" s="205" t="n"/>
      <c r="M11" s="205" t="n"/>
      <c r="N11" s="205" t="n"/>
    </row>
    <row r="12">
      <c r="A12" s="245" t="n"/>
      <c r="B12" s="249" t="inlineStr">
        <is>
          <t>Затраты труда рабочих-строителей</t>
        </is>
      </c>
      <c r="C12" s="276" t="n"/>
      <c r="D12" s="276" t="n"/>
      <c r="E12" s="276" t="n"/>
      <c r="F12" s="276" t="n"/>
      <c r="G12" s="276" t="n"/>
      <c r="H12" s="277" t="n"/>
      <c r="I12" s="64" t="n"/>
      <c r="J12" s="64" t="n"/>
    </row>
    <row r="13" ht="25.5" customHeight="1" s="198">
      <c r="A13" s="245" t="n">
        <v>1</v>
      </c>
      <c r="B13" s="179" t="inlineStr">
        <is>
          <t>1-3-2</t>
        </is>
      </c>
      <c r="C13" s="251" t="inlineStr">
        <is>
          <t>Затраты труда рабочих-строителей среднего разряда (3,2)</t>
        </is>
      </c>
      <c r="D13" s="252" t="inlineStr">
        <is>
          <t>чел.-ч.</t>
        </is>
      </c>
      <c r="E13" s="182" t="n">
        <v>152.16001378439</v>
      </c>
      <c r="F13" s="184" t="n">
        <v>8.74</v>
      </c>
      <c r="G13" s="184">
        <f>ROUND(E13*F13,2)</f>
        <v/>
      </c>
      <c r="H13" s="193">
        <f>G13/G14</f>
        <v/>
      </c>
      <c r="I13" s="169">
        <f>ФОТр.тек.!E13</f>
        <v/>
      </c>
      <c r="J13" s="169">
        <f>ROUND(I13*E13,2)</f>
        <v/>
      </c>
    </row>
    <row r="14" ht="25.5" customFormat="1" customHeight="1" s="205">
      <c r="A14" s="245" t="n"/>
      <c r="B14" s="252" t="n"/>
      <c r="C14" s="256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182">
        <f>SUM(E13:E13)</f>
        <v/>
      </c>
      <c r="F14" s="184" t="n"/>
      <c r="G14" s="184">
        <f>SUM(G13:G13)</f>
        <v/>
      </c>
      <c r="H14" s="255" t="n">
        <v>1</v>
      </c>
      <c r="I14" s="64" t="n"/>
      <c r="J14" s="169">
        <f>SUM(J13:J13)</f>
        <v/>
      </c>
    </row>
    <row r="15" ht="14.25" customFormat="1" customHeight="1" s="205">
      <c r="A15" s="245" t="n"/>
      <c r="B15" s="251" t="inlineStr">
        <is>
          <t>Затраты труда машинистов</t>
        </is>
      </c>
      <c r="C15" s="276" t="n"/>
      <c r="D15" s="276" t="n"/>
      <c r="E15" s="276" t="n"/>
      <c r="F15" s="276" t="n"/>
      <c r="G15" s="276" t="n"/>
      <c r="H15" s="277" t="n"/>
      <c r="I15" s="64" t="n"/>
      <c r="J15" s="64" t="n"/>
    </row>
    <row r="16" ht="14.25" customFormat="1" customHeight="1" s="205">
      <c r="A16" s="245" t="n">
        <v>2</v>
      </c>
      <c r="B16" s="252" t="n">
        <v>2</v>
      </c>
      <c r="C16" s="251" t="inlineStr">
        <is>
          <t>Затраты труда машинистов</t>
        </is>
      </c>
      <c r="D16" s="252" t="inlineStr">
        <is>
          <t>чел.-ч.</t>
        </is>
      </c>
      <c r="E16" s="182" t="n">
        <v>15.449114927345</v>
      </c>
      <c r="F16" s="184" t="n">
        <v>12.24</v>
      </c>
      <c r="G16" s="184">
        <f>ROUND(E16*F16,2)</f>
        <v/>
      </c>
      <c r="H16" s="255" t="n">
        <v>1</v>
      </c>
      <c r="I16" s="169">
        <f>ROUND(F16*Прил.10!$D$11,2)</f>
        <v/>
      </c>
      <c r="J16" s="169">
        <f>ROUND(I16*E16,2)</f>
        <v/>
      </c>
    </row>
    <row r="17" ht="14.25" customFormat="1" customHeight="1" s="205">
      <c r="A17" s="245" t="n"/>
      <c r="B17" s="256" t="inlineStr">
        <is>
          <t>Машины и механизмы</t>
        </is>
      </c>
      <c r="C17" s="276" t="n"/>
      <c r="D17" s="276" t="n"/>
      <c r="E17" s="276" t="n"/>
      <c r="F17" s="276" t="n"/>
      <c r="G17" s="276" t="n"/>
      <c r="H17" s="277" t="n"/>
      <c r="I17" s="64" t="n"/>
      <c r="J17" s="64" t="n"/>
    </row>
    <row r="18" ht="14.25" customFormat="1" customHeight="1" s="205">
      <c r="A18" s="245" t="n"/>
      <c r="B18" s="251" t="inlineStr">
        <is>
          <t>Основные машины и механизмы</t>
        </is>
      </c>
      <c r="C18" s="276" t="n"/>
      <c r="D18" s="276" t="n"/>
      <c r="E18" s="276" t="n"/>
      <c r="F18" s="276" t="n"/>
      <c r="G18" s="276" t="n"/>
      <c r="H18" s="277" t="n"/>
      <c r="I18" s="64" t="n"/>
      <c r="J18" s="64" t="n"/>
    </row>
    <row r="19" ht="25.5" customFormat="1" customHeight="1" s="205">
      <c r="A19" s="245" t="n">
        <v>3</v>
      </c>
      <c r="B19" s="176" t="inlineStr">
        <is>
          <t>91.05.05-014</t>
        </is>
      </c>
      <c r="C19" s="244" t="inlineStr">
        <is>
          <t>Краны на автомобильном ходу, грузоподъемность 10 т</t>
        </is>
      </c>
      <c r="D19" s="245" t="inlineStr">
        <is>
          <t>маш.час</t>
        </is>
      </c>
      <c r="E19" s="161" t="n">
        <v>6.0792470277411</v>
      </c>
      <c r="F19" s="247" t="n">
        <v>111.99</v>
      </c>
      <c r="G19" s="169">
        <f>ROUND(E19*F19,2)</f>
        <v/>
      </c>
      <c r="H19" s="248">
        <f>G19/$G$75</f>
        <v/>
      </c>
      <c r="I19" s="169">
        <f>ROUND(F19*Прил.10!$D$12,2)</f>
        <v/>
      </c>
      <c r="J19" s="169">
        <f>ROUND(I19*E19,2)</f>
        <v/>
      </c>
    </row>
    <row r="20" ht="51" customFormat="1" customHeight="1" s="205">
      <c r="A20" s="245" t="n">
        <v>4</v>
      </c>
      <c r="B20" s="176" t="inlineStr">
        <is>
          <t>91.18.01-007</t>
        </is>
      </c>
      <c r="C20" s="2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5" t="inlineStr">
        <is>
          <t>маш.час</t>
        </is>
      </c>
      <c r="E20" s="161" t="n">
        <v>2.7095112285337</v>
      </c>
      <c r="F20" s="247" t="n">
        <v>90</v>
      </c>
      <c r="G20" s="169">
        <f>ROUND(E20*F20,2)</f>
        <v/>
      </c>
      <c r="H20" s="248">
        <f>G20/$G$75</f>
        <v/>
      </c>
      <c r="I20" s="169">
        <f>ROUND(F20*Прил.10!$D$12,2)</f>
        <v/>
      </c>
      <c r="J20" s="169">
        <f>ROUND(I20*E20,2)</f>
        <v/>
      </c>
    </row>
    <row r="21" ht="30.2" customFormat="1" customHeight="1" s="205">
      <c r="A21" s="245" t="n">
        <v>5</v>
      </c>
      <c r="B21" s="176" t="inlineStr">
        <is>
          <t>91.19.08-004</t>
        </is>
      </c>
      <c r="C21" s="244" t="inlineStr">
        <is>
          <t>Насосы, мощность 4 кВт</t>
        </is>
      </c>
      <c r="D21" s="245" t="inlineStr">
        <is>
          <t>маш.час</t>
        </is>
      </c>
      <c r="E21" s="161" t="n">
        <v>40.945825627477</v>
      </c>
      <c r="F21" s="247" t="n">
        <v>2.96</v>
      </c>
      <c r="G21" s="169">
        <f>ROUND(E21*F21,2)</f>
        <v/>
      </c>
      <c r="H21" s="248">
        <f>G21/$G$75</f>
        <v/>
      </c>
      <c r="I21" s="169">
        <f>ROUND(F21*Прил.10!$D$12,2)</f>
        <v/>
      </c>
      <c r="J21" s="169">
        <f>ROUND(I21*E21,2)</f>
        <v/>
      </c>
    </row>
    <row r="22" ht="25.5" customFormat="1" customHeight="1" s="205">
      <c r="A22" s="245" t="n">
        <v>6</v>
      </c>
      <c r="B22" s="176" t="inlineStr">
        <is>
          <t>91.05.06-007</t>
        </is>
      </c>
      <c r="C22" s="244" t="inlineStr">
        <is>
          <t>Краны на гусеничном ходу, грузоподъемность 25 т</t>
        </is>
      </c>
      <c r="D22" s="245" t="inlineStr">
        <is>
          <t>маш.час</t>
        </is>
      </c>
      <c r="E22" s="161" t="n">
        <v>0.80165125495376</v>
      </c>
      <c r="F22" s="247" t="n">
        <v>120.04</v>
      </c>
      <c r="G22" s="169">
        <f>ROUND(E22*F22,2)</f>
        <v/>
      </c>
      <c r="H22" s="248">
        <f>G22/$G$75</f>
        <v/>
      </c>
      <c r="I22" s="169">
        <f>ROUND(F22*Прил.10!$D$12,2)</f>
        <v/>
      </c>
      <c r="J22" s="169">
        <f>ROUND(I22*E22,2)</f>
        <v/>
      </c>
    </row>
    <row r="23" ht="26.45" customFormat="1" customHeight="1" s="205">
      <c r="A23" s="245" t="n">
        <v>7</v>
      </c>
      <c r="B23" s="176" t="inlineStr">
        <is>
          <t>91.05.06-012</t>
        </is>
      </c>
      <c r="C23" s="244" t="inlineStr">
        <is>
          <t>Краны на гусеничном ходу, грузоподъемность до 16 т</t>
        </is>
      </c>
      <c r="D23" s="245" t="inlineStr">
        <is>
          <t>маш.час</t>
        </is>
      </c>
      <c r="E23" s="161" t="n">
        <v>0.92067371202114</v>
      </c>
      <c r="F23" s="247" t="n">
        <v>96.89</v>
      </c>
      <c r="G23" s="169">
        <f>ROUND(E23*F23,2)</f>
        <v/>
      </c>
      <c r="H23" s="248">
        <f>G23/$G$75</f>
        <v/>
      </c>
      <c r="I23" s="169">
        <f>ROUND(F23*Прил.10!$D$12,2)</f>
        <v/>
      </c>
      <c r="J23" s="169">
        <f>ROUND(I23*E23,2)</f>
        <v/>
      </c>
    </row>
    <row r="24" ht="25.5" customFormat="1" customHeight="1" s="205">
      <c r="A24" s="245" t="n">
        <v>8</v>
      </c>
      <c r="B24" s="176" t="inlineStr">
        <is>
          <t>91.14.02-001</t>
        </is>
      </c>
      <c r="C24" s="244" t="inlineStr">
        <is>
          <t>Автомобили бортовые, грузоподъемность: до 5 т</t>
        </is>
      </c>
      <c r="D24" s="245" t="inlineStr">
        <is>
          <t>маш.час</t>
        </is>
      </c>
      <c r="E24" s="161" t="n">
        <v>1.0277939233818</v>
      </c>
      <c r="F24" s="247" t="n">
        <v>65.70999999999999</v>
      </c>
      <c r="G24" s="169">
        <f>ROUND(E24*F24,2)</f>
        <v/>
      </c>
      <c r="H24" s="248">
        <f>G24/$G$75</f>
        <v/>
      </c>
      <c r="I24" s="169">
        <f>ROUND(F24*Прил.10!$D$12,2)</f>
        <v/>
      </c>
      <c r="J24" s="169">
        <f>ROUND(I24*E24,2)</f>
        <v/>
      </c>
    </row>
    <row r="25" ht="14.25" customFormat="1" customHeight="1" s="205">
      <c r="A25" s="245" t="n">
        <v>9</v>
      </c>
      <c r="B25" s="176" t="inlineStr">
        <is>
          <t>91.21.18-011</t>
        </is>
      </c>
      <c r="C25" s="244" t="inlineStr">
        <is>
          <t>Маслоподогреватель</t>
        </is>
      </c>
      <c r="D25" s="245" t="inlineStr">
        <is>
          <t>маш.час</t>
        </is>
      </c>
      <c r="E25" s="161" t="n">
        <v>1.2994451783355</v>
      </c>
      <c r="F25" s="247" t="n">
        <v>38.87</v>
      </c>
      <c r="G25" s="169">
        <f>ROUND(E25*F25,2)</f>
        <v/>
      </c>
      <c r="H25" s="248">
        <f>G25/$G$75</f>
        <v/>
      </c>
      <c r="I25" s="169">
        <f>ROUND(F25*Прил.10!$D$12,2)</f>
        <v/>
      </c>
      <c r="J25" s="169">
        <f>ROUND(I25*E25,2)</f>
        <v/>
      </c>
    </row>
    <row r="26" ht="25.5" customFormat="1" customHeight="1" s="205">
      <c r="A26" s="245" t="n">
        <v>10</v>
      </c>
      <c r="B26" s="176" t="inlineStr">
        <is>
          <t>91.01.05-085</t>
        </is>
      </c>
      <c r="C26" s="244" t="inlineStr">
        <is>
          <t>Экскаваторы одноковшовые дизельные на гусеничном ходу, емкость ковша 0,5 м3</t>
        </is>
      </c>
      <c r="D26" s="245" t="inlineStr">
        <is>
          <t>маш.час</t>
        </is>
      </c>
      <c r="E26" s="161" t="n">
        <v>0.44388375165125</v>
      </c>
      <c r="F26" s="247" t="n">
        <v>100</v>
      </c>
      <c r="G26" s="169">
        <f>ROUND(E26*F26,2)</f>
        <v/>
      </c>
      <c r="H26" s="248">
        <f>G26/$G$75</f>
        <v/>
      </c>
      <c r="I26" s="169">
        <f>ROUND(F26*Прил.10!$D$12,2)</f>
        <v/>
      </c>
      <c r="J26" s="169">
        <f>ROUND(I26*E26,2)</f>
        <v/>
      </c>
    </row>
    <row r="27" ht="14.25" customFormat="1" customHeight="1" s="205">
      <c r="A27" s="245" t="n"/>
      <c r="B27" s="165" t="n"/>
      <c r="C27" s="166" t="inlineStr">
        <is>
          <t>Итого основные машины и механизмы</t>
        </is>
      </c>
      <c r="D27" s="245" t="n"/>
      <c r="E27" s="161" t="n"/>
      <c r="F27" s="272" t="n"/>
      <c r="G27" s="169">
        <f>SUM(G19:G26)</f>
        <v/>
      </c>
      <c r="H27" s="248">
        <f>G27/G75</f>
        <v/>
      </c>
      <c r="I27" s="169" t="n"/>
      <c r="J27" s="169">
        <f>SUM(J19:J26)</f>
        <v/>
      </c>
    </row>
    <row r="28" hidden="1" outlineLevel="1" ht="38.25" customFormat="1" customHeight="1" s="205">
      <c r="A28" s="245" t="n">
        <v>11</v>
      </c>
      <c r="B28" s="176" t="inlineStr">
        <is>
          <t>91.01.05-106</t>
        </is>
      </c>
      <c r="C28" s="244" t="inlineStr">
        <is>
          <t>Экскаваторы одноковшовые дизельные на пневмоколесном ходу, емкость ковша 0,25 м3</t>
        </is>
      </c>
      <c r="D28" s="245" t="inlineStr">
        <is>
          <t>маш.час</t>
        </is>
      </c>
      <c r="E28" s="161" t="n">
        <v>0.58811096433289</v>
      </c>
      <c r="F28" s="247" t="n">
        <v>70.01000000000001</v>
      </c>
      <c r="G28" s="169">
        <f>ROUND(E28*F28,2)</f>
        <v/>
      </c>
      <c r="H28" s="248">
        <f>G28/$G$75</f>
        <v/>
      </c>
      <c r="I28" s="169">
        <f>ROUND(F28*Прил.10!$D$12,2)</f>
        <v/>
      </c>
      <c r="J28" s="169">
        <f>ROUND(I28*E28,2)</f>
        <v/>
      </c>
    </row>
    <row r="29" hidden="1" outlineLevel="1" ht="38.25" customFormat="1" customHeight="1" s="205">
      <c r="A29" s="245" t="n">
        <v>12</v>
      </c>
      <c r="B29" s="176" t="inlineStr">
        <is>
          <t>91.06.05-057</t>
        </is>
      </c>
      <c r="C29" s="244" t="inlineStr">
        <is>
          <t>Погрузчики одноковшовые универсальные фронтальные пневмоколесные, грузоподъемность 3 т</t>
        </is>
      </c>
      <c r="D29" s="245" t="inlineStr">
        <is>
          <t>маш.час</t>
        </is>
      </c>
      <c r="E29" s="161" t="n">
        <v>0.36406869220608</v>
      </c>
      <c r="F29" s="247" t="n">
        <v>90.40000000000001</v>
      </c>
      <c r="G29" s="169">
        <f>ROUND(E29*F29,2)</f>
        <v/>
      </c>
      <c r="H29" s="248">
        <f>G29/$G$75</f>
        <v/>
      </c>
      <c r="I29" s="169">
        <f>ROUND(F29*Прил.10!$D$12,2)</f>
        <v/>
      </c>
      <c r="J29" s="169">
        <f>ROUND(I29*E29,2)</f>
        <v/>
      </c>
    </row>
    <row r="30" hidden="1" outlineLevel="1" ht="14.25" customFormat="1" customHeight="1" s="205">
      <c r="A30" s="245" t="n">
        <v>13</v>
      </c>
      <c r="B30" s="176" t="inlineStr">
        <is>
          <t>91.05.14-025</t>
        </is>
      </c>
      <c r="C30" s="244" t="inlineStr">
        <is>
          <t>Краны переносные 1 т</t>
        </is>
      </c>
      <c r="D30" s="245" t="inlineStr">
        <is>
          <t>маш.час</t>
        </is>
      </c>
      <c r="E30" s="161" t="n">
        <v>1.0214927344782</v>
      </c>
      <c r="F30" s="247" t="n">
        <v>27.2</v>
      </c>
      <c r="G30" s="169">
        <f>ROUND(E30*F30,2)</f>
        <v/>
      </c>
      <c r="H30" s="248">
        <f>G30/$G$75</f>
        <v/>
      </c>
      <c r="I30" s="169">
        <f>ROUND(F30*Прил.10!$D$12,2)</f>
        <v/>
      </c>
      <c r="J30" s="169">
        <f>ROUND(I30*E30,2)</f>
        <v/>
      </c>
    </row>
    <row r="31" hidden="1" outlineLevel="1" ht="14.25" customFormat="1" customHeight="1" s="205">
      <c r="A31" s="245" t="n">
        <v>14</v>
      </c>
      <c r="B31" s="176" t="inlineStr">
        <is>
          <t>91.01.01-034</t>
        </is>
      </c>
      <c r="C31" s="244" t="inlineStr">
        <is>
          <t>Бульдозеры, мощность 59 кВт (80 л.с.)</t>
        </is>
      </c>
      <c r="D31" s="245" t="inlineStr">
        <is>
          <t>маш.час</t>
        </is>
      </c>
      <c r="E31" s="161" t="n">
        <v>0.46348745046235</v>
      </c>
      <c r="F31" s="247" t="n">
        <v>59.47</v>
      </c>
      <c r="G31" s="169">
        <f>ROUND(E31*F31,2)</f>
        <v/>
      </c>
      <c r="H31" s="248">
        <f>G31/$G$75</f>
        <v/>
      </c>
      <c r="I31" s="169">
        <f>ROUND(F31*Прил.10!$D$12,2)</f>
        <v/>
      </c>
      <c r="J31" s="169">
        <f>ROUND(I31*E31,2)</f>
        <v/>
      </c>
    </row>
    <row r="32" hidden="1" outlineLevel="1" ht="25.5" customFormat="1" customHeight="1" s="205">
      <c r="A32" s="245" t="n">
        <v>15</v>
      </c>
      <c r="B32" s="176" t="inlineStr">
        <is>
          <t>91.15.02-024</t>
        </is>
      </c>
      <c r="C32" s="244" t="inlineStr">
        <is>
          <t>Тракторы на гусеничном ходу, мощность 79 кВт (108 л.с.)</t>
        </is>
      </c>
      <c r="D32" s="245" t="inlineStr">
        <is>
          <t>маш.час</t>
        </is>
      </c>
      <c r="E32" s="161" t="n">
        <v>0.16803170409511</v>
      </c>
      <c r="F32" s="247" t="n">
        <v>83.09999999999999</v>
      </c>
      <c r="G32" s="169">
        <f>ROUND(E32*F32,2)</f>
        <v/>
      </c>
      <c r="H32" s="248">
        <f>G32/$G$75</f>
        <v/>
      </c>
      <c r="I32" s="169">
        <f>ROUND(F32*Прил.10!$D$12,2)</f>
        <v/>
      </c>
      <c r="J32" s="169">
        <f>ROUND(I32*E32,2)</f>
        <v/>
      </c>
    </row>
    <row r="33" hidden="1" outlineLevel="1" ht="25.5" customFormat="1" customHeight="1" s="205">
      <c r="A33" s="245" t="n">
        <v>16</v>
      </c>
      <c r="B33" s="176" t="inlineStr">
        <is>
          <t>91.06.09-061</t>
        </is>
      </c>
      <c r="C33" s="244" t="inlineStr">
        <is>
          <t>Подмости самоходные высотой подъема: 12 м</t>
        </is>
      </c>
      <c r="D33" s="245" t="inlineStr">
        <is>
          <t>маш.час</t>
        </is>
      </c>
      <c r="E33" s="161" t="n">
        <v>0.25064729194188</v>
      </c>
      <c r="F33" s="247" t="n">
        <v>35.3</v>
      </c>
      <c r="G33" s="169">
        <f>ROUND(E33*F33,2)</f>
        <v/>
      </c>
      <c r="H33" s="248">
        <f>G33/$G$75</f>
        <v/>
      </c>
      <c r="I33" s="169">
        <f>ROUND(F33*Прил.10!$D$12,2)</f>
        <v/>
      </c>
      <c r="J33" s="169">
        <f>ROUND(I33*E33,2)</f>
        <v/>
      </c>
    </row>
    <row r="34" hidden="1" outlineLevel="1" ht="25.5" customFormat="1" customHeight="1" s="205">
      <c r="A34" s="245" t="n">
        <v>17</v>
      </c>
      <c r="B34" s="176" t="inlineStr">
        <is>
          <t>91.06.06-042</t>
        </is>
      </c>
      <c r="C34" s="244" t="inlineStr">
        <is>
          <t>Подъемники гидравлические высотой подъема: 10 м</t>
        </is>
      </c>
      <c r="D34" s="245" t="inlineStr">
        <is>
          <t>маш.час</t>
        </is>
      </c>
      <c r="E34" s="161" t="n">
        <v>0.28845442536328</v>
      </c>
      <c r="F34" s="247" t="n">
        <v>29.6</v>
      </c>
      <c r="G34" s="169">
        <f>ROUND(E34*F34,2)</f>
        <v/>
      </c>
      <c r="H34" s="248">
        <f>G34/$G$75</f>
        <v/>
      </c>
      <c r="I34" s="169">
        <f>ROUND(F34*Прил.10!$D$12,2)</f>
        <v/>
      </c>
      <c r="J34" s="169">
        <f>ROUND(I34*E34,2)</f>
        <v/>
      </c>
    </row>
    <row r="35" hidden="1" outlineLevel="1" ht="14.25" customFormat="1" customHeight="1" s="205">
      <c r="A35" s="245" t="n">
        <v>18</v>
      </c>
      <c r="B35" s="176" t="inlineStr">
        <is>
          <t>91.05.01-017</t>
        </is>
      </c>
      <c r="C35" s="244" t="inlineStr">
        <is>
          <t>Краны башенные, грузоподъемность 8 т</t>
        </is>
      </c>
      <c r="D35" s="245" t="inlineStr">
        <is>
          <t>маш.час</t>
        </is>
      </c>
      <c r="E35" s="161" t="n">
        <v>0.095918097754293</v>
      </c>
      <c r="F35" s="247" t="n">
        <v>86.40000000000001</v>
      </c>
      <c r="G35" s="169">
        <f>ROUND(E35*F35,2)</f>
        <v/>
      </c>
      <c r="H35" s="248">
        <f>G35/$G$75</f>
        <v/>
      </c>
      <c r="I35" s="169">
        <f>ROUND(F35*Прил.10!$D$12,2)</f>
        <v/>
      </c>
      <c r="J35" s="169">
        <f>ROUND(I35*E35,2)</f>
        <v/>
      </c>
    </row>
    <row r="36" hidden="1" outlineLevel="1" ht="25.5" customFormat="1" customHeight="1" s="205">
      <c r="A36" s="245" t="n">
        <v>19</v>
      </c>
      <c r="B36" s="176" t="inlineStr">
        <is>
          <t>91.17.04-171</t>
        </is>
      </c>
      <c r="C36" s="244" t="inlineStr">
        <is>
          <t>Преобразователи сварочные номинальным сварочным током 315-500 А</t>
        </is>
      </c>
      <c r="D36" s="245" t="inlineStr">
        <is>
          <t>маш.час</t>
        </is>
      </c>
      <c r="E36" s="161" t="n">
        <v>0.60911492734478</v>
      </c>
      <c r="F36" s="247" t="n">
        <v>12.31</v>
      </c>
      <c r="G36" s="169">
        <f>ROUND(E36*F36,2)</f>
        <v/>
      </c>
      <c r="H36" s="248">
        <f>G36/$G$75</f>
        <v/>
      </c>
      <c r="I36" s="169">
        <f>ROUND(F36*Прил.10!$D$12,2)</f>
        <v/>
      </c>
      <c r="J36" s="169">
        <f>ROUND(I36*E36,2)</f>
        <v/>
      </c>
    </row>
    <row r="37" hidden="1" outlineLevel="1" ht="25.5" customFormat="1" customHeight="1" s="205">
      <c r="A37" s="245" t="n">
        <v>20</v>
      </c>
      <c r="B37" s="176" t="inlineStr">
        <is>
          <t>91.17.04-233</t>
        </is>
      </c>
      <c r="C37" s="244" t="inlineStr">
        <is>
          <t>Установки для сварки: ручной дуговой (постоянного тока)</t>
        </is>
      </c>
      <c r="D37" s="245" t="inlineStr">
        <is>
          <t>маш.час</t>
        </is>
      </c>
      <c r="E37" s="161" t="n">
        <v>0.71413474240423</v>
      </c>
      <c r="F37" s="247" t="n">
        <v>8.1</v>
      </c>
      <c r="G37" s="169">
        <f>ROUND(E37*F37,2)</f>
        <v/>
      </c>
      <c r="H37" s="248">
        <f>G37/$G$75</f>
        <v/>
      </c>
      <c r="I37" s="169">
        <f>ROUND(F37*Прил.10!$D$12,2)</f>
        <v/>
      </c>
      <c r="J37" s="169">
        <f>ROUND(I37*E37,2)</f>
        <v/>
      </c>
    </row>
    <row r="38" hidden="1" outlineLevel="1" ht="25.5" customFormat="1" customHeight="1" s="205">
      <c r="A38" s="245" t="n">
        <v>21</v>
      </c>
      <c r="B38" s="176" t="inlineStr">
        <is>
          <t>91.15.03-014</t>
        </is>
      </c>
      <c r="C38" s="244" t="inlineStr">
        <is>
          <t>Тракторы на пневмоколесном ходу, мощность 59 кВт (80 л.с.)</t>
        </is>
      </c>
      <c r="D38" s="245" t="inlineStr">
        <is>
          <t>маш.час</t>
        </is>
      </c>
      <c r="E38" s="161" t="n">
        <v>0.065812417437252</v>
      </c>
      <c r="F38" s="247" t="n">
        <v>74.61</v>
      </c>
      <c r="G38" s="169">
        <f>ROUND(E38*F38,2)</f>
        <v/>
      </c>
      <c r="H38" s="248">
        <f>G38/$G$75</f>
        <v/>
      </c>
      <c r="I38" s="169">
        <f>ROUND(F38*Прил.10!$D$12,2)</f>
        <v/>
      </c>
      <c r="J38" s="169">
        <f>ROUND(I38*E38,2)</f>
        <v/>
      </c>
    </row>
    <row r="39" hidden="1" outlineLevel="1" ht="14.25" customFormat="1" customHeight="1" s="205">
      <c r="A39" s="245" t="n">
        <v>22</v>
      </c>
      <c r="B39" s="176" t="inlineStr">
        <is>
          <t>91.08.04-021</t>
        </is>
      </c>
      <c r="C39" s="244" t="inlineStr">
        <is>
          <t>Котлы битумные: передвижные 400 л</t>
        </is>
      </c>
      <c r="D39" s="245" t="inlineStr">
        <is>
          <t>маш.час</t>
        </is>
      </c>
      <c r="E39" s="161" t="n">
        <v>0.16313077939234</v>
      </c>
      <c r="F39" s="247" t="n">
        <v>30</v>
      </c>
      <c r="G39" s="169">
        <f>ROUND(E39*F39,2)</f>
        <v/>
      </c>
      <c r="H39" s="248">
        <f>G39/$G$75</f>
        <v/>
      </c>
      <c r="I39" s="169">
        <f>ROUND(F39*Прил.10!$D$12,2)</f>
        <v/>
      </c>
      <c r="J39" s="169">
        <f>ROUND(I39*E39,2)</f>
        <v/>
      </c>
    </row>
    <row r="40" hidden="1" outlineLevel="1" ht="14.25" customFormat="1" customHeight="1" s="205">
      <c r="A40" s="245" t="n">
        <v>23</v>
      </c>
      <c r="B40" s="176" t="inlineStr">
        <is>
          <t>91.21.22-438</t>
        </is>
      </c>
      <c r="C40" s="244" t="inlineStr">
        <is>
          <t>Установка: передвижная цеолитовая</t>
        </is>
      </c>
      <c r="D40" s="245" t="inlineStr">
        <is>
          <t>маш.час</t>
        </is>
      </c>
      <c r="E40" s="161" t="n">
        <v>0.10501981505945</v>
      </c>
      <c r="F40" s="247" t="n">
        <v>38.65</v>
      </c>
      <c r="G40" s="169">
        <f>ROUND(E40*F40,2)</f>
        <v/>
      </c>
      <c r="H40" s="248">
        <f>G40/$G$75</f>
        <v/>
      </c>
      <c r="I40" s="169">
        <f>ROUND(F40*Прил.10!$D$12,2)</f>
        <v/>
      </c>
      <c r="J40" s="169">
        <f>ROUND(I40*E40,2)</f>
        <v/>
      </c>
    </row>
    <row r="41" hidden="1" outlineLevel="1" ht="25.5" customFormat="1" customHeight="1" s="205">
      <c r="A41" s="245" t="n">
        <v>24</v>
      </c>
      <c r="B41" s="176" t="inlineStr">
        <is>
          <t>91.06.01-003</t>
        </is>
      </c>
      <c r="C41" s="244" t="inlineStr">
        <is>
          <t>Домкраты гидравлические, грузоподъемность 63-100 т</t>
        </is>
      </c>
      <c r="D41" s="245" t="inlineStr">
        <is>
          <t>маш.час</t>
        </is>
      </c>
      <c r="E41" s="161" t="n">
        <v>3.6812945838838</v>
      </c>
      <c r="F41" s="247" t="n">
        <v>0.9</v>
      </c>
      <c r="G41" s="169">
        <f>ROUND(E41*F41,2)</f>
        <v/>
      </c>
      <c r="H41" s="248">
        <f>G41/$G$75</f>
        <v/>
      </c>
      <c r="I41" s="169">
        <f>ROUND(F41*Прил.10!$D$12,2)</f>
        <v/>
      </c>
      <c r="J41" s="169">
        <f>ROUND(I41*E41,2)</f>
        <v/>
      </c>
    </row>
    <row r="42" hidden="1" outlineLevel="1" ht="25.5" customFormat="1" customHeight="1" s="205">
      <c r="A42" s="245" t="n">
        <v>25</v>
      </c>
      <c r="B42" s="176" t="inlineStr">
        <is>
          <t>91.08.09-023</t>
        </is>
      </c>
      <c r="C42" s="244" t="inlineStr">
        <is>
          <t>Трамбовки пневматические при работе от: передвижных компрессорных станций</t>
        </is>
      </c>
      <c r="D42" s="245" t="inlineStr">
        <is>
          <t>маш.час</t>
        </is>
      </c>
      <c r="E42" s="161" t="n">
        <v>6.019035667107</v>
      </c>
      <c r="F42" s="247" t="n">
        <v>0.55</v>
      </c>
      <c r="G42" s="169">
        <f>ROUND(E42*F42,2)</f>
        <v/>
      </c>
      <c r="H42" s="248">
        <f>G42/$G$75</f>
        <v/>
      </c>
      <c r="I42" s="169">
        <f>ROUND(F42*Прил.10!$D$12,2)</f>
        <v/>
      </c>
      <c r="J42" s="169">
        <f>ROUND(I42*E42,2)</f>
        <v/>
      </c>
    </row>
    <row r="43" hidden="1" outlineLevel="1" ht="14.25" customFormat="1" customHeight="1" s="205">
      <c r="A43" s="245" t="n">
        <v>26</v>
      </c>
      <c r="B43" s="176" t="inlineStr">
        <is>
          <t>91.01.01-035</t>
        </is>
      </c>
      <c r="C43" s="244" t="inlineStr">
        <is>
          <t>Бульдозеры, мощность 79 кВт (108 л.с.)</t>
        </is>
      </c>
      <c r="D43" s="245" t="inlineStr">
        <is>
          <t>маш.час</t>
        </is>
      </c>
      <c r="E43" s="161" t="n">
        <v>0.0378071334214</v>
      </c>
      <c r="F43" s="247" t="n">
        <v>79.06999999999999</v>
      </c>
      <c r="G43" s="169">
        <f>ROUND(E43*F43,2)</f>
        <v/>
      </c>
      <c r="H43" s="248">
        <f>G43/$G$75</f>
        <v/>
      </c>
      <c r="I43" s="169">
        <f>ROUND(F43*Прил.10!$D$12,2)</f>
        <v/>
      </c>
      <c r="J43" s="169">
        <f>ROUND(I43*E43,2)</f>
        <v/>
      </c>
    </row>
    <row r="44" hidden="1" outlineLevel="1" ht="25.5" customFormat="1" customHeight="1" s="205">
      <c r="A44" s="245" t="n">
        <v>27</v>
      </c>
      <c r="B44" s="176" t="inlineStr">
        <is>
          <t>91.17.04-011</t>
        </is>
      </c>
      <c r="C44" s="244" t="inlineStr">
        <is>
          <t>Автоматы сварочные номинальным сварочным током 450-1250 А</t>
        </is>
      </c>
      <c r="D44" s="245" t="inlineStr">
        <is>
          <t>маш.час</t>
        </is>
      </c>
      <c r="E44" s="161" t="n">
        <v>0.072813738441215</v>
      </c>
      <c r="F44" s="247" t="n">
        <v>39.49</v>
      </c>
      <c r="G44" s="169">
        <f>ROUND(E44*F44,2)</f>
        <v/>
      </c>
      <c r="H44" s="248">
        <f>G44/$G$75</f>
        <v/>
      </c>
      <c r="I44" s="169">
        <f>ROUND(F44*Прил.10!$D$12,2)</f>
        <v/>
      </c>
      <c r="J44" s="169">
        <f>ROUND(I44*E44,2)</f>
        <v/>
      </c>
    </row>
    <row r="45" hidden="1" outlineLevel="1" ht="14.25" customFormat="1" customHeight="1" s="205">
      <c r="A45" s="245" t="n">
        <v>28</v>
      </c>
      <c r="B45" s="176" t="inlineStr">
        <is>
          <t>91.06.05-011</t>
        </is>
      </c>
      <c r="C45" s="244" t="inlineStr">
        <is>
          <t>Погрузчик, грузоподъемность 5 т</t>
        </is>
      </c>
      <c r="D45" s="245" t="inlineStr">
        <is>
          <t>маш.час</t>
        </is>
      </c>
      <c r="E45" s="161" t="n">
        <v>0.031505944517834</v>
      </c>
      <c r="F45" s="247" t="n">
        <v>89.98999999999999</v>
      </c>
      <c r="G45" s="169">
        <f>ROUND(E45*F45,2)</f>
        <v/>
      </c>
      <c r="H45" s="248">
        <f>G45/$G$75</f>
        <v/>
      </c>
      <c r="I45" s="169">
        <f>ROUND(F45*Прил.10!$D$12,2)</f>
        <v/>
      </c>
      <c r="J45" s="169">
        <f>ROUND(I45*E45,2)</f>
        <v/>
      </c>
    </row>
    <row r="46" hidden="1" outlineLevel="1" ht="38.25" customFormat="1" customHeight="1" s="205">
      <c r="A46" s="245" t="n">
        <v>29</v>
      </c>
      <c r="B46" s="176" t="inlineStr">
        <is>
          <t>91.21.01-012</t>
        </is>
      </c>
      <c r="C46" s="244" t="inlineStr">
        <is>
          <t>Агрегаты окрасочные высокого давления для окраски поверхностей конструкций, мощность 1 кВт</t>
        </is>
      </c>
      <c r="D46" s="245" t="inlineStr">
        <is>
          <t>маш.час</t>
        </is>
      </c>
      <c r="E46" s="161" t="n">
        <v>0.35706737120211</v>
      </c>
      <c r="F46" s="247" t="n">
        <v>6.82</v>
      </c>
      <c r="G46" s="169">
        <f>ROUND(E46*F46,2)</f>
        <v/>
      </c>
      <c r="H46" s="248">
        <f>G46/$G$75</f>
        <v/>
      </c>
      <c r="I46" s="169">
        <f>ROUND(F46*Прил.10!$D$12,2)</f>
        <v/>
      </c>
      <c r="J46" s="169">
        <f>ROUND(I46*E46,2)</f>
        <v/>
      </c>
    </row>
    <row r="47" hidden="1" outlineLevel="1" ht="25.5" customFormat="1" customHeight="1" s="205">
      <c r="A47" s="245" t="n">
        <v>30</v>
      </c>
      <c r="B47" s="176" t="inlineStr">
        <is>
          <t>91.19.10-031</t>
        </is>
      </c>
      <c r="C47" s="244" t="inlineStr">
        <is>
          <t>Станция насосная для привода гидродомкратов</t>
        </is>
      </c>
      <c r="D47" s="245" t="inlineStr">
        <is>
          <t>маш.час</t>
        </is>
      </c>
      <c r="E47" s="161" t="n">
        <v>0.89336856010568</v>
      </c>
      <c r="F47" s="247" t="n">
        <v>1.82</v>
      </c>
      <c r="G47" s="169">
        <f>ROUND(E47*F47,2)</f>
        <v/>
      </c>
      <c r="H47" s="248">
        <f>G47/$G$75</f>
        <v/>
      </c>
      <c r="I47" s="169">
        <f>ROUND(F47*Прил.10!$D$12,2)</f>
        <v/>
      </c>
      <c r="J47" s="169">
        <f>ROUND(I47*E47,2)</f>
        <v/>
      </c>
    </row>
    <row r="48" hidden="1" outlineLevel="1" ht="51" customFormat="1" customHeight="1" s="205">
      <c r="A48" s="245" t="n">
        <v>31</v>
      </c>
      <c r="B48" s="176" t="inlineStr">
        <is>
          <t>91.10.09-011</t>
        </is>
      </c>
      <c r="C48" s="24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5" t="inlineStr">
        <is>
          <t>маш.час</t>
        </is>
      </c>
      <c r="E48" s="161" t="n">
        <v>0.048309114927345</v>
      </c>
      <c r="F48" s="247" t="n">
        <v>29.67</v>
      </c>
      <c r="G48" s="169">
        <f>ROUND(E48*F48,2)</f>
        <v/>
      </c>
      <c r="H48" s="248">
        <f>G48/$G$75</f>
        <v/>
      </c>
      <c r="I48" s="169">
        <f>ROUND(F48*Прил.10!$D$12,2)</f>
        <v/>
      </c>
      <c r="J48" s="169">
        <f>ROUND(I48*E48,2)</f>
        <v/>
      </c>
    </row>
    <row r="49" hidden="1" outlineLevel="1" ht="14.25" customFormat="1" customHeight="1" s="205">
      <c r="A49" s="245" t="n">
        <v>32</v>
      </c>
      <c r="B49" s="176" t="inlineStr">
        <is>
          <t>91.21.18-051</t>
        </is>
      </c>
      <c r="C49" s="244" t="inlineStr">
        <is>
          <t>Шкаф сушильный</t>
        </is>
      </c>
      <c r="D49" s="245" t="inlineStr">
        <is>
          <t>маш.час</t>
        </is>
      </c>
      <c r="E49" s="161" t="n">
        <v>0.48729194187583</v>
      </c>
      <c r="F49" s="247" t="n">
        <v>2.67</v>
      </c>
      <c r="G49" s="169">
        <f>ROUND(E49*F49,2)</f>
        <v/>
      </c>
      <c r="H49" s="248">
        <f>G49/$G$75</f>
        <v/>
      </c>
      <c r="I49" s="169">
        <f>ROUND(F49*Прил.10!$D$12,2)</f>
        <v/>
      </c>
      <c r="J49" s="169">
        <f>ROUND(I49*E49,2)</f>
        <v/>
      </c>
    </row>
    <row r="50" hidden="1" outlineLevel="1" ht="25.5" customFormat="1" customHeight="1" s="205">
      <c r="A50" s="245" t="n">
        <v>33</v>
      </c>
      <c r="B50" s="176" t="inlineStr">
        <is>
          <t>91.21.10-002</t>
        </is>
      </c>
      <c r="C50" s="244" t="inlineStr">
        <is>
          <t>Молотки отбойные пневматические при работе от передвижных компрессоров</t>
        </is>
      </c>
      <c r="D50" s="245" t="inlineStr">
        <is>
          <t>маш.час</t>
        </is>
      </c>
      <c r="E50" s="161" t="n">
        <v>1.0789035667107</v>
      </c>
      <c r="F50" s="247" t="n">
        <v>1.2</v>
      </c>
      <c r="G50" s="169">
        <f>ROUND(E50*F50,2)</f>
        <v/>
      </c>
      <c r="H50" s="248">
        <f>G50/$G$75</f>
        <v/>
      </c>
      <c r="I50" s="169">
        <f>ROUND(F50*Прил.10!$D$12,2)</f>
        <v/>
      </c>
      <c r="J50" s="169">
        <f>ROUND(I50*E50,2)</f>
        <v/>
      </c>
    </row>
    <row r="51" hidden="1" outlineLevel="1" ht="14.25" customFormat="1" customHeight="1" s="205">
      <c r="A51" s="245" t="n">
        <v>34</v>
      </c>
      <c r="B51" s="176" t="inlineStr">
        <is>
          <t>91.07.08-024</t>
        </is>
      </c>
      <c r="C51" s="244" t="inlineStr">
        <is>
          <t>Растворосмесители передвижные: 65 л</t>
        </is>
      </c>
      <c r="D51" s="245" t="inlineStr">
        <is>
          <t>маш.час</t>
        </is>
      </c>
      <c r="E51" s="161" t="n">
        <v>0.058811096433289</v>
      </c>
      <c r="F51" s="247" t="n">
        <v>12.39</v>
      </c>
      <c r="G51" s="169">
        <f>ROUND(E51*F51,2)</f>
        <v/>
      </c>
      <c r="H51" s="248">
        <f>G51/$G$75</f>
        <v/>
      </c>
      <c r="I51" s="169">
        <f>ROUND(F51*Прил.10!$D$12,2)</f>
        <v/>
      </c>
      <c r="J51" s="169">
        <f>ROUND(I51*E51,2)</f>
        <v/>
      </c>
    </row>
    <row r="52" hidden="1" outlineLevel="1" ht="38.25" customFormat="1" customHeight="1" s="205">
      <c r="A52" s="245" t="n">
        <v>35</v>
      </c>
      <c r="B52" s="176" t="inlineStr">
        <is>
          <t>91.17.04-036</t>
        </is>
      </c>
      <c r="C52" s="244" t="inlineStr">
        <is>
          <t>Агрегаты сварочные передвижные номинальным сварочным током 250-400 А: с дизельным двигателем</t>
        </is>
      </c>
      <c r="D52" s="245" t="inlineStr">
        <is>
          <t>маш.час</t>
        </is>
      </c>
      <c r="E52" s="161" t="n">
        <v>0.0378071334214</v>
      </c>
      <c r="F52" s="247" t="n">
        <v>14</v>
      </c>
      <c r="G52" s="169">
        <f>ROUND(E52*F52,2)</f>
        <v/>
      </c>
      <c r="H52" s="248">
        <f>G52/$G$75</f>
        <v/>
      </c>
      <c r="I52" s="169">
        <f>ROUND(F52*Прил.10!$D$12,2)</f>
        <v/>
      </c>
      <c r="J52" s="169">
        <f>ROUND(I52*E52,2)</f>
        <v/>
      </c>
    </row>
    <row r="53" hidden="1" outlineLevel="1" ht="25.5" customFormat="1" customHeight="1" s="205">
      <c r="A53" s="245" t="n">
        <v>36</v>
      </c>
      <c r="B53" s="176" t="inlineStr">
        <is>
          <t>91.08.03-016</t>
        </is>
      </c>
      <c r="C53" s="244" t="inlineStr">
        <is>
          <t>Катки дорожные самоходные гладкие, масса 8 т</t>
        </is>
      </c>
      <c r="D53" s="245" t="inlineStr">
        <is>
          <t>маш.час</t>
        </is>
      </c>
      <c r="E53" s="161" t="n">
        <v>0.007001321003963</v>
      </c>
      <c r="F53" s="247" t="n">
        <v>75</v>
      </c>
      <c r="G53" s="169">
        <f>ROUND(E53*F53,2)</f>
        <v/>
      </c>
      <c r="H53" s="248">
        <f>G53/$G$75</f>
        <v/>
      </c>
      <c r="I53" s="169">
        <f>ROUND(F53*Прил.10!$D$12,2)</f>
        <v/>
      </c>
      <c r="J53" s="169">
        <f>ROUND(I53*E53,2)</f>
        <v/>
      </c>
    </row>
    <row r="54" hidden="1" outlineLevel="1" ht="25.5" customFormat="1" customHeight="1" s="205">
      <c r="A54" s="245" t="n">
        <v>37</v>
      </c>
      <c r="B54" s="176" t="inlineStr">
        <is>
          <t>91.06.03-062</t>
        </is>
      </c>
      <c r="C54" s="244" t="inlineStr">
        <is>
          <t>Лебедки электрические тяговым усилием: до 31,39 кН (3,2 т)</t>
        </is>
      </c>
      <c r="D54" s="245" t="inlineStr">
        <is>
          <t>маш.час</t>
        </is>
      </c>
      <c r="E54" s="161" t="n">
        <v>0.06441215323646</v>
      </c>
      <c r="F54" s="247" t="n">
        <v>6.9</v>
      </c>
      <c r="G54" s="169">
        <f>ROUND(E54*F54,2)</f>
        <v/>
      </c>
      <c r="H54" s="248">
        <f>G54/$G$75</f>
        <v/>
      </c>
      <c r="I54" s="169">
        <f>ROUND(F54*Прил.10!$D$12,2)</f>
        <v/>
      </c>
      <c r="J54" s="169">
        <f>ROUND(I54*E54,2)</f>
        <v/>
      </c>
    </row>
    <row r="55" hidden="1" outlineLevel="1" ht="14.25" customFormat="1" customHeight="1" s="205">
      <c r="A55" s="245" t="n">
        <v>38</v>
      </c>
      <c r="B55" s="176" t="inlineStr">
        <is>
          <t>91.05.02-005</t>
        </is>
      </c>
      <c r="C55" s="244" t="inlineStr">
        <is>
          <t>Краны козловые, грузоподъемность 32 т</t>
        </is>
      </c>
      <c r="D55" s="245" t="inlineStr">
        <is>
          <t>маш.час</t>
        </is>
      </c>
      <c r="E55" s="161" t="n">
        <v>0.0035006605019815</v>
      </c>
      <c r="F55" s="247" t="n">
        <v>120.24</v>
      </c>
      <c r="G55" s="169">
        <f>ROUND(E55*F55,2)</f>
        <v/>
      </c>
      <c r="H55" s="248">
        <f>G55/$G$75</f>
        <v/>
      </c>
      <c r="I55" s="169">
        <f>ROUND(F55*Прил.10!$D$12,2)</f>
        <v/>
      </c>
      <c r="J55" s="169">
        <f>ROUND(I55*E55,2)</f>
        <v/>
      </c>
    </row>
    <row r="56" hidden="1" outlineLevel="1" ht="14.25" customFormat="1" customHeight="1" s="205">
      <c r="A56" s="245" t="n">
        <v>39</v>
      </c>
      <c r="B56" s="176" t="inlineStr">
        <is>
          <t>91.17.04-042</t>
        </is>
      </c>
      <c r="C56" s="244" t="inlineStr">
        <is>
          <t>Аппарат для газовой сварки и резки</t>
        </is>
      </c>
      <c r="D56" s="245" t="inlineStr">
        <is>
          <t>маш.час</t>
        </is>
      </c>
      <c r="E56" s="161" t="n">
        <v>0.29545574636724</v>
      </c>
      <c r="F56" s="247" t="n">
        <v>1.2</v>
      </c>
      <c r="G56" s="169">
        <f>ROUND(E56*F56,2)</f>
        <v/>
      </c>
      <c r="H56" s="248">
        <f>G56/$G$75</f>
        <v/>
      </c>
      <c r="I56" s="169">
        <f>ROUND(F56*Прил.10!$D$12,2)</f>
        <v/>
      </c>
      <c r="J56" s="169">
        <f>ROUND(I56*E56,2)</f>
        <v/>
      </c>
    </row>
    <row r="57" hidden="1" outlineLevel="1" ht="14.25" customFormat="1" customHeight="1" s="205">
      <c r="A57" s="245" t="n">
        <v>40</v>
      </c>
      <c r="B57" s="176" t="inlineStr">
        <is>
          <t>91.13.01-038</t>
        </is>
      </c>
      <c r="C57" s="244" t="inlineStr">
        <is>
          <t>Машины поливомоечные 6000 л</t>
        </is>
      </c>
      <c r="D57" s="245" t="inlineStr">
        <is>
          <t>маш.час</t>
        </is>
      </c>
      <c r="E57" s="161" t="n">
        <v>0.0028005284015852</v>
      </c>
      <c r="F57" s="247" t="n">
        <v>110</v>
      </c>
      <c r="G57" s="169">
        <f>ROUND(E57*F57,2)</f>
        <v/>
      </c>
      <c r="H57" s="248">
        <f>G57/$G$75</f>
        <v/>
      </c>
      <c r="I57" s="169">
        <f>ROUND(F57*Прил.10!$D$12,2)</f>
        <v/>
      </c>
      <c r="J57" s="169">
        <f>ROUND(I57*E57,2)</f>
        <v/>
      </c>
    </row>
    <row r="58" hidden="1" outlineLevel="1" ht="25.5" customFormat="1" customHeight="1" s="205">
      <c r="A58" s="245" t="n">
        <v>41</v>
      </c>
      <c r="B58" s="176" t="inlineStr">
        <is>
          <t>91.08.09-001</t>
        </is>
      </c>
      <c r="C58" s="244" t="inlineStr">
        <is>
          <t>Виброплита с двигателем внутреннего сгорания</t>
        </is>
      </c>
      <c r="D58" s="245" t="inlineStr">
        <is>
          <t>маш.час</t>
        </is>
      </c>
      <c r="E58" s="161" t="n">
        <v>0.0042007926023778</v>
      </c>
      <c r="F58" s="247" t="n">
        <v>60</v>
      </c>
      <c r="G58" s="169">
        <f>ROUND(E58*F58,2)</f>
        <v/>
      </c>
      <c r="H58" s="248">
        <f>G58/$G$75</f>
        <v/>
      </c>
      <c r="I58" s="169">
        <f>ROUND(F58*Прил.10!$D$12,2)</f>
        <v/>
      </c>
      <c r="J58" s="169">
        <f>ROUND(I58*E58,2)</f>
        <v/>
      </c>
    </row>
    <row r="59" hidden="1" outlineLevel="1" ht="25.5" customFormat="1" customHeight="1" s="205">
      <c r="A59" s="245" t="n">
        <v>42</v>
      </c>
      <c r="B59" s="176" t="inlineStr">
        <is>
          <t>91.03.19-092</t>
        </is>
      </c>
      <c r="C59" s="244" t="inlineStr">
        <is>
          <t>Сболчиватели пневматические (без сжатого воздуха)</t>
        </is>
      </c>
      <c r="D59" s="245" t="inlineStr">
        <is>
          <t>маш.час</t>
        </is>
      </c>
      <c r="E59" s="161" t="n">
        <v>0.09661822985469</v>
      </c>
      <c r="F59" s="247" t="n">
        <v>2.19</v>
      </c>
      <c r="G59" s="169">
        <f>ROUND(E59*F59,2)</f>
        <v/>
      </c>
      <c r="H59" s="248">
        <f>G59/$G$75</f>
        <v/>
      </c>
      <c r="I59" s="169">
        <f>ROUND(F59*Прил.10!$D$12,2)</f>
        <v/>
      </c>
      <c r="J59" s="169">
        <f>ROUND(I59*E59,2)</f>
        <v/>
      </c>
    </row>
    <row r="60" hidden="1" outlineLevel="1" ht="25.5" customFormat="1" customHeight="1" s="205">
      <c r="A60" s="245" t="n">
        <v>43</v>
      </c>
      <c r="B60" s="176" t="inlineStr">
        <is>
          <t>91.06.03-052</t>
        </is>
      </c>
      <c r="C60" s="244" t="inlineStr">
        <is>
          <t>Лебедки тракторные тяговым усилием 78,48 кН (8 т)</t>
        </is>
      </c>
      <c r="D60" s="245" t="inlineStr">
        <is>
          <t>маш.час</t>
        </is>
      </c>
      <c r="E60" s="161" t="n">
        <v>0.020303830911493</v>
      </c>
      <c r="F60" s="247" t="n">
        <v>9.210000000000001</v>
      </c>
      <c r="G60" s="169">
        <f>ROUND(E60*F60,2)</f>
        <v/>
      </c>
      <c r="H60" s="248">
        <f>G60/$G$75</f>
        <v/>
      </c>
      <c r="I60" s="169">
        <f>ROUND(F60*Прил.10!$D$12,2)</f>
        <v/>
      </c>
      <c r="J60" s="169">
        <f>ROUND(I60*E60,2)</f>
        <v/>
      </c>
    </row>
    <row r="61" hidden="1" outlineLevel="1" ht="38.25" customFormat="1" customHeight="1" s="205">
      <c r="A61" s="245" t="n">
        <v>44</v>
      </c>
      <c r="B61" s="176" t="inlineStr">
        <is>
          <t>91.06.06-048</t>
        </is>
      </c>
      <c r="C61" s="244" t="inlineStr">
        <is>
          <t>Подъемники одномачтовые, грузоподъемность до 500 кг, высота подъема 45 м</t>
        </is>
      </c>
      <c r="D61" s="245" t="inlineStr">
        <is>
          <t>маш.час</t>
        </is>
      </c>
      <c r="E61" s="161" t="n">
        <v>0.0056010568031704</v>
      </c>
      <c r="F61" s="247" t="n">
        <v>31.26</v>
      </c>
      <c r="G61" s="169">
        <f>ROUND(E61*F61,2)</f>
        <v/>
      </c>
      <c r="H61" s="248">
        <f>G61/$G$75</f>
        <v/>
      </c>
      <c r="I61" s="169">
        <f>ROUND(F61*Прил.10!$D$12,2)</f>
        <v/>
      </c>
      <c r="J61" s="169">
        <f>ROUND(I61*E61,2)</f>
        <v/>
      </c>
    </row>
    <row r="62" hidden="1" outlineLevel="1" ht="25.5" customFormat="1" customHeight="1" s="205">
      <c r="A62" s="245" t="n">
        <v>45</v>
      </c>
      <c r="B62" s="176" t="inlineStr">
        <is>
          <t>91.16.01-002</t>
        </is>
      </c>
      <c r="C62" s="244" t="inlineStr">
        <is>
          <t>Электростанции передвижные, мощность 4 кВт</t>
        </is>
      </c>
      <c r="D62" s="245" t="inlineStr">
        <is>
          <t>маш.час</t>
        </is>
      </c>
      <c r="E62" s="161" t="n">
        <v>0.0063011889035667</v>
      </c>
      <c r="F62" s="247" t="n">
        <v>27.11</v>
      </c>
      <c r="G62" s="169">
        <f>ROUND(E62*F62,2)</f>
        <v/>
      </c>
      <c r="H62" s="248">
        <f>G62/$G$75</f>
        <v/>
      </c>
      <c r="I62" s="169">
        <f>ROUND(F62*Прил.10!$D$12,2)</f>
        <v/>
      </c>
      <c r="J62" s="169">
        <f>ROUND(I62*E62,2)</f>
        <v/>
      </c>
    </row>
    <row r="63" hidden="1" outlineLevel="1" ht="14.25" customFormat="1" customHeight="1" s="205">
      <c r="A63" s="245" t="n">
        <v>46</v>
      </c>
      <c r="B63" s="176" t="inlineStr">
        <is>
          <t>91.21.22-421</t>
        </is>
      </c>
      <c r="C63" s="244" t="inlineStr">
        <is>
          <t>Термос 100 л</t>
        </is>
      </c>
      <c r="D63" s="245" t="inlineStr">
        <is>
          <t>маш.час</t>
        </is>
      </c>
      <c r="E63" s="161" t="n">
        <v>0.044108322324967</v>
      </c>
      <c r="F63" s="247" t="n">
        <v>2.7</v>
      </c>
      <c r="G63" s="169">
        <f>ROUND(E63*F63,2)</f>
        <v/>
      </c>
      <c r="H63" s="248">
        <f>G63/$G$75</f>
        <v/>
      </c>
      <c r="I63" s="169">
        <f>ROUND(F63*Прил.10!$D$12,2)</f>
        <v/>
      </c>
      <c r="J63" s="169">
        <f>ROUND(I63*E63,2)</f>
        <v/>
      </c>
    </row>
    <row r="64" hidden="1" outlineLevel="1" ht="14.25" customFormat="1" customHeight="1" s="205">
      <c r="A64" s="245" t="n">
        <v>47</v>
      </c>
      <c r="B64" s="176" t="inlineStr">
        <is>
          <t>91.07.04-002</t>
        </is>
      </c>
      <c r="C64" s="244" t="inlineStr">
        <is>
          <t>Вибратор поверхностный</t>
        </is>
      </c>
      <c r="D64" s="245" t="inlineStr">
        <is>
          <t>маш.час</t>
        </is>
      </c>
      <c r="E64" s="161" t="n">
        <v>0.23104359313078</v>
      </c>
      <c r="F64" s="247" t="n">
        <v>0.5</v>
      </c>
      <c r="G64" s="169">
        <f>ROUND(E64*F64,2)</f>
        <v/>
      </c>
      <c r="H64" s="248">
        <f>G64/$G$75</f>
        <v/>
      </c>
      <c r="I64" s="169">
        <f>ROUND(F64*Прил.10!$D$12,2)</f>
        <v/>
      </c>
      <c r="J64" s="169">
        <f>ROUND(I64*E64,2)</f>
        <v/>
      </c>
    </row>
    <row r="65" hidden="1" outlineLevel="1" ht="14.25" customFormat="1" customHeight="1" s="205">
      <c r="A65" s="245" t="n">
        <v>48</v>
      </c>
      <c r="B65" s="176" t="inlineStr">
        <is>
          <t>91.07.08-011</t>
        </is>
      </c>
      <c r="C65" s="244" t="inlineStr">
        <is>
          <t>Глиномешалки, 4 м3</t>
        </is>
      </c>
      <c r="D65" s="245" t="inlineStr">
        <is>
          <t>маш.час</t>
        </is>
      </c>
      <c r="E65" s="161" t="n">
        <v>0.0042007926023778</v>
      </c>
      <c r="F65" s="247" t="n">
        <v>26.5</v>
      </c>
      <c r="G65" s="169">
        <f>ROUND(E65*F65,2)</f>
        <v/>
      </c>
      <c r="H65" s="248">
        <f>G65/$G$75</f>
        <v/>
      </c>
      <c r="I65" s="169">
        <f>ROUND(F65*Прил.10!$D$12,2)</f>
        <v/>
      </c>
      <c r="J65" s="169">
        <f>ROUND(I65*E65,2)</f>
        <v/>
      </c>
    </row>
    <row r="66" hidden="1" outlineLevel="1" ht="14.25" customFormat="1" customHeight="1" s="205">
      <c r="A66" s="245" t="n">
        <v>49</v>
      </c>
      <c r="B66" s="176" t="inlineStr">
        <is>
          <t>91.08.09-025</t>
        </is>
      </c>
      <c r="C66" s="244" t="inlineStr">
        <is>
          <t>Трамбовки электрические</t>
        </is>
      </c>
      <c r="D66" s="245" t="inlineStr">
        <is>
          <t>маш.час</t>
        </is>
      </c>
      <c r="E66" s="161" t="n">
        <v>0.01330250990753</v>
      </c>
      <c r="F66" s="247" t="n">
        <v>6.7</v>
      </c>
      <c r="G66" s="169">
        <f>ROUND(E66*F66,2)</f>
        <v/>
      </c>
      <c r="H66" s="248">
        <f>G66/$G$75</f>
        <v/>
      </c>
      <c r="I66" s="169">
        <f>ROUND(F66*Прил.10!$D$12,2)</f>
        <v/>
      </c>
      <c r="J66" s="169">
        <f>ROUND(I66*E66,2)</f>
        <v/>
      </c>
    </row>
    <row r="67" hidden="1" outlineLevel="1" ht="25.5" customFormat="1" customHeight="1" s="205">
      <c r="A67" s="245" t="n">
        <v>50</v>
      </c>
      <c r="B67" s="176" t="inlineStr">
        <is>
          <t>91.17.02-101</t>
        </is>
      </c>
      <c r="C67" s="244" t="inlineStr">
        <is>
          <t>Узлы вакуумные испытательные для контроля герметичности шва</t>
        </is>
      </c>
      <c r="D67" s="245" t="inlineStr">
        <is>
          <t>маш.час</t>
        </is>
      </c>
      <c r="E67" s="161" t="n">
        <v>0.007001321003963</v>
      </c>
      <c r="F67" s="247" t="n">
        <v>12.24</v>
      </c>
      <c r="G67" s="169">
        <f>ROUND(E67*F67,2)</f>
        <v/>
      </c>
      <c r="H67" s="248">
        <f>G67/$G$75</f>
        <v/>
      </c>
      <c r="I67" s="169">
        <f>ROUND(F67*Прил.10!$D$12,2)</f>
        <v/>
      </c>
      <c r="J67" s="169">
        <f>ROUND(I67*E67,2)</f>
        <v/>
      </c>
    </row>
    <row r="68" hidden="1" outlineLevel="1" ht="25.5" customFormat="1" customHeight="1" s="205">
      <c r="A68" s="245" t="n">
        <v>51</v>
      </c>
      <c r="B68" s="176" t="inlineStr">
        <is>
          <t>91.14.03-001</t>
        </is>
      </c>
      <c r="C68" s="244" t="inlineStr">
        <is>
          <t>Автомобиль-самосвал, грузоподъемность: до 7 т</t>
        </is>
      </c>
      <c r="D68" s="245" t="inlineStr">
        <is>
          <t>маш.час</t>
        </is>
      </c>
      <c r="E68" s="161" t="n">
        <v>0.0007001321003963</v>
      </c>
      <c r="F68" s="247" t="n">
        <v>89.54000000000001</v>
      </c>
      <c r="G68" s="169">
        <f>ROUND(E68*F68,2)</f>
        <v/>
      </c>
      <c r="H68" s="248">
        <f>G68/$G$75</f>
        <v/>
      </c>
      <c r="I68" s="169">
        <f>ROUND(F68*Прил.10!$D$12,2)</f>
        <v/>
      </c>
      <c r="J68" s="169">
        <f>ROUND(I68*E68,2)</f>
        <v/>
      </c>
    </row>
    <row r="69" hidden="1" outlineLevel="1" ht="25.5" customFormat="1" customHeight="1" s="205">
      <c r="A69" s="245" t="n">
        <v>52</v>
      </c>
      <c r="B69" s="176" t="inlineStr">
        <is>
          <t>91.14.02-002</t>
        </is>
      </c>
      <c r="C69" s="244" t="inlineStr">
        <is>
          <t>Автомобили бортовые, грузоподъемность: до 8 т</t>
        </is>
      </c>
      <c r="D69" s="245" t="inlineStr">
        <is>
          <t>маш.час</t>
        </is>
      </c>
      <c r="E69" s="161" t="n">
        <v>0.0007001321003963</v>
      </c>
      <c r="F69" s="247" t="n">
        <v>85.84</v>
      </c>
      <c r="G69" s="169">
        <f>ROUND(E69*F69,2)</f>
        <v/>
      </c>
      <c r="H69" s="248">
        <f>G69/$G$75</f>
        <v/>
      </c>
      <c r="I69" s="169">
        <f>ROUND(F69*Прил.10!$D$12,2)</f>
        <v/>
      </c>
      <c r="J69" s="169">
        <f>ROUND(I69*E69,2)</f>
        <v/>
      </c>
    </row>
    <row r="70" hidden="1" outlineLevel="1" ht="25.5" customFormat="1" customHeight="1" s="205">
      <c r="A70" s="245" t="n">
        <v>53</v>
      </c>
      <c r="B70" s="176" t="inlineStr">
        <is>
          <t>91.06.03-047</t>
        </is>
      </c>
      <c r="C70" s="244" t="inlineStr">
        <is>
          <t>Лебедки ручные и рычажные тяговым усилием: 31,39 кН (3,2 т)</t>
        </is>
      </c>
      <c r="D70" s="245" t="inlineStr">
        <is>
          <t>маш.час</t>
        </is>
      </c>
      <c r="E70" s="161" t="n">
        <v>0.008401585204755599</v>
      </c>
      <c r="F70" s="247" t="n">
        <v>3.12</v>
      </c>
      <c r="G70" s="169">
        <f>ROUND(E70*F70,2)</f>
        <v/>
      </c>
      <c r="H70" s="248">
        <f>G70/$G$75</f>
        <v/>
      </c>
      <c r="I70" s="169">
        <f>ROUND(F70*Прил.10!$D$12,2)</f>
        <v/>
      </c>
      <c r="J70" s="169">
        <f>ROUND(I70*E70,2)</f>
        <v/>
      </c>
    </row>
    <row r="71" hidden="1" outlineLevel="1" ht="14.25" customFormat="1" customHeight="1" s="205">
      <c r="A71" s="245" t="n">
        <v>54</v>
      </c>
      <c r="B71" s="176" t="inlineStr">
        <is>
          <t>91.21.16-001</t>
        </is>
      </c>
      <c r="C71" s="244" t="inlineStr">
        <is>
          <t>Пресс-ножницы комбинированные</t>
        </is>
      </c>
      <c r="D71" s="245" t="inlineStr">
        <is>
          <t>маш.час</t>
        </is>
      </c>
      <c r="E71" s="161" t="n">
        <v>0.0014002642007926</v>
      </c>
      <c r="F71" s="247" t="n">
        <v>15.4</v>
      </c>
      <c r="G71" s="169">
        <f>ROUND(E71*F71,2)</f>
        <v/>
      </c>
      <c r="H71" s="248">
        <f>G71/$G$75</f>
        <v/>
      </c>
      <c r="I71" s="169">
        <f>ROUND(F71*Прил.10!$D$12,2)</f>
        <v/>
      </c>
      <c r="J71" s="169">
        <f>ROUND(I71*E71,2)</f>
        <v/>
      </c>
    </row>
    <row r="72" hidden="1" outlineLevel="1" ht="14.25" customFormat="1" customHeight="1" s="205">
      <c r="A72" s="245" t="n">
        <v>55</v>
      </c>
      <c r="B72" s="176" t="inlineStr">
        <is>
          <t>91.21.19-031</t>
        </is>
      </c>
      <c r="C72" s="244" t="inlineStr">
        <is>
          <t>Станок: сверлильный</t>
        </is>
      </c>
      <c r="D72" s="245" t="inlineStr">
        <is>
          <t>маш.час</t>
        </is>
      </c>
      <c r="E72" s="161" t="n">
        <v>0.0042007926023778</v>
      </c>
      <c r="F72" s="247" t="n">
        <v>2.36</v>
      </c>
      <c r="G72" s="169">
        <f>ROUND(E72*F72,2)</f>
        <v/>
      </c>
      <c r="H72" s="248">
        <f>G72/$G$75</f>
        <v/>
      </c>
      <c r="I72" s="169">
        <f>ROUND(F72*Прил.10!$D$12,2)</f>
        <v/>
      </c>
      <c r="J72" s="169">
        <f>ROUND(I72*E72,2)</f>
        <v/>
      </c>
    </row>
    <row r="73" hidden="1" outlineLevel="1" ht="25.5" customFormat="1" customHeight="1" s="205">
      <c r="A73" s="245" t="n">
        <v>56</v>
      </c>
      <c r="B73" s="176" t="inlineStr">
        <is>
          <t>91.06.03-060</t>
        </is>
      </c>
      <c r="C73" s="244" t="inlineStr">
        <is>
          <t>Лебедки электрические тяговым усилием: до 5,79 кН (0,59 т)</t>
        </is>
      </c>
      <c r="D73" s="245" t="inlineStr">
        <is>
          <t>маш.час</t>
        </is>
      </c>
      <c r="E73" s="161" t="n">
        <v>0.0042007926023778</v>
      </c>
      <c r="F73" s="247" t="n">
        <v>1.7</v>
      </c>
      <c r="G73" s="169">
        <f>ROUND(E73*F73,2)</f>
        <v/>
      </c>
      <c r="H73" s="248">
        <f>G73/$G$75</f>
        <v/>
      </c>
      <c r="I73" s="169">
        <f>ROUND(F73*Прил.10!$D$12,2)</f>
        <v/>
      </c>
      <c r="J73" s="169">
        <f>ROUND(I73*E73,2)</f>
        <v/>
      </c>
    </row>
    <row r="74" collapsed="1" ht="14.25" customFormat="1" customHeight="1" s="205">
      <c r="A74" s="245" t="n"/>
      <c r="B74" s="245" t="n"/>
      <c r="C74" s="244" t="inlineStr">
        <is>
          <t>Итого прочие машины и механизмы</t>
        </is>
      </c>
      <c r="D74" s="245" t="n"/>
      <c r="E74" s="246" t="n"/>
      <c r="F74" s="169" t="n"/>
      <c r="G74" s="65">
        <f>SUM(G28:G73)</f>
        <v/>
      </c>
      <c r="H74" s="248">
        <f>G74/G75</f>
        <v/>
      </c>
      <c r="I74" s="169" t="n"/>
      <c r="J74" s="65">
        <f>SUM(J28:J73)</f>
        <v/>
      </c>
    </row>
    <row r="75" ht="25.5" customFormat="1" customHeight="1" s="205">
      <c r="A75" s="245" t="n"/>
      <c r="B75" s="245" t="n"/>
      <c r="C75" s="249" t="inlineStr">
        <is>
          <t>Итого по разделу «Машины и механизмы»</t>
        </is>
      </c>
      <c r="D75" s="245" t="n"/>
      <c r="E75" s="246" t="n"/>
      <c r="F75" s="169" t="n"/>
      <c r="G75" s="169">
        <f>G74+G27</f>
        <v/>
      </c>
      <c r="H75" s="60" t="n">
        <v>1</v>
      </c>
      <c r="I75" s="61" t="n"/>
      <c r="J75" s="75">
        <f>J74+J27</f>
        <v/>
      </c>
    </row>
    <row r="76" ht="14.25" customFormat="1" customHeight="1" s="205">
      <c r="A76" s="245" t="n"/>
      <c r="B76" s="249" t="inlineStr">
        <is>
          <t>Оборудование</t>
        </is>
      </c>
      <c r="C76" s="276" t="n"/>
      <c r="D76" s="276" t="n"/>
      <c r="E76" s="276" t="n"/>
      <c r="F76" s="276" t="n"/>
      <c r="G76" s="276" t="n"/>
      <c r="H76" s="277" t="n"/>
      <c r="I76" s="64" t="n"/>
      <c r="J76" s="64" t="n"/>
    </row>
    <row r="77">
      <c r="A77" s="245" t="n"/>
      <c r="B77" s="244" t="inlineStr">
        <is>
          <t>Основное оборудование</t>
        </is>
      </c>
      <c r="C77" s="276" t="n"/>
      <c r="D77" s="276" t="n"/>
      <c r="E77" s="276" t="n"/>
      <c r="F77" s="276" t="n"/>
      <c r="G77" s="276" t="n"/>
      <c r="H77" s="277" t="n"/>
      <c r="I77" s="64" t="n"/>
      <c r="J77" s="64" t="n"/>
      <c r="L77" s="205" t="n"/>
    </row>
    <row r="78" ht="25.5" customHeight="1" s="198">
      <c r="A78" s="245" t="n">
        <v>57</v>
      </c>
      <c r="B78" s="176" t="inlineStr">
        <is>
          <t>БЦ.8.104</t>
        </is>
      </c>
      <c r="C78" s="244" t="inlineStr">
        <is>
          <t>Трансформатор, двухобмоточный масляный 20 кВ 25 кВА</t>
        </is>
      </c>
      <c r="D78" s="245" t="inlineStr">
        <is>
          <t>шт.</t>
        </is>
      </c>
      <c r="E78" s="71" t="n">
        <v>2</v>
      </c>
      <c r="F78" s="169">
        <f>ROUND(I78/Прил.10!D14,2)</f>
        <v/>
      </c>
      <c r="G78" s="169">
        <f>ROUND(E78*F78,2)</f>
        <v/>
      </c>
      <c r="H78" s="248">
        <f>G78/$G$82</f>
        <v/>
      </c>
      <c r="I78" s="169" t="n">
        <v>214339.62</v>
      </c>
      <c r="J78" s="169">
        <f>ROUND(I78*E78,2)</f>
        <v/>
      </c>
      <c r="K78" s="205" t="n"/>
      <c r="L78" s="205" t="n"/>
      <c r="M78" s="205" t="n"/>
      <c r="N78" s="205" t="n"/>
    </row>
    <row r="79">
      <c r="A79" s="245" t="n"/>
      <c r="B79" s="245" t="n"/>
      <c r="C79" s="244" t="inlineStr">
        <is>
          <t>Итого основное оборудование</t>
        </is>
      </c>
      <c r="D79" s="245" t="n"/>
      <c r="E79" s="71" t="n"/>
      <c r="F79" s="247" t="n"/>
      <c r="G79" s="169">
        <f>G78</f>
        <v/>
      </c>
      <c r="H79" s="250">
        <f>H78</f>
        <v/>
      </c>
      <c r="I79" s="65" t="n"/>
      <c r="J79" s="169">
        <f>J78</f>
        <v/>
      </c>
      <c r="L79" s="205" t="n"/>
    </row>
    <row r="80">
      <c r="A80" s="266" t="n"/>
      <c r="B80" s="245" t="n"/>
      <c r="C80" s="244" t="inlineStr">
        <is>
          <t>Итого прочее оборудование</t>
        </is>
      </c>
      <c r="D80" s="245" t="n"/>
      <c r="E80" s="161" t="n"/>
      <c r="F80" s="247" t="n"/>
      <c r="G80" s="169" t="n">
        <v>0</v>
      </c>
      <c r="H80" s="248">
        <f>G80/$G$82</f>
        <v/>
      </c>
      <c r="I80" s="145" t="n"/>
      <c r="J80" s="144" t="n">
        <v>0</v>
      </c>
      <c r="L80" s="205" t="n"/>
    </row>
    <row r="81">
      <c r="A81" s="266" t="n"/>
      <c r="B81" s="266" t="n"/>
      <c r="C81" s="141" t="inlineStr">
        <is>
          <t>Итого по разделу «Оборудование»</t>
        </is>
      </c>
      <c r="D81" s="266" t="n"/>
      <c r="E81" s="142" t="n"/>
      <c r="F81" s="143" t="n"/>
      <c r="G81" s="144">
        <f>G79+G80</f>
        <v/>
      </c>
      <c r="H81" s="123">
        <f>H79+H80</f>
        <v/>
      </c>
      <c r="I81" s="145" t="n"/>
      <c r="J81" s="144">
        <f>J79+J80</f>
        <v/>
      </c>
      <c r="L81" s="205" t="n"/>
    </row>
    <row r="82" ht="25.5" customHeight="1" s="198">
      <c r="A82" s="245" t="n"/>
      <c r="B82" s="245" t="n"/>
      <c r="C82" s="244" t="inlineStr">
        <is>
          <t>в том числе технологическое оборудование</t>
        </is>
      </c>
      <c r="D82" s="245" t="n"/>
      <c r="E82" s="161" t="n"/>
      <c r="F82" s="247" t="n"/>
      <c r="G82" s="169">
        <f>'Прил.6 Расчет ОБ'!G13</f>
        <v/>
      </c>
      <c r="H82" s="248" t="n"/>
      <c r="I82" s="169" t="n"/>
      <c r="J82" s="169">
        <f>J81</f>
        <v/>
      </c>
      <c r="L82" s="205" t="n"/>
    </row>
    <row r="83" ht="14.25" customFormat="1" customHeight="1" s="205">
      <c r="A83" s="245" t="n"/>
      <c r="B83" s="249" t="inlineStr">
        <is>
          <t>Материалы</t>
        </is>
      </c>
      <c r="C83" s="276" t="n"/>
      <c r="D83" s="276" t="n"/>
      <c r="E83" s="276" t="n"/>
      <c r="F83" s="276" t="n"/>
      <c r="G83" s="276" t="n"/>
      <c r="H83" s="277" t="n"/>
      <c r="I83" s="64" t="n"/>
      <c r="J83" s="64" t="n"/>
    </row>
    <row r="84" ht="14.25" customFormat="1" customHeight="1" s="205">
      <c r="A84" s="245" t="n"/>
      <c r="B84" s="244" t="inlineStr">
        <is>
          <t>Основные материалы</t>
        </is>
      </c>
      <c r="C84" s="276" t="n"/>
      <c r="D84" s="276" t="n"/>
      <c r="E84" s="276" t="n"/>
      <c r="F84" s="276" t="n"/>
      <c r="G84" s="276" t="n"/>
      <c r="H84" s="277" t="n"/>
      <c r="I84" s="64" t="n"/>
      <c r="J84" s="64" t="n"/>
    </row>
    <row r="85" ht="38.25" customFormat="1" customHeight="1" s="205">
      <c r="A85" s="245" t="n">
        <v>58</v>
      </c>
      <c r="B85" s="176" t="inlineStr">
        <is>
          <t>07.2.07.04-0014</t>
        </is>
      </c>
      <c r="C85" s="244" t="inlineStr">
        <is>
          <t>Конструкции сварные индивидуальные прочие, масса сборочной единицы от 0,1 до 0,5 т</t>
        </is>
      </c>
      <c r="D85" s="245" t="inlineStr">
        <is>
          <t>т</t>
        </is>
      </c>
      <c r="E85" s="161" t="n">
        <v>0.085626155878468</v>
      </c>
      <c r="F85" s="247" t="n">
        <v>10046</v>
      </c>
      <c r="G85" s="169">
        <f>ROUND(E85*F85,2)</f>
        <v/>
      </c>
      <c r="H85" s="248">
        <f>G85/$G$186</f>
        <v/>
      </c>
      <c r="I85" s="174">
        <f>ROUND(F85*Прил.10!$D$13,2)</f>
        <v/>
      </c>
      <c r="J85" s="174">
        <f>ROUND(I85*E85,2)</f>
        <v/>
      </c>
    </row>
    <row r="86" ht="38.25" customFormat="1" customHeight="1" s="205">
      <c r="A86" s="245" t="n">
        <v>59</v>
      </c>
      <c r="B86" s="176" t="inlineStr">
        <is>
          <t>02.3.01.02-0016</t>
        </is>
      </c>
      <c r="C86" s="244" t="inlineStr">
        <is>
          <t>Песок природный для строительных: работ средний с крупностью зерен размером свыше 5 мм-до 5% по массе</t>
        </is>
      </c>
      <c r="D86" s="245" t="inlineStr">
        <is>
          <t>м3</t>
        </is>
      </c>
      <c r="E86" s="161" t="n">
        <v>8.0515191545575</v>
      </c>
      <c r="F86" s="247" t="n">
        <v>55.26</v>
      </c>
      <c r="G86" s="169">
        <f>ROUND(E86*F86,2)</f>
        <v/>
      </c>
      <c r="H86" s="248">
        <f>G86/$G$186</f>
        <v/>
      </c>
      <c r="I86" s="174">
        <f>ROUND(F86*Прил.10!$D$13,2)</f>
        <v/>
      </c>
      <c r="J86" s="174">
        <f>ROUND(I86*E86,2)</f>
        <v/>
      </c>
    </row>
    <row r="87" ht="25.5" customFormat="1" customHeight="1" s="205">
      <c r="A87" s="245" t="n">
        <v>60</v>
      </c>
      <c r="B87" s="176" t="inlineStr">
        <is>
          <t>02.2.05.04-1822</t>
        </is>
      </c>
      <c r="C87" s="244" t="inlineStr">
        <is>
          <t>Щебень М 1000, фракция 40-80(70) мм, группа 2</t>
        </is>
      </c>
      <c r="D87" s="245" t="inlineStr">
        <is>
          <t>м3</t>
        </is>
      </c>
      <c r="E87" s="161" t="n">
        <v>2.275429326288</v>
      </c>
      <c r="F87" s="247" t="n">
        <v>155.94</v>
      </c>
      <c r="G87" s="169">
        <f>ROUND(E87*F87,2)</f>
        <v/>
      </c>
      <c r="H87" s="248">
        <f>G87/$G$186</f>
        <v/>
      </c>
      <c r="I87" s="174">
        <f>ROUND(F87*Прил.10!$D$13,2)</f>
        <v/>
      </c>
      <c r="J87" s="174">
        <f>ROUND(I87*E87,2)</f>
        <v/>
      </c>
    </row>
    <row r="88" ht="38.25" customFormat="1" customHeight="1" s="205">
      <c r="A88" s="245" t="n">
        <v>61</v>
      </c>
      <c r="B88" s="176" t="inlineStr">
        <is>
          <t>05.2.02.01-0037</t>
        </is>
      </c>
      <c r="C88" s="244" t="inlineStr">
        <is>
          <t>Блоки бетонные для стен подвалов полнотелые ФБС9-5-6-Т, бетон B7,5 (М100, объем 0,244 м3, расход арматуры 0,76 кг</t>
        </is>
      </c>
      <c r="D88" s="245" t="inlineStr">
        <is>
          <t>шт</t>
        </is>
      </c>
      <c r="E88" s="161" t="n">
        <v>2.2404227212682</v>
      </c>
      <c r="F88" s="247" t="n">
        <v>151.28</v>
      </c>
      <c r="G88" s="169">
        <f>ROUND(E88*F88,2)</f>
        <v/>
      </c>
      <c r="H88" s="248">
        <f>G88/$G$186</f>
        <v/>
      </c>
      <c r="I88" s="174">
        <f>ROUND(F88*Прил.10!$D$13,2)</f>
        <v/>
      </c>
      <c r="J88" s="174">
        <f>ROUND(I88*E88,2)</f>
        <v/>
      </c>
    </row>
    <row r="89" ht="51" customFormat="1" customHeight="1" s="205">
      <c r="A89" s="245" t="n">
        <v>62</v>
      </c>
      <c r="B89" s="176" t="inlineStr">
        <is>
          <t>05.2.02.01-0051</t>
        </is>
      </c>
      <c r="C89" s="244" t="inlineStr">
        <is>
          <t>Блоки бетонные для стен подвалов полнотелые ФБС24-3-6-Т, бетон B7,5 (М100, объем 0,406 м3, расход арматуры 0,97 кг</t>
        </is>
      </c>
      <c r="D89" s="245" t="inlineStr">
        <is>
          <t>шт</t>
        </is>
      </c>
      <c r="E89" s="161" t="n">
        <v>1.1202113606341</v>
      </c>
      <c r="F89" s="247" t="n">
        <v>243.6</v>
      </c>
      <c r="G89" s="169">
        <f>ROUND(E89*F89,2)</f>
        <v/>
      </c>
      <c r="H89" s="248">
        <f>G89/$G$186</f>
        <v/>
      </c>
      <c r="I89" s="174">
        <f>ROUND(F89*Прил.10!$D$13,2)</f>
        <v/>
      </c>
      <c r="J89" s="174">
        <f>ROUND(I89*E89,2)</f>
        <v/>
      </c>
    </row>
    <row r="90" ht="14.25" customFormat="1" customHeight="1" s="205">
      <c r="A90" s="245" t="n">
        <v>63</v>
      </c>
      <c r="B90" s="176" t="inlineStr">
        <is>
          <t>07.5.01.02-0021</t>
        </is>
      </c>
      <c r="C90" s="244" t="inlineStr">
        <is>
          <t>Лазы круглые</t>
        </is>
      </c>
      <c r="D90" s="245" t="inlineStr">
        <is>
          <t>т</t>
        </is>
      </c>
      <c r="E90" s="161" t="n">
        <v>0.012952443857332</v>
      </c>
      <c r="F90" s="247" t="n">
        <v>13189.34</v>
      </c>
      <c r="G90" s="169">
        <f>ROUND(E90*F90,2)</f>
        <v/>
      </c>
      <c r="H90" s="248">
        <f>G90/$G$186</f>
        <v/>
      </c>
      <c r="I90" s="174">
        <f>ROUND(F90*Прил.10!$D$13,2)</f>
        <v/>
      </c>
      <c r="J90" s="174">
        <f>ROUND(I90*E90,2)</f>
        <v/>
      </c>
    </row>
    <row r="91" ht="38.25" customFormat="1" customHeight="1" s="205">
      <c r="A91" s="245" t="n">
        <v>64</v>
      </c>
      <c r="B91" s="176" t="inlineStr">
        <is>
          <t>14.4.04.11-0005</t>
        </is>
      </c>
      <c r="C91" s="244" t="inlineStr">
        <is>
          <t>Эмаль двухкомпонентная из сополимера винилхлорида, модифицированного эпоксидной смолой</t>
        </is>
      </c>
      <c r="D91" s="245" t="inlineStr">
        <is>
          <t>т</t>
        </is>
      </c>
      <c r="E91" s="161" t="n">
        <v>0.0033746367239102</v>
      </c>
      <c r="F91" s="247" t="n">
        <v>48307</v>
      </c>
      <c r="G91" s="169">
        <f>ROUND(E91*F91,2)</f>
        <v/>
      </c>
      <c r="H91" s="248">
        <f>G91/$G$186</f>
        <v/>
      </c>
      <c r="I91" s="174">
        <f>ROUND(F91*Прил.10!$D$13,2)</f>
        <v/>
      </c>
      <c r="J91" s="174">
        <f>ROUND(I91*E91,2)</f>
        <v/>
      </c>
    </row>
    <row r="92" ht="25.5" customFormat="1" customHeight="1" s="205">
      <c r="A92" s="245" t="n">
        <v>65</v>
      </c>
      <c r="B92" s="176" t="inlineStr">
        <is>
          <t>23.1.02.06-0112</t>
        </is>
      </c>
      <c r="C92" s="244" t="inlineStr">
        <is>
          <t>Хомуты для крепления кронштейнов, оцинкованные</t>
        </is>
      </c>
      <c r="D92" s="245" t="inlineStr">
        <is>
          <t>т</t>
        </is>
      </c>
      <c r="E92" s="161" t="n">
        <v>0.0072813738441215</v>
      </c>
      <c r="F92" s="247" t="n">
        <v>20008.68</v>
      </c>
      <c r="G92" s="169">
        <f>ROUND(E92*F92,2)</f>
        <v/>
      </c>
      <c r="H92" s="248">
        <f>G92/$G$186</f>
        <v/>
      </c>
      <c r="I92" s="174">
        <f>ROUND(F92*Прил.10!$D$13,2)</f>
        <v/>
      </c>
      <c r="J92" s="174">
        <f>ROUND(I92*E92,2)</f>
        <v/>
      </c>
    </row>
    <row r="93" ht="14.25" customFormat="1" customHeight="1" s="205">
      <c r="A93" s="245" t="n">
        <v>66</v>
      </c>
      <c r="B93" s="176" t="inlineStr">
        <is>
          <t>08.1.02.06-0043</t>
        </is>
      </c>
      <c r="C93" s="244" t="inlineStr">
        <is>
          <t>Люк чугунный тяжелый</t>
        </is>
      </c>
      <c r="D93" s="245" t="inlineStr">
        <is>
          <t>шт</t>
        </is>
      </c>
      <c r="E93" s="161" t="n">
        <v>0.21003963011889</v>
      </c>
      <c r="F93" s="247" t="n">
        <v>569.52</v>
      </c>
      <c r="G93" s="169">
        <f>ROUND(E93*F93,2)</f>
        <v/>
      </c>
      <c r="H93" s="248">
        <f>G93/$G$186</f>
        <v/>
      </c>
      <c r="I93" s="174">
        <f>ROUND(F93*Прил.10!$D$13,2)</f>
        <v/>
      </c>
      <c r="J93" s="174">
        <f>ROUND(I93*E93,2)</f>
        <v/>
      </c>
    </row>
    <row r="94" ht="25.5" customFormat="1" customHeight="1" s="205">
      <c r="A94" s="245" t="n">
        <v>67</v>
      </c>
      <c r="B94" s="176" t="inlineStr">
        <is>
          <t>05.1.01.13-0043</t>
        </is>
      </c>
      <c r="C94" s="244" t="inlineStr">
        <is>
          <t>Плита железобетонная покрытий, перекрытий и днищ</t>
        </is>
      </c>
      <c r="D94" s="245" t="inlineStr">
        <is>
          <t>м3</t>
        </is>
      </c>
      <c r="E94" s="161" t="n">
        <v>0.08527608982826899</v>
      </c>
      <c r="F94" s="247" t="n">
        <v>1382.9</v>
      </c>
      <c r="G94" s="169">
        <f>ROUND(E94*F94,2)</f>
        <v/>
      </c>
      <c r="H94" s="248">
        <f>G94/$G$186</f>
        <v/>
      </c>
      <c r="I94" s="174">
        <f>ROUND(F94*Прил.10!$D$13,2)</f>
        <v/>
      </c>
      <c r="J94" s="174">
        <f>ROUND(I94*E94,2)</f>
        <v/>
      </c>
    </row>
    <row r="95" ht="14.25" customFormat="1" customHeight="1" s="205">
      <c r="A95" s="245" t="n">
        <v>68</v>
      </c>
      <c r="B95" s="176" t="inlineStr">
        <is>
          <t>22.2.02.07-0003</t>
        </is>
      </c>
      <c r="C95" s="244" t="inlineStr">
        <is>
          <t>Конструкции стальные порталов ОРУ</t>
        </is>
      </c>
      <c r="D95" s="245" t="inlineStr">
        <is>
          <t>т</t>
        </is>
      </c>
      <c r="E95" s="161" t="n">
        <v>0.0091717305151915</v>
      </c>
      <c r="F95" s="247" t="n">
        <v>12500</v>
      </c>
      <c r="G95" s="169">
        <f>ROUND(E95*F95,2)</f>
        <v/>
      </c>
      <c r="H95" s="248">
        <f>G95/$G$186</f>
        <v/>
      </c>
      <c r="I95" s="174">
        <f>ROUND(F95*Прил.10!$D$13,2)</f>
        <v/>
      </c>
      <c r="J95" s="174">
        <f>ROUND(I95*E95,2)</f>
        <v/>
      </c>
    </row>
    <row r="96" ht="25.5" customFormat="1" customHeight="1" s="205">
      <c r="A96" s="245" t="n">
        <v>69</v>
      </c>
      <c r="B96" s="176" t="inlineStr">
        <is>
          <t>04.1.02.05-0006</t>
        </is>
      </c>
      <c r="C96" s="244" t="inlineStr">
        <is>
          <t>Смеси бетонные тяжелого бетона (БСТ), класс В15 (М200)</t>
        </is>
      </c>
      <c r="D96" s="245" t="inlineStr">
        <is>
          <t>м3</t>
        </is>
      </c>
      <c r="E96" s="161" t="n">
        <v>0.18028401585205</v>
      </c>
      <c r="F96" s="247" t="n">
        <v>592.76</v>
      </c>
      <c r="G96" s="169">
        <f>ROUND(E96*F96,2)</f>
        <v/>
      </c>
      <c r="H96" s="248">
        <f>G96/$G$186</f>
        <v/>
      </c>
      <c r="I96" s="174">
        <f>ROUND(F96*Прил.10!$D$13,2)</f>
        <v/>
      </c>
      <c r="J96" s="174">
        <f>ROUND(I96*E96,2)</f>
        <v/>
      </c>
    </row>
    <row r="97" ht="38.25" customFormat="1" customHeight="1" s="205">
      <c r="A97" s="245" t="n">
        <v>70</v>
      </c>
      <c r="B97" s="176" t="inlineStr">
        <is>
          <t>08.4.03.03-0029</t>
        </is>
      </c>
      <c r="C97" s="244" t="inlineStr">
        <is>
          <t>Сталь арматурная, горячекатаная, периодического профиля, класс А-III, диаметр 6 мм</t>
        </is>
      </c>
      <c r="D97" s="245" t="inlineStr">
        <is>
          <t>т</t>
        </is>
      </c>
      <c r="E97" s="161" t="n">
        <v>0.011097093791281</v>
      </c>
      <c r="F97" s="247" t="n">
        <v>8213.719999999999</v>
      </c>
      <c r="G97" s="169">
        <f>ROUND(E97*F97,2)</f>
        <v/>
      </c>
      <c r="H97" s="248">
        <f>G97/$G$186</f>
        <v/>
      </c>
      <c r="I97" s="174">
        <f>ROUND(F97*Прил.10!$D$13,2)</f>
        <v/>
      </c>
      <c r="J97" s="174">
        <f>ROUND(I97*E97,2)</f>
        <v/>
      </c>
    </row>
    <row r="98" ht="25.5" customFormat="1" customHeight="1" s="205">
      <c r="A98" s="245" t="n">
        <v>71</v>
      </c>
      <c r="B98" s="176" t="inlineStr">
        <is>
          <t>07.2.07.04-0007</t>
        </is>
      </c>
      <c r="C98" s="244" t="inlineStr">
        <is>
          <t>Конструкции стальные индивидуальные решетчатые сварные, масса до 0,1 т</t>
        </is>
      </c>
      <c r="D98" s="245" t="inlineStr">
        <is>
          <t>т</t>
        </is>
      </c>
      <c r="E98" s="161" t="n">
        <v>0.0068332892998679</v>
      </c>
      <c r="F98" s="247" t="n">
        <v>11500</v>
      </c>
      <c r="G98" s="169">
        <f>ROUND(E98*F98,2)</f>
        <v/>
      </c>
      <c r="H98" s="248">
        <f>G98/$G$186</f>
        <v/>
      </c>
      <c r="I98" s="174">
        <f>ROUND(F98*Прил.10!$D$13,2)</f>
        <v/>
      </c>
      <c r="J98" s="174">
        <f>ROUND(I98*E98,2)</f>
        <v/>
      </c>
    </row>
    <row r="99" ht="25.5" customFormat="1" customHeight="1" s="205">
      <c r="A99" s="245" t="n">
        <v>72</v>
      </c>
      <c r="B99" s="176" t="inlineStr">
        <is>
          <t>25.1.01.04-0031</t>
        </is>
      </c>
      <c r="C99" s="244" t="inlineStr">
        <is>
          <t>Шпалы непропитанные для железных дорог, тип I</t>
        </is>
      </c>
      <c r="D99" s="245" t="inlineStr">
        <is>
          <t>шт</t>
        </is>
      </c>
      <c r="E99" s="161" t="n">
        <v>0.29125495376486</v>
      </c>
      <c r="F99" s="247" t="n">
        <v>266.67</v>
      </c>
      <c r="G99" s="169">
        <f>ROUND(E99*F99,2)</f>
        <v/>
      </c>
      <c r="H99" s="248">
        <f>G99/$G$186</f>
        <v/>
      </c>
      <c r="I99" s="174">
        <f>ROUND(F99*Прил.10!$D$13,2)</f>
        <v/>
      </c>
      <c r="J99" s="174">
        <f>ROUND(I99*E99,2)</f>
        <v/>
      </c>
    </row>
    <row r="100" ht="38.25" customFormat="1" customHeight="1" s="205">
      <c r="A100" s="245" t="n">
        <v>73</v>
      </c>
      <c r="B100" s="176" t="inlineStr">
        <is>
          <t>05.2.02.01-0035</t>
        </is>
      </c>
      <c r="C100" s="244" t="inlineStr">
        <is>
          <t>Блоки бетонные для стен подвалов полнотелые ФБС9-3-6-Т, бетон B7,5 (М100, объем 0,146 м3, расход арматуры 0,76 кг</t>
        </is>
      </c>
      <c r="D100" s="245" t="inlineStr">
        <is>
          <t>шт</t>
        </is>
      </c>
      <c r="E100" s="161" t="n">
        <v>0.8401585204755599</v>
      </c>
      <c r="F100" s="247" t="n">
        <v>90.53</v>
      </c>
      <c r="G100" s="169">
        <f>ROUND(E100*F100,2)</f>
        <v/>
      </c>
      <c r="H100" s="248">
        <f>G100/$G$186</f>
        <v/>
      </c>
      <c r="I100" s="174">
        <f>ROUND(F100*Прил.10!$D$13,2)</f>
        <v/>
      </c>
      <c r="J100" s="174">
        <f>ROUND(I100*E100,2)</f>
        <v/>
      </c>
    </row>
    <row r="101" ht="38.25" customFormat="1" customHeight="1" s="205">
      <c r="A101" s="245" t="n">
        <v>74</v>
      </c>
      <c r="B101" s="176" t="inlineStr">
        <is>
          <t>25.1.01.04-0012</t>
        </is>
      </c>
      <c r="C101" s="244" t="inlineStr">
        <is>
          <t>Шпалы из древесины хвойных пород для колеи 600 мм, непропитанные, длина 1200 мм, тип II</t>
        </is>
      </c>
      <c r="D101" s="245" t="inlineStr">
        <is>
          <t>шт</t>
        </is>
      </c>
      <c r="E101" s="161" t="n">
        <v>1.4002642007926</v>
      </c>
      <c r="F101" s="247" t="n">
        <v>42.6</v>
      </c>
      <c r="G101" s="169">
        <f>ROUND(E101*F101,2)</f>
        <v/>
      </c>
      <c r="H101" s="248">
        <f>G101/$G$186</f>
        <v/>
      </c>
      <c r="I101" s="174">
        <f>ROUND(F101*Прил.10!$D$13,2)</f>
        <v/>
      </c>
      <c r="J101" s="174">
        <f>ROUND(I101*E101,2)</f>
        <v/>
      </c>
    </row>
    <row r="102" ht="14.25" customFormat="1" customHeight="1" s="205">
      <c r="A102" s="245" t="n">
        <v>75</v>
      </c>
      <c r="B102" s="176" t="inlineStr">
        <is>
          <t>12.1.02.01-0011</t>
        </is>
      </c>
      <c r="C102" s="244" t="inlineStr">
        <is>
          <t>Гидроизол ГИ-Г</t>
        </is>
      </c>
      <c r="D102" s="245" t="inlineStr">
        <is>
          <t>м2</t>
        </is>
      </c>
      <c r="E102" s="161" t="n">
        <v>6.704464993395</v>
      </c>
      <c r="F102" s="247" t="n">
        <v>8.6</v>
      </c>
      <c r="G102" s="169">
        <f>ROUND(E102*F102,2)</f>
        <v/>
      </c>
      <c r="H102" s="248">
        <f>G102/$G$186</f>
        <v/>
      </c>
      <c r="I102" s="174">
        <f>ROUND(F102*Прил.10!$D$13,2)</f>
        <v/>
      </c>
      <c r="J102" s="174">
        <f>ROUND(I102*E102,2)</f>
        <v/>
      </c>
    </row>
    <row r="103" ht="14.25" customFormat="1" customHeight="1" s="205">
      <c r="A103" s="245" t="n"/>
      <c r="B103" s="176" t="n"/>
      <c r="C103" s="244" t="inlineStr">
        <is>
          <t>Итого основные материалы</t>
        </is>
      </c>
      <c r="D103" s="245" t="n"/>
      <c r="E103" s="161" t="n"/>
      <c r="F103" s="272" t="n"/>
      <c r="G103" s="169">
        <f>SUM(G85:G102)</f>
        <v/>
      </c>
      <c r="H103" s="248">
        <f>G103/$G$186</f>
        <v/>
      </c>
      <c r="I103" s="175" t="n"/>
      <c r="J103" s="169">
        <f>SUM(J85:J102)</f>
        <v/>
      </c>
    </row>
    <row r="104" hidden="1" outlineLevel="1" ht="14.25" customFormat="1" customHeight="1" s="205">
      <c r="A104" s="245" t="n">
        <v>76</v>
      </c>
      <c r="B104" s="176" t="inlineStr">
        <is>
          <t>08.1.02.06-0041</t>
        </is>
      </c>
      <c r="C104" s="244" t="inlineStr">
        <is>
          <t>Люки чугунные: легкие</t>
        </is>
      </c>
      <c r="D104" s="245" t="inlineStr">
        <is>
          <t>шт</t>
        </is>
      </c>
      <c r="E104" s="161" t="n">
        <v>0.14002642007926</v>
      </c>
      <c r="F104" s="247" t="n">
        <v>375</v>
      </c>
      <c r="G104" s="169">
        <f>ROUND(E104*F104,2)</f>
        <v/>
      </c>
      <c r="H104" s="248">
        <f>G104/$G$186</f>
        <v/>
      </c>
      <c r="I104" s="174">
        <f>ROUND(F104*Прил.10!$D$13,2)</f>
        <v/>
      </c>
      <c r="J104" s="174">
        <f>ROUND(I104*E104,2)</f>
        <v/>
      </c>
    </row>
    <row r="105" hidden="1" outlineLevel="1" ht="51" customFormat="1" customHeight="1" s="205">
      <c r="A105" s="245" t="n">
        <v>77</v>
      </c>
      <c r="B105" s="176" t="inlineStr">
        <is>
          <t>07.2.07.12-0020</t>
        </is>
      </c>
      <c r="C105" s="24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5" t="inlineStr">
        <is>
          <t>т</t>
        </is>
      </c>
      <c r="E105" s="161" t="n">
        <v>0.0059931307793923</v>
      </c>
      <c r="F105" s="247" t="n">
        <v>7712</v>
      </c>
      <c r="G105" s="169">
        <f>ROUND(E105*F105,2)</f>
        <v/>
      </c>
      <c r="H105" s="248">
        <f>G105/$G$186</f>
        <v/>
      </c>
      <c r="I105" s="174">
        <f>ROUND(F105*Прил.10!$D$13,2)</f>
        <v/>
      </c>
      <c r="J105" s="174">
        <f>ROUND(I105*E105,2)</f>
        <v/>
      </c>
    </row>
    <row r="106" hidden="1" outlineLevel="1" ht="25.5" customFormat="1" customHeight="1" s="205">
      <c r="A106" s="245" t="n">
        <v>78</v>
      </c>
      <c r="B106" s="176" t="inlineStr">
        <is>
          <t>04.3.01.09-0014</t>
        </is>
      </c>
      <c r="C106" s="244" t="inlineStr">
        <is>
          <t>Раствор готовый кладочный цементный марки: 100</t>
        </is>
      </c>
      <c r="D106" s="245" t="inlineStr">
        <is>
          <t>м3</t>
        </is>
      </c>
      <c r="E106" s="161" t="n">
        <v>0.07721056803170399</v>
      </c>
      <c r="F106" s="247" t="n">
        <v>519.8</v>
      </c>
      <c r="G106" s="169">
        <f>ROUND(E106*F106,2)</f>
        <v/>
      </c>
      <c r="H106" s="248">
        <f>G106/$G$186</f>
        <v/>
      </c>
      <c r="I106" s="174">
        <f>ROUND(F106*Прил.10!$D$13,2)</f>
        <v/>
      </c>
      <c r="J106" s="174">
        <f>ROUND(I106*E106,2)</f>
        <v/>
      </c>
    </row>
    <row r="107" hidden="1" outlineLevel="1" ht="14.25" customFormat="1" customHeight="1" s="205">
      <c r="A107" s="245" t="n">
        <v>79</v>
      </c>
      <c r="B107" s="176" t="inlineStr">
        <is>
          <t>14.4.01.09-0428</t>
        </is>
      </c>
      <c r="C107" s="244" t="inlineStr">
        <is>
          <t>Грунтовка: ЭП-057</t>
        </is>
      </c>
      <c r="D107" s="245" t="inlineStr">
        <is>
          <t>т</t>
        </is>
      </c>
      <c r="E107" s="161" t="n">
        <v>0.00058811096433289</v>
      </c>
      <c r="F107" s="247" t="n">
        <v>67340</v>
      </c>
      <c r="G107" s="169">
        <f>ROUND(E107*F107,2)</f>
        <v/>
      </c>
      <c r="H107" s="248">
        <f>G107/$G$186</f>
        <v/>
      </c>
      <c r="I107" s="174">
        <f>ROUND(F107*Прил.10!$D$13,2)</f>
        <v/>
      </c>
      <c r="J107" s="174">
        <f>ROUND(I107*E107,2)</f>
        <v/>
      </c>
    </row>
    <row r="108" hidden="1" outlineLevel="1" ht="14.25" customFormat="1" customHeight="1" s="205">
      <c r="A108" s="245" t="n">
        <v>80</v>
      </c>
      <c r="B108" s="176" t="inlineStr">
        <is>
          <t>02.1.01.01-0001</t>
        </is>
      </c>
      <c r="C108" s="244" t="inlineStr">
        <is>
          <t>Глина</t>
        </is>
      </c>
      <c r="D108" s="245" t="inlineStr">
        <is>
          <t>м3</t>
        </is>
      </c>
      <c r="E108" s="161" t="n">
        <v>0.3718821664465</v>
      </c>
      <c r="F108" s="247" t="n">
        <v>87.8</v>
      </c>
      <c r="G108" s="169">
        <f>ROUND(E108*F108,2)</f>
        <v/>
      </c>
      <c r="H108" s="248">
        <f>G108/$G$186</f>
        <v/>
      </c>
      <c r="I108" s="174">
        <f>ROUND(F108*Прил.10!$D$13,2)</f>
        <v/>
      </c>
      <c r="J108" s="174">
        <f>ROUND(I108*E108,2)</f>
        <v/>
      </c>
    </row>
    <row r="109" hidden="1" outlineLevel="1" ht="38.25" customFormat="1" customHeight="1" s="205">
      <c r="A109" s="245" t="n">
        <v>81</v>
      </c>
      <c r="B109" s="176" t="inlineStr">
        <is>
          <t>08.3.05.02-0101</t>
        </is>
      </c>
      <c r="C109" s="244" t="inlineStr">
        <is>
          <t>Сталь листовая углеродистая обыкновенного качества марки ВСт3пс5 толщиной: 4-6 мм</t>
        </is>
      </c>
      <c r="D109" s="245" t="inlineStr">
        <is>
          <t>т</t>
        </is>
      </c>
      <c r="E109" s="161" t="n">
        <v>0.0049499339498018</v>
      </c>
      <c r="F109" s="247" t="n">
        <v>5763</v>
      </c>
      <c r="G109" s="169">
        <f>ROUND(E109*F109,2)</f>
        <v/>
      </c>
      <c r="H109" s="248">
        <f>G109/$G$186</f>
        <v/>
      </c>
      <c r="I109" s="174">
        <f>ROUND(F109*Прил.10!$D$13,2)</f>
        <v/>
      </c>
      <c r="J109" s="174">
        <f>ROUND(I109*E109,2)</f>
        <v/>
      </c>
    </row>
    <row r="110" hidden="1" outlineLevel="1" ht="14.25" customFormat="1" customHeight="1" s="205">
      <c r="A110" s="245" t="n">
        <v>82</v>
      </c>
      <c r="B110" s="176" t="inlineStr">
        <is>
          <t>01.7.03.01-0001</t>
        </is>
      </c>
      <c r="C110" s="244" t="inlineStr">
        <is>
          <t>Вода</t>
        </is>
      </c>
      <c r="D110" s="245" t="inlineStr">
        <is>
          <t>м3</t>
        </is>
      </c>
      <c r="E110" s="161" t="n">
        <v>7.5412348745046</v>
      </c>
      <c r="F110" s="247" t="n">
        <v>2.44</v>
      </c>
      <c r="G110" s="169">
        <f>ROUND(E110*F110,2)</f>
        <v/>
      </c>
      <c r="H110" s="248">
        <f>G110/$G$186</f>
        <v/>
      </c>
      <c r="I110" s="174">
        <f>ROUND(F110*Прил.10!$D$13,2)</f>
        <v/>
      </c>
      <c r="J110" s="174">
        <f>ROUND(I110*E110,2)</f>
        <v/>
      </c>
    </row>
    <row r="111" hidden="1" outlineLevel="1" ht="14.25" customFormat="1" customHeight="1" s="205">
      <c r="A111" s="245" t="n">
        <v>83</v>
      </c>
      <c r="B111" s="176" t="inlineStr">
        <is>
          <t>01.7.15.10-0053</t>
        </is>
      </c>
      <c r="C111" s="244" t="inlineStr">
        <is>
          <t>Скобы: металлические</t>
        </is>
      </c>
      <c r="D111" s="245" t="inlineStr">
        <is>
          <t>кг</t>
        </is>
      </c>
      <c r="E111" s="161" t="n">
        <v>2.8481373844122</v>
      </c>
      <c r="F111" s="247" t="n">
        <v>6.4</v>
      </c>
      <c r="G111" s="169">
        <f>ROUND(E111*F111,2)</f>
        <v/>
      </c>
      <c r="H111" s="248">
        <f>G111/$G$186</f>
        <v/>
      </c>
      <c r="I111" s="174">
        <f>ROUND(F111*Прил.10!$D$13,2)</f>
        <v/>
      </c>
      <c r="J111" s="174">
        <f>ROUND(I111*E111,2)</f>
        <v/>
      </c>
    </row>
    <row r="112" hidden="1" outlineLevel="1" ht="14.25" customFormat="1" customHeight="1" s="205">
      <c r="A112" s="245" t="n">
        <v>84</v>
      </c>
      <c r="B112" s="176" t="inlineStr">
        <is>
          <t>14.4.04.08-0003</t>
        </is>
      </c>
      <c r="C112" s="244" t="inlineStr">
        <is>
          <t>Эмаль ПФ-115 серая</t>
        </is>
      </c>
      <c r="D112" s="245" t="inlineStr">
        <is>
          <t>т</t>
        </is>
      </c>
      <c r="E112" s="161" t="n">
        <v>0.0012532364597094</v>
      </c>
      <c r="F112" s="247" t="n">
        <v>14312.87</v>
      </c>
      <c r="G112" s="169">
        <f>ROUND(E112*F112,2)</f>
        <v/>
      </c>
      <c r="H112" s="248">
        <f>G112/$G$186</f>
        <v/>
      </c>
      <c r="I112" s="174">
        <f>ROUND(F112*Прил.10!$D$13,2)</f>
        <v/>
      </c>
      <c r="J112" s="174">
        <f>ROUND(I112*E112,2)</f>
        <v/>
      </c>
    </row>
    <row r="113" hidden="1" outlineLevel="1" ht="14.25" customFormat="1" customHeight="1" s="205">
      <c r="A113" s="245" t="n">
        <v>85</v>
      </c>
      <c r="B113" s="176" t="inlineStr">
        <is>
          <t>01.7.07.29-0031</t>
        </is>
      </c>
      <c r="C113" s="244" t="inlineStr">
        <is>
          <t>Каболка</t>
        </is>
      </c>
      <c r="D113" s="245" t="inlineStr">
        <is>
          <t>т</t>
        </is>
      </c>
      <c r="E113" s="161" t="n">
        <v>0.000567107001321</v>
      </c>
      <c r="F113" s="247" t="n">
        <v>30030</v>
      </c>
      <c r="G113" s="169">
        <f>ROUND(E113*F113,2)</f>
        <v/>
      </c>
      <c r="H113" s="248">
        <f>G113/$G$186</f>
        <v/>
      </c>
      <c r="I113" s="174">
        <f>ROUND(F113*Прил.10!$D$13,2)</f>
        <v/>
      </c>
      <c r="J113" s="174">
        <f>ROUND(I113*E113,2)</f>
        <v/>
      </c>
    </row>
    <row r="114" hidden="1" outlineLevel="1" ht="25.5" customFormat="1" customHeight="1" s="205">
      <c r="A114" s="245" t="n">
        <v>86</v>
      </c>
      <c r="B114" s="176" t="inlineStr">
        <is>
          <t>07.2.05.01-0032</t>
        </is>
      </c>
      <c r="C114" s="244" t="inlineStr">
        <is>
          <t>Ограждения лестничных проемов, лестничные марши, пожарные лестницы</t>
        </is>
      </c>
      <c r="D114" s="245" t="inlineStr">
        <is>
          <t>т</t>
        </is>
      </c>
      <c r="E114" s="161" t="n">
        <v>0.0022404227212682</v>
      </c>
      <c r="F114" s="247" t="n">
        <v>7571</v>
      </c>
      <c r="G114" s="169">
        <f>ROUND(E114*F114,2)</f>
        <v/>
      </c>
      <c r="H114" s="248">
        <f>G114/$G$186</f>
        <v/>
      </c>
      <c r="I114" s="174">
        <f>ROUND(F114*Прил.10!$D$13,2)</f>
        <v/>
      </c>
      <c r="J114" s="174">
        <f>ROUND(I114*E114,2)</f>
        <v/>
      </c>
    </row>
    <row r="115" hidden="1" outlineLevel="1" ht="25.5" customFormat="1" customHeight="1" s="205">
      <c r="A115" s="245" t="n">
        <v>87</v>
      </c>
      <c r="B115" s="176" t="inlineStr">
        <is>
          <t>04.3.01.09-0012</t>
        </is>
      </c>
      <c r="C115" s="244" t="inlineStr">
        <is>
          <t>Раствор готовый кладочный цементный марки: 50</t>
        </is>
      </c>
      <c r="D115" s="245" t="inlineStr">
        <is>
          <t>м3</t>
        </is>
      </c>
      <c r="E115" s="161" t="n">
        <v>0.033858388375165</v>
      </c>
      <c r="F115" s="247" t="n">
        <v>485.9</v>
      </c>
      <c r="G115" s="169">
        <f>ROUND(E115*F115,2)</f>
        <v/>
      </c>
      <c r="H115" s="248">
        <f>G115/$G$186</f>
        <v/>
      </c>
      <c r="I115" s="174">
        <f>ROUND(F115*Прил.10!$D$13,2)</f>
        <v/>
      </c>
      <c r="J115" s="174">
        <f>ROUND(I115*E115,2)</f>
        <v/>
      </c>
    </row>
    <row r="116" hidden="1" outlineLevel="1" ht="25.5" customFormat="1" customHeight="1" s="205">
      <c r="A116" s="245" t="n">
        <v>88</v>
      </c>
      <c r="B116" s="176" t="inlineStr">
        <is>
          <t>02.2.05.04-0056</t>
        </is>
      </c>
      <c r="C116" s="244" t="inlineStr">
        <is>
          <t>Щебень из гравия для строительных работ марка 1000, фракция 40-70 мм</t>
        </is>
      </c>
      <c r="D116" s="245" t="inlineStr">
        <is>
          <t>м3</t>
        </is>
      </c>
      <c r="E116" s="161" t="n">
        <v>0.11902245706737</v>
      </c>
      <c r="F116" s="247" t="n">
        <v>134.02</v>
      </c>
      <c r="G116" s="169">
        <f>ROUND(E116*F116,2)</f>
        <v/>
      </c>
      <c r="H116" s="248">
        <f>G116/$G$186</f>
        <v/>
      </c>
      <c r="I116" s="174">
        <f>ROUND(F116*Прил.10!$D$13,2)</f>
        <v/>
      </c>
      <c r="J116" s="174">
        <f>ROUND(I116*E116,2)</f>
        <v/>
      </c>
    </row>
    <row r="117" hidden="1" outlineLevel="1" ht="14.25" customFormat="1" customHeight="1" s="205">
      <c r="A117" s="245" t="n">
        <v>89</v>
      </c>
      <c r="B117" s="176" t="inlineStr">
        <is>
          <t>01.2.03.03-0013</t>
        </is>
      </c>
      <c r="C117" s="244" t="inlineStr">
        <is>
          <t>Мастика битумная кровельная горячая</t>
        </is>
      </c>
      <c r="D117" s="245" t="inlineStr">
        <is>
          <t>т</t>
        </is>
      </c>
      <c r="E117" s="161" t="n">
        <v>0.0042007926023778</v>
      </c>
      <c r="F117" s="247" t="n">
        <v>3390</v>
      </c>
      <c r="G117" s="169">
        <f>ROUND(E117*F117,2)</f>
        <v/>
      </c>
      <c r="H117" s="248">
        <f>G117/$G$186</f>
        <v/>
      </c>
      <c r="I117" s="174">
        <f>ROUND(F117*Прил.10!$D$13,2)</f>
        <v/>
      </c>
      <c r="J117" s="174">
        <f>ROUND(I117*E117,2)</f>
        <v/>
      </c>
    </row>
    <row r="118" hidden="1" outlineLevel="1" ht="38.25" customFormat="1" customHeight="1" s="205">
      <c r="A118" s="245" t="n">
        <v>90</v>
      </c>
      <c r="B118" s="176" t="inlineStr">
        <is>
          <t>02.2.05.04-0072</t>
        </is>
      </c>
      <c r="C118" s="244" t="inlineStr">
        <is>
          <t>Щебень из природного камня для строительных работ марка: 200, фракция 10-20 мм</t>
        </is>
      </c>
      <c r="D118" s="245" t="inlineStr">
        <is>
          <t>м3</t>
        </is>
      </c>
      <c r="E118" s="161" t="n">
        <v>0.12259313077939</v>
      </c>
      <c r="F118" s="247" t="n">
        <v>106.3</v>
      </c>
      <c r="G118" s="169">
        <f>ROUND(E118*F118,2)</f>
        <v/>
      </c>
      <c r="H118" s="248">
        <f>G118/$G$186</f>
        <v/>
      </c>
      <c r="I118" s="174">
        <f>ROUND(F118*Прил.10!$D$13,2)</f>
        <v/>
      </c>
      <c r="J118" s="174">
        <f>ROUND(I118*E118,2)</f>
        <v/>
      </c>
    </row>
    <row r="119" hidden="1" outlineLevel="1" ht="14.25" customFormat="1" customHeight="1" s="205">
      <c r="A119" s="245" t="n">
        <v>91</v>
      </c>
      <c r="B119" s="176" t="inlineStr">
        <is>
          <t>01.7.07.29-0111</t>
        </is>
      </c>
      <c r="C119" s="244" t="inlineStr">
        <is>
          <t>Пакля пропитанная</t>
        </is>
      </c>
      <c r="D119" s="245" t="inlineStr">
        <is>
          <t>кг</t>
        </is>
      </c>
      <c r="E119" s="161" t="n">
        <v>1.3582562747688</v>
      </c>
      <c r="F119" s="247" t="n">
        <v>9.039999999999999</v>
      </c>
      <c r="G119" s="169">
        <f>ROUND(E119*F119,2)</f>
        <v/>
      </c>
      <c r="H119" s="248">
        <f>G119/$G$186</f>
        <v/>
      </c>
      <c r="I119" s="174">
        <f>ROUND(F119*Прил.10!$D$13,2)</f>
        <v/>
      </c>
      <c r="J119" s="174">
        <f>ROUND(I119*E119,2)</f>
        <v/>
      </c>
    </row>
    <row r="120" hidden="1" outlineLevel="1" ht="25.5" customFormat="1" customHeight="1" s="205">
      <c r="A120" s="245" t="n">
        <v>92</v>
      </c>
      <c r="B120" s="176" t="inlineStr">
        <is>
          <t>999-9950</t>
        </is>
      </c>
      <c r="C120" s="244" t="inlineStr">
        <is>
          <t>Вспомогательные ненормируемые ресурсы (2% от Оплаты труда рабочих)</t>
        </is>
      </c>
      <c r="D120" s="245" t="inlineStr">
        <is>
          <t>руб.</t>
        </is>
      </c>
      <c r="E120" s="161" t="n">
        <v>11.311796301189</v>
      </c>
      <c r="F120" s="247" t="n">
        <v>1</v>
      </c>
      <c r="G120" s="169">
        <f>ROUND(E120*F120,2)</f>
        <v/>
      </c>
      <c r="H120" s="248">
        <f>G120/$G$186</f>
        <v/>
      </c>
      <c r="I120" s="174">
        <f>ROUND(F120*Прил.10!$D$13,2)</f>
        <v/>
      </c>
      <c r="J120" s="174">
        <f>ROUND(I120*E120,2)</f>
        <v/>
      </c>
    </row>
    <row r="121" hidden="1" outlineLevel="1" ht="14.25" customFormat="1" customHeight="1" s="205">
      <c r="A121" s="245" t="n">
        <v>93</v>
      </c>
      <c r="B121" s="176" t="inlineStr">
        <is>
          <t>01.3.01.01-0009</t>
        </is>
      </c>
      <c r="C121" s="244" t="inlineStr">
        <is>
          <t>Бензин растворитель</t>
        </is>
      </c>
      <c r="D121" s="245" t="inlineStr">
        <is>
          <t>т</t>
        </is>
      </c>
      <c r="E121" s="161" t="n">
        <v>0.0016733157199472</v>
      </c>
      <c r="F121" s="247" t="n">
        <v>6143.8</v>
      </c>
      <c r="G121" s="169">
        <f>ROUND(E121*F121,2)</f>
        <v/>
      </c>
      <c r="H121" s="248">
        <f>G121/$G$186</f>
        <v/>
      </c>
      <c r="I121" s="174">
        <f>ROUND(F121*Прил.10!$D$13,2)</f>
        <v/>
      </c>
      <c r="J121" s="174">
        <f>ROUND(I121*E121,2)</f>
        <v/>
      </c>
    </row>
    <row r="122" hidden="1" outlineLevel="1" ht="14.25" customFormat="1" customHeight="1" s="205">
      <c r="A122" s="245" t="n">
        <v>94</v>
      </c>
      <c r="B122" s="176" t="inlineStr">
        <is>
          <t>01.3.05.23-0181</t>
        </is>
      </c>
      <c r="C122" s="244" t="inlineStr">
        <is>
          <t>Стекло натриевое жидкое каустическое</t>
        </is>
      </c>
      <c r="D122" s="245" t="inlineStr">
        <is>
          <t>т</t>
        </is>
      </c>
      <c r="E122" s="161" t="n">
        <v>0.0036896961690885</v>
      </c>
      <c r="F122" s="247" t="n">
        <v>2734.6</v>
      </c>
      <c r="G122" s="169">
        <f>ROUND(E122*F122,2)</f>
        <v/>
      </c>
      <c r="H122" s="248">
        <f>G122/$G$186</f>
        <v/>
      </c>
      <c r="I122" s="174">
        <f>ROUND(F122*Прил.10!$D$13,2)</f>
        <v/>
      </c>
      <c r="J122" s="174">
        <f>ROUND(I122*E122,2)</f>
        <v/>
      </c>
    </row>
    <row r="123" hidden="1" outlineLevel="1" ht="14.25" customFormat="1" customHeight="1" s="205">
      <c r="A123" s="245" t="n">
        <v>95</v>
      </c>
      <c r="B123" s="176" t="inlineStr">
        <is>
          <t>01.7.15.03-0041</t>
        </is>
      </c>
      <c r="C123" s="244" t="inlineStr">
        <is>
          <t>Болты с гайками и шайбами строительные</t>
        </is>
      </c>
      <c r="D123" s="245" t="inlineStr">
        <is>
          <t>т</t>
        </is>
      </c>
      <c r="E123" s="161" t="n">
        <v>0.0010291941875826</v>
      </c>
      <c r="F123" s="247" t="n">
        <v>9040.01</v>
      </c>
      <c r="G123" s="169">
        <f>ROUND(E123*F123,2)</f>
        <v/>
      </c>
      <c r="H123" s="248">
        <f>G123/$G$186</f>
        <v/>
      </c>
      <c r="I123" s="174">
        <f>ROUND(F123*Прил.10!$D$13,2)</f>
        <v/>
      </c>
      <c r="J123" s="174">
        <f>ROUND(I123*E123,2)</f>
        <v/>
      </c>
    </row>
    <row r="124" hidden="1" outlineLevel="1" ht="14.25" customFormat="1" customHeight="1" s="205">
      <c r="A124" s="245" t="n">
        <v>96</v>
      </c>
      <c r="B124" s="176" t="inlineStr">
        <is>
          <t>02.2.04.03-0003</t>
        </is>
      </c>
      <c r="C124" s="244" t="inlineStr">
        <is>
          <t>Смесь песчано-гравийная природная</t>
        </is>
      </c>
      <c r="D124" s="245" t="inlineStr">
        <is>
          <t>м3</t>
        </is>
      </c>
      <c r="E124" s="161" t="n">
        <v>0.15444914134742</v>
      </c>
      <c r="F124" s="247" t="n">
        <v>60</v>
      </c>
      <c r="G124" s="169">
        <f>ROUND(E124*F124,2)</f>
        <v/>
      </c>
      <c r="H124" s="248">
        <f>G124/$G$186</f>
        <v/>
      </c>
      <c r="I124" s="174">
        <f>ROUND(F124*Прил.10!$D$13,2)</f>
        <v/>
      </c>
      <c r="J124" s="174">
        <f>ROUND(I124*E124,2)</f>
        <v/>
      </c>
    </row>
    <row r="125" hidden="1" outlineLevel="1" ht="25.5" customFormat="1" customHeight="1" s="205">
      <c r="A125" s="245" t="n">
        <v>97</v>
      </c>
      <c r="B125" s="176" t="inlineStr">
        <is>
          <t>01.7.07.13-0011</t>
        </is>
      </c>
      <c r="C125" s="244" t="inlineStr">
        <is>
          <t>Порошок № 2 для кислотоупорной замазки</t>
        </is>
      </c>
      <c r="D125" s="245" t="inlineStr">
        <is>
          <t>т</t>
        </is>
      </c>
      <c r="E125" s="161" t="n">
        <v>0.007372391017173</v>
      </c>
      <c r="F125" s="247" t="n">
        <v>1234</v>
      </c>
      <c r="G125" s="169">
        <f>ROUND(E125*F125,2)</f>
        <v/>
      </c>
      <c r="H125" s="248">
        <f>G125/$G$186</f>
        <v/>
      </c>
      <c r="I125" s="174">
        <f>ROUND(F125*Прил.10!$D$13,2)</f>
        <v/>
      </c>
      <c r="J125" s="174">
        <f>ROUND(I125*E125,2)</f>
        <v/>
      </c>
    </row>
    <row r="126" hidden="1" outlineLevel="1" ht="14.25" customFormat="1" customHeight="1" s="205">
      <c r="A126" s="245" t="n">
        <v>98</v>
      </c>
      <c r="B126" s="176" t="inlineStr">
        <is>
          <t>01.3.02.08-0001</t>
        </is>
      </c>
      <c r="C126" s="244" t="inlineStr">
        <is>
          <t>Кислород технический: газообразный</t>
        </is>
      </c>
      <c r="D126" s="245" t="inlineStr">
        <is>
          <t>м3</t>
        </is>
      </c>
      <c r="E126" s="161" t="n">
        <v>1.3448627476882</v>
      </c>
      <c r="F126" s="247" t="n">
        <v>6.22</v>
      </c>
      <c r="G126" s="169">
        <f>ROUND(E126*F126,2)</f>
        <v/>
      </c>
      <c r="H126" s="248">
        <f>G126/$G$186</f>
        <v/>
      </c>
      <c r="I126" s="174">
        <f>ROUND(F126*Прил.10!$D$13,2)</f>
        <v/>
      </c>
      <c r="J126" s="174">
        <f>ROUND(I126*E126,2)</f>
        <v/>
      </c>
    </row>
    <row r="127" hidden="1" outlineLevel="1" ht="14.25" customFormat="1" customHeight="1" s="205">
      <c r="A127" s="245" t="n">
        <v>99</v>
      </c>
      <c r="B127" s="176" t="inlineStr">
        <is>
          <t>01.3.02.09-0022</t>
        </is>
      </c>
      <c r="C127" s="244" t="inlineStr">
        <is>
          <t>Пропан-бутан, смесь техническая</t>
        </is>
      </c>
      <c r="D127" s="245" t="inlineStr">
        <is>
          <t>кг</t>
        </is>
      </c>
      <c r="E127" s="161" t="n">
        <v>1.3733301188904</v>
      </c>
      <c r="F127" s="247" t="n">
        <v>6.09</v>
      </c>
      <c r="G127" s="169">
        <f>ROUND(E127*F127,2)</f>
        <v/>
      </c>
      <c r="H127" s="248">
        <f>G127/$G$186</f>
        <v/>
      </c>
      <c r="I127" s="174">
        <f>ROUND(F127*Прил.10!$D$13,2)</f>
        <v/>
      </c>
      <c r="J127" s="174">
        <f>ROUND(I127*E127,2)</f>
        <v/>
      </c>
    </row>
    <row r="128" hidden="1" outlineLevel="1" ht="14.25" customFormat="1" customHeight="1" s="205">
      <c r="A128" s="245" t="n">
        <v>100</v>
      </c>
      <c r="B128" s="176" t="inlineStr">
        <is>
          <t>14.4.01.01-0003</t>
        </is>
      </c>
      <c r="C128" s="244" t="inlineStr">
        <is>
          <t>Грунтовка: ГФ-021 красно-коричневая</t>
        </is>
      </c>
      <c r="D128" s="245" t="inlineStr">
        <is>
          <t>т</t>
        </is>
      </c>
      <c r="E128" s="161" t="n">
        <v>0.00046208718626156</v>
      </c>
      <c r="F128" s="247" t="n">
        <v>15620</v>
      </c>
      <c r="G128" s="169">
        <f>ROUND(E128*F128,2)</f>
        <v/>
      </c>
      <c r="H128" s="248">
        <f>G128/$G$186</f>
        <v/>
      </c>
      <c r="I128" s="174">
        <f>ROUND(F128*Прил.10!$D$13,2)</f>
        <v/>
      </c>
      <c r="J128" s="174">
        <f>ROUND(I128*E128,2)</f>
        <v/>
      </c>
    </row>
    <row r="129" hidden="1" outlineLevel="1" ht="14.25" customFormat="1" customHeight="1" s="205">
      <c r="A129" s="245" t="n">
        <v>101</v>
      </c>
      <c r="B129" s="176" t="inlineStr">
        <is>
          <t>25.2.01.01-0001</t>
        </is>
      </c>
      <c r="C129" s="244" t="inlineStr">
        <is>
          <t>Бирки-оконцеватели</t>
        </is>
      </c>
      <c r="D129" s="245" t="inlineStr">
        <is>
          <t>100 шт</t>
        </is>
      </c>
      <c r="E129" s="161" t="n">
        <v>0.11202113606341</v>
      </c>
      <c r="F129" s="247" t="n">
        <v>63</v>
      </c>
      <c r="G129" s="169">
        <f>ROUND(E129*F129,2)</f>
        <v/>
      </c>
      <c r="H129" s="248">
        <f>G129/$G$186</f>
        <v/>
      </c>
      <c r="I129" s="174">
        <f>ROUND(F129*Прил.10!$D$13,2)</f>
        <v/>
      </c>
      <c r="J129" s="174">
        <f>ROUND(I129*E129,2)</f>
        <v/>
      </c>
    </row>
    <row r="130" hidden="1" outlineLevel="1" ht="14.25" customFormat="1" customHeight="1" s="205">
      <c r="A130" s="245" t="n">
        <v>102</v>
      </c>
      <c r="B130" s="176" t="inlineStr">
        <is>
          <t>20.2.09.13-0011</t>
        </is>
      </c>
      <c r="C130" s="244" t="inlineStr">
        <is>
          <t>Муфта</t>
        </is>
      </c>
      <c r="D130" s="245" t="inlineStr">
        <is>
          <t>шт</t>
        </is>
      </c>
      <c r="E130" s="161" t="n">
        <v>1.4002642007926</v>
      </c>
      <c r="F130" s="247" t="n">
        <v>5</v>
      </c>
      <c r="G130" s="169">
        <f>ROUND(E130*F130,2)</f>
        <v/>
      </c>
      <c r="H130" s="248">
        <f>G130/$G$186</f>
        <v/>
      </c>
      <c r="I130" s="174">
        <f>ROUND(F130*Прил.10!$D$13,2)</f>
        <v/>
      </c>
      <c r="J130" s="174">
        <f>ROUND(I130*E130,2)</f>
        <v/>
      </c>
    </row>
    <row r="131" hidden="1" outlineLevel="1" ht="25.5" customFormat="1" customHeight="1" s="205">
      <c r="A131" s="245" t="n">
        <v>103</v>
      </c>
      <c r="B131" s="176" t="inlineStr">
        <is>
          <t>01.2.01.02-0054</t>
        </is>
      </c>
      <c r="C131" s="244" t="inlineStr">
        <is>
          <t>Битумы нефтяные строительные марки: БН-90/10</t>
        </is>
      </c>
      <c r="D131" s="245" t="inlineStr">
        <is>
          <t>т</t>
        </is>
      </c>
      <c r="E131" s="161" t="n">
        <v>0.0048939233817701</v>
      </c>
      <c r="F131" s="247" t="n">
        <v>1383.1</v>
      </c>
      <c r="G131" s="169">
        <f>ROUND(E131*F131,2)</f>
        <v/>
      </c>
      <c r="H131" s="248">
        <f>G131/$G$186</f>
        <v/>
      </c>
      <c r="I131" s="174">
        <f>ROUND(F131*Прил.10!$D$13,2)</f>
        <v/>
      </c>
      <c r="J131" s="174">
        <f>ROUND(I131*E131,2)</f>
        <v/>
      </c>
    </row>
    <row r="132" hidden="1" outlineLevel="1" ht="38.25" customFormat="1" customHeight="1" s="205">
      <c r="A132" s="245" t="n">
        <v>104</v>
      </c>
      <c r="B132" s="176" t="inlineStr">
        <is>
          <t>19.2.02.02-0013</t>
        </is>
      </c>
      <c r="C132" s="244" t="inlineStr">
        <is>
          <t>Зонты вентиляционных систем из листовой оцинкованной стали,: круглые, диаметром шахты 315 мм</t>
        </is>
      </c>
      <c r="D132" s="245" t="inlineStr">
        <is>
          <t>шт</t>
        </is>
      </c>
      <c r="E132" s="161" t="n">
        <v>0.07001321003963</v>
      </c>
      <c r="F132" s="247" t="n">
        <v>90.7</v>
      </c>
      <c r="G132" s="169">
        <f>ROUND(E132*F132,2)</f>
        <v/>
      </c>
      <c r="H132" s="248">
        <f>G132/$G$186</f>
        <v/>
      </c>
      <c r="I132" s="174">
        <f>ROUND(F132*Прил.10!$D$13,2)</f>
        <v/>
      </c>
      <c r="J132" s="174">
        <f>ROUND(I132*E132,2)</f>
        <v/>
      </c>
    </row>
    <row r="133" hidden="1" outlineLevel="1" ht="14.25" customFormat="1" customHeight="1" s="205">
      <c r="A133" s="245" t="n">
        <v>105</v>
      </c>
      <c r="B133" s="176" t="inlineStr">
        <is>
          <t>14.5.09.04-0114</t>
        </is>
      </c>
      <c r="C133" s="244" t="inlineStr">
        <is>
          <t>Отвердитель: № 3</t>
        </is>
      </c>
      <c r="D133" s="245" t="inlineStr">
        <is>
          <t>т</t>
        </is>
      </c>
      <c r="E133" s="161" t="n">
        <v>4.2007926023778e-05</v>
      </c>
      <c r="F133" s="247" t="n">
        <v>123650</v>
      </c>
      <c r="G133" s="169">
        <f>ROUND(E133*F133,2)</f>
        <v/>
      </c>
      <c r="H133" s="248">
        <f>G133/$G$186</f>
        <v/>
      </c>
      <c r="I133" s="174">
        <f>ROUND(F133*Прил.10!$D$13,2)</f>
        <v/>
      </c>
      <c r="J133" s="174">
        <f>ROUND(I133*E133,2)</f>
        <v/>
      </c>
    </row>
    <row r="134" hidden="1" outlineLevel="1" ht="14.25" customFormat="1" customHeight="1" s="205">
      <c r="A134" s="245" t="n">
        <v>106</v>
      </c>
      <c r="B134" s="176" t="inlineStr">
        <is>
          <t>01.7.11.07-0034</t>
        </is>
      </c>
      <c r="C134" s="244" t="inlineStr">
        <is>
          <t>Электроды диаметром: 4 мм Э42А</t>
        </is>
      </c>
      <c r="D134" s="245" t="inlineStr">
        <is>
          <t>кг</t>
        </is>
      </c>
      <c r="E134" s="161" t="n">
        <v>0.49009247027741</v>
      </c>
      <c r="F134" s="247" t="n">
        <v>10.57</v>
      </c>
      <c r="G134" s="169">
        <f>ROUND(E134*F134,2)</f>
        <v/>
      </c>
      <c r="H134" s="248">
        <f>G134/$G$186</f>
        <v/>
      </c>
      <c r="I134" s="174">
        <f>ROUND(F134*Прил.10!$D$13,2)</f>
        <v/>
      </c>
      <c r="J134" s="174">
        <f>ROUND(I134*E134,2)</f>
        <v/>
      </c>
    </row>
    <row r="135" hidden="1" outlineLevel="1" ht="14.25" customFormat="1" customHeight="1" s="205">
      <c r="A135" s="245" t="n">
        <v>107</v>
      </c>
      <c r="B135" s="176" t="inlineStr">
        <is>
          <t>14.5.09.07-0029</t>
        </is>
      </c>
      <c r="C135" s="244" t="inlineStr">
        <is>
          <t>Растворитель марки: Р-4</t>
        </is>
      </c>
      <c r="D135" s="245" t="inlineStr">
        <is>
          <t>т</t>
        </is>
      </c>
      <c r="E135" s="161" t="n">
        <v>0.00046908850726552</v>
      </c>
      <c r="F135" s="247" t="n">
        <v>9420</v>
      </c>
      <c r="G135" s="169">
        <f>ROUND(E135*F135,2)</f>
        <v/>
      </c>
      <c r="H135" s="248">
        <f>G135/$G$186</f>
        <v/>
      </c>
      <c r="I135" s="174">
        <f>ROUND(F135*Прил.10!$D$13,2)</f>
        <v/>
      </c>
      <c r="J135" s="174">
        <f>ROUND(I135*E135,2)</f>
        <v/>
      </c>
    </row>
    <row r="136" hidden="1" outlineLevel="1" ht="25.5" customFormat="1" customHeight="1" s="205">
      <c r="A136" s="245" t="n">
        <v>108</v>
      </c>
      <c r="B136" s="176" t="inlineStr">
        <is>
          <t>01.7.07.12-0024</t>
        </is>
      </c>
      <c r="C136" s="244" t="inlineStr">
        <is>
          <t>Пленка полиэтиленовая толщиной: 0,15 мм</t>
        </is>
      </c>
      <c r="D136" s="245" t="inlineStr">
        <is>
          <t>м2</t>
        </is>
      </c>
      <c r="E136" s="161" t="n">
        <v>1.2042272126816</v>
      </c>
      <c r="F136" s="247" t="n">
        <v>3.62</v>
      </c>
      <c r="G136" s="169">
        <f>ROUND(E136*F136,2)</f>
        <v/>
      </c>
      <c r="H136" s="248">
        <f>G136/$G$186</f>
        <v/>
      </c>
      <c r="I136" s="174">
        <f>ROUND(F136*Прил.10!$D$13,2)</f>
        <v/>
      </c>
      <c r="J136" s="174">
        <f>ROUND(I136*E136,2)</f>
        <v/>
      </c>
    </row>
    <row r="137" hidden="1" outlineLevel="1" ht="14.25" customFormat="1" customHeight="1" s="205">
      <c r="A137" s="245" t="n">
        <v>109</v>
      </c>
      <c r="B137" s="176" t="inlineStr">
        <is>
          <t>01.7.11.07-0066</t>
        </is>
      </c>
      <c r="C137" s="244" t="inlineStr">
        <is>
          <t>Электроды диаметром: 8 мм Э46</t>
        </is>
      </c>
      <c r="D137" s="245" t="inlineStr">
        <is>
          <t>т</t>
        </is>
      </c>
      <c r="E137" s="161" t="n">
        <v>0.00044808454425363</v>
      </c>
      <c r="F137" s="247" t="n">
        <v>9503</v>
      </c>
      <c r="G137" s="169">
        <f>ROUND(E137*F137,2)</f>
        <v/>
      </c>
      <c r="H137" s="248">
        <f>G137/$G$186</f>
        <v/>
      </c>
      <c r="I137" s="174">
        <f>ROUND(F137*Прил.10!$D$13,2)</f>
        <v/>
      </c>
      <c r="J137" s="174">
        <f>ROUND(I137*E137,2)</f>
        <v/>
      </c>
    </row>
    <row r="138" hidden="1" outlineLevel="1" ht="25.5" customFormat="1" customHeight="1" s="205">
      <c r="A138" s="245" t="n">
        <v>110</v>
      </c>
      <c r="B138" s="176" t="inlineStr">
        <is>
          <t>01.3.05.23-0102</t>
        </is>
      </c>
      <c r="C138" s="244" t="inlineStr">
        <is>
          <t>Натрий кремнефтористый технический, сорт I</t>
        </is>
      </c>
      <c r="D138" s="245" t="inlineStr">
        <is>
          <t>т</t>
        </is>
      </c>
      <c r="E138" s="161" t="n">
        <v>0.0005531043593130799</v>
      </c>
      <c r="F138" s="247" t="n">
        <v>7062.5</v>
      </c>
      <c r="G138" s="169">
        <f>ROUND(E138*F138,2)</f>
        <v/>
      </c>
      <c r="H138" s="248">
        <f>G138/$G$186</f>
        <v/>
      </c>
      <c r="I138" s="174">
        <f>ROUND(F138*Прил.10!$D$13,2)</f>
        <v/>
      </c>
      <c r="J138" s="174">
        <f>ROUND(I138*E138,2)</f>
        <v/>
      </c>
    </row>
    <row r="139" hidden="1" outlineLevel="1" ht="38.25" customFormat="1" customHeight="1" s="205">
      <c r="A139" s="245" t="n">
        <v>111</v>
      </c>
      <c r="B139" s="176" t="inlineStr">
        <is>
          <t>05.1.05.16-0001</t>
        </is>
      </c>
      <c r="C139" s="24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5" t="inlineStr">
        <is>
          <t>м3</t>
        </is>
      </c>
      <c r="E139" s="161" t="n">
        <v>0.0022404227212682</v>
      </c>
      <c r="F139" s="247" t="n">
        <v>1410</v>
      </c>
      <c r="G139" s="169">
        <f>ROUND(E139*F139,2)</f>
        <v/>
      </c>
      <c r="H139" s="248">
        <f>G139/$G$186</f>
        <v/>
      </c>
      <c r="I139" s="174">
        <f>ROUND(F139*Прил.10!$D$13,2)</f>
        <v/>
      </c>
      <c r="J139" s="174">
        <f>ROUND(I139*E139,2)</f>
        <v/>
      </c>
    </row>
    <row r="140" hidden="1" outlineLevel="1" ht="14.25" customFormat="1" customHeight="1" s="205">
      <c r="A140" s="245" t="n">
        <v>112</v>
      </c>
      <c r="B140" s="176" t="inlineStr">
        <is>
          <t>08.3.03.04-0012</t>
        </is>
      </c>
      <c r="C140" s="244" t="inlineStr">
        <is>
          <t>Проволока светлая диаметром: 1,1 мм</t>
        </is>
      </c>
      <c r="D140" s="245" t="inlineStr">
        <is>
          <t>т</t>
        </is>
      </c>
      <c r="E140" s="161" t="n">
        <v>0.00030805812417437</v>
      </c>
      <c r="F140" s="247" t="n">
        <v>10200</v>
      </c>
      <c r="G140" s="169">
        <f>ROUND(E140*F140,2)</f>
        <v/>
      </c>
      <c r="H140" s="248">
        <f>G140/$G$186</f>
        <v/>
      </c>
      <c r="I140" s="174">
        <f>ROUND(F140*Прил.10!$D$13,2)</f>
        <v/>
      </c>
      <c r="J140" s="174">
        <f>ROUND(I140*E140,2)</f>
        <v/>
      </c>
    </row>
    <row r="141" hidden="1" outlineLevel="1" ht="14.25" customFormat="1" customHeight="1" s="205">
      <c r="A141" s="245" t="n">
        <v>113</v>
      </c>
      <c r="B141" s="176" t="inlineStr">
        <is>
          <t>14.5.09.04-0115</t>
        </is>
      </c>
      <c r="C141" s="244" t="inlineStr">
        <is>
          <t>Отвердитель: амино-фенольный АФ-2</t>
        </is>
      </c>
      <c r="D141" s="245" t="inlineStr">
        <is>
          <t>т</t>
        </is>
      </c>
      <c r="E141" s="161" t="n">
        <v>6.301188903566699e-05</v>
      </c>
      <c r="F141" s="247" t="n">
        <v>48600</v>
      </c>
      <c r="G141" s="169">
        <f>ROUND(E141*F141,2)</f>
        <v/>
      </c>
      <c r="H141" s="248">
        <f>G141/$G$186</f>
        <v/>
      </c>
      <c r="I141" s="174">
        <f>ROUND(F141*Прил.10!$D$13,2)</f>
        <v/>
      </c>
      <c r="J141" s="174">
        <f>ROUND(I141*E141,2)</f>
        <v/>
      </c>
    </row>
    <row r="142" hidden="1" outlineLevel="1" ht="14.25" customFormat="1" customHeight="1" s="205">
      <c r="A142" s="245" t="n">
        <v>114</v>
      </c>
      <c r="B142" s="176" t="inlineStr">
        <is>
          <t>01.7.20.08-0031</t>
        </is>
      </c>
      <c r="C142" s="244" t="inlineStr">
        <is>
          <t>Бязь суровая арт. 6804</t>
        </is>
      </c>
      <c r="D142" s="245" t="inlineStr">
        <is>
          <t>10 м2</t>
        </is>
      </c>
      <c r="E142" s="161" t="n">
        <v>0.03598678996037</v>
      </c>
      <c r="F142" s="247" t="n">
        <v>79.09999999999999</v>
      </c>
      <c r="G142" s="169">
        <f>ROUND(E142*F142,2)</f>
        <v/>
      </c>
      <c r="H142" s="248">
        <f>G142/$G$186</f>
        <v/>
      </c>
      <c r="I142" s="174">
        <f>ROUND(F142*Прил.10!$D$13,2)</f>
        <v/>
      </c>
      <c r="J142" s="174">
        <f>ROUND(I142*E142,2)</f>
        <v/>
      </c>
    </row>
    <row r="143" hidden="1" outlineLevel="1" ht="25.5" customFormat="1" customHeight="1" s="205">
      <c r="A143" s="245" t="n">
        <v>115</v>
      </c>
      <c r="B143" s="176" t="inlineStr">
        <is>
          <t>04.3.01.09-0023</t>
        </is>
      </c>
      <c r="C143" s="244" t="inlineStr">
        <is>
          <t>Раствор готовый отделочный тяжелый,: цементный 1:3</t>
        </is>
      </c>
      <c r="D143" s="245" t="inlineStr">
        <is>
          <t>м3</t>
        </is>
      </c>
      <c r="E143" s="161" t="n">
        <v>0.0051249669749009</v>
      </c>
      <c r="F143" s="247" t="n">
        <v>497</v>
      </c>
      <c r="G143" s="169">
        <f>ROUND(E143*F143,2)</f>
        <v/>
      </c>
      <c r="H143" s="248">
        <f>G143/$G$186</f>
        <v/>
      </c>
      <c r="I143" s="174">
        <f>ROUND(F143*Прил.10!$D$13,2)</f>
        <v/>
      </c>
      <c r="J143" s="174">
        <f>ROUND(I143*E143,2)</f>
        <v/>
      </c>
    </row>
    <row r="144" hidden="1" outlineLevel="1" ht="25.5" customFormat="1" customHeight="1" s="205">
      <c r="A144" s="245" t="n">
        <v>116</v>
      </c>
      <c r="B144" s="176" t="inlineStr">
        <is>
          <t>01.7.07.13-0001</t>
        </is>
      </c>
      <c r="C144" s="244" t="inlineStr">
        <is>
          <t>Мука андезитовая кислотоупорная, марка: А</t>
        </is>
      </c>
      <c r="D144" s="245" t="inlineStr">
        <is>
          <t>т</t>
        </is>
      </c>
      <c r="E144" s="161" t="n">
        <v>0.0036756935270806</v>
      </c>
      <c r="F144" s="247" t="n">
        <v>688.8</v>
      </c>
      <c r="G144" s="169">
        <f>ROUND(E144*F144,2)</f>
        <v/>
      </c>
      <c r="H144" s="248">
        <f>G144/$G$186</f>
        <v/>
      </c>
      <c r="I144" s="174">
        <f>ROUND(F144*Прил.10!$D$13,2)</f>
        <v/>
      </c>
      <c r="J144" s="174">
        <f>ROUND(I144*E144,2)</f>
        <v/>
      </c>
    </row>
    <row r="145" hidden="1" outlineLevel="1" ht="25.5" customFormat="1" customHeight="1" s="205">
      <c r="A145" s="245" t="n">
        <v>117</v>
      </c>
      <c r="B145" s="176" t="inlineStr">
        <is>
          <t>03.2.02.08-0001</t>
        </is>
      </c>
      <c r="C145" s="244" t="inlineStr">
        <is>
          <t>Цемент гипсоглиноземистый расширяющийся</t>
        </is>
      </c>
      <c r="D145" s="245" t="inlineStr">
        <is>
          <t>т</t>
        </is>
      </c>
      <c r="E145" s="161" t="n">
        <v>0.0013582562747688</v>
      </c>
      <c r="F145" s="247" t="n">
        <v>1836</v>
      </c>
      <c r="G145" s="169">
        <f>ROUND(E145*F145,2)</f>
        <v/>
      </c>
      <c r="H145" s="248">
        <f>G145/$G$186</f>
        <v/>
      </c>
      <c r="I145" s="174">
        <f>ROUND(F145*Прил.10!$D$13,2)</f>
        <v/>
      </c>
      <c r="J145" s="174">
        <f>ROUND(I145*E145,2)</f>
        <v/>
      </c>
    </row>
    <row r="146" hidden="1" outlineLevel="1" ht="25.5" customFormat="1" customHeight="1" s="205">
      <c r="A146" s="245" t="n">
        <v>118</v>
      </c>
      <c r="B146" s="176" t="inlineStr">
        <is>
          <t>08.1.02.11-0001</t>
        </is>
      </c>
      <c r="C146" s="244" t="inlineStr">
        <is>
          <t>Поковки из квадратных заготовок, масса: 1,8 кг</t>
        </is>
      </c>
      <c r="D146" s="245" t="inlineStr">
        <is>
          <t>т</t>
        </is>
      </c>
      <c r="E146" s="161" t="n">
        <v>0.00041307793923382</v>
      </c>
      <c r="F146" s="247" t="n">
        <v>5989</v>
      </c>
      <c r="G146" s="169">
        <f>ROUND(E146*F146,2)</f>
        <v/>
      </c>
      <c r="H146" s="248">
        <f>G146/$G$186</f>
        <v/>
      </c>
      <c r="I146" s="174">
        <f>ROUND(F146*Прил.10!$D$13,2)</f>
        <v/>
      </c>
      <c r="J146" s="174">
        <f>ROUND(I146*E146,2)</f>
        <v/>
      </c>
    </row>
    <row r="147" hidden="1" outlineLevel="1" ht="14.25" customFormat="1" customHeight="1" s="205">
      <c r="A147" s="245" t="n">
        <v>119</v>
      </c>
      <c r="B147" s="176" t="inlineStr">
        <is>
          <t>08.3.11.01-0091</t>
        </is>
      </c>
      <c r="C147" s="244" t="inlineStr">
        <is>
          <t>Швеллеры № 40 из стали марки: Ст0</t>
        </is>
      </c>
      <c r="D147" s="245" t="inlineStr">
        <is>
          <t>т</t>
        </is>
      </c>
      <c r="E147" s="161" t="n">
        <v>0.00043408190224571</v>
      </c>
      <c r="F147" s="247" t="n">
        <v>4920</v>
      </c>
      <c r="G147" s="169">
        <f>ROUND(E147*F147,2)</f>
        <v/>
      </c>
      <c r="H147" s="248">
        <f>G147/$G$186</f>
        <v/>
      </c>
      <c r="I147" s="174">
        <f>ROUND(F147*Прил.10!$D$13,2)</f>
        <v/>
      </c>
      <c r="J147" s="174">
        <f>ROUND(I147*E147,2)</f>
        <v/>
      </c>
    </row>
    <row r="148" hidden="1" outlineLevel="1" ht="14.25" customFormat="1" customHeight="1" s="205">
      <c r="A148" s="245" t="n">
        <v>120</v>
      </c>
      <c r="B148" s="176" t="inlineStr">
        <is>
          <t>01.7.15.03-0042</t>
        </is>
      </c>
      <c r="C148" s="244" t="inlineStr">
        <is>
          <t>Болты с гайками и шайбами строительные</t>
        </is>
      </c>
      <c r="D148" s="245" t="inlineStr">
        <is>
          <t>кг</t>
        </is>
      </c>
      <c r="E148" s="161" t="n">
        <v>0.23594451783355</v>
      </c>
      <c r="F148" s="247" t="n">
        <v>9.039999999999999</v>
      </c>
      <c r="G148" s="169">
        <f>ROUND(E148*F148,2)</f>
        <v/>
      </c>
      <c r="H148" s="248">
        <f>G148/$G$186</f>
        <v/>
      </c>
      <c r="I148" s="174">
        <f>ROUND(F148*Прил.10!$D$13,2)</f>
        <v/>
      </c>
      <c r="J148" s="174">
        <f>ROUND(I148*E148,2)</f>
        <v/>
      </c>
    </row>
    <row r="149" hidden="1" outlineLevel="1" ht="14.25" customFormat="1" customHeight="1" s="205">
      <c r="A149" s="245" t="n">
        <v>121</v>
      </c>
      <c r="B149" s="176" t="inlineStr">
        <is>
          <t>01.7.17.11-0001</t>
        </is>
      </c>
      <c r="C149" s="244" t="inlineStr">
        <is>
          <t>Бумага шлифовальная</t>
        </is>
      </c>
      <c r="D149" s="245" t="inlineStr">
        <is>
          <t>кг</t>
        </is>
      </c>
      <c r="E149" s="161" t="n">
        <v>0.042007926023778</v>
      </c>
      <c r="F149" s="247" t="n">
        <v>50</v>
      </c>
      <c r="G149" s="169">
        <f>ROUND(E149*F149,2)</f>
        <v/>
      </c>
      <c r="H149" s="248">
        <f>G149/$G$186</f>
        <v/>
      </c>
      <c r="I149" s="174">
        <f>ROUND(F149*Прил.10!$D$13,2)</f>
        <v/>
      </c>
      <c r="J149" s="174">
        <f>ROUND(I149*E149,2)</f>
        <v/>
      </c>
    </row>
    <row r="150" hidden="1" outlineLevel="1" ht="51" customFormat="1" customHeight="1" s="205">
      <c r="A150" s="245" t="n">
        <v>122</v>
      </c>
      <c r="B150" s="176" t="inlineStr">
        <is>
          <t>07.2.01.01-0003</t>
        </is>
      </c>
      <c r="C150" s="24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5" t="inlineStr">
        <is>
          <t>т</t>
        </is>
      </c>
      <c r="E150" s="161" t="n">
        <v>0.00021003963011889</v>
      </c>
      <c r="F150" s="247" t="n">
        <v>9670</v>
      </c>
      <c r="G150" s="169">
        <f>ROUND(E150*F150,2)</f>
        <v/>
      </c>
      <c r="H150" s="248">
        <f>G150/$G$186</f>
        <v/>
      </c>
      <c r="I150" s="174">
        <f>ROUND(F150*Прил.10!$D$13,2)</f>
        <v/>
      </c>
      <c r="J150" s="174">
        <f>ROUND(I150*E150,2)</f>
        <v/>
      </c>
    </row>
    <row r="151" hidden="1" outlineLevel="1" ht="14.25" customFormat="1" customHeight="1" s="205">
      <c r="A151" s="245" t="n">
        <v>123</v>
      </c>
      <c r="B151" s="176" t="inlineStr">
        <is>
          <t>14.4.02.09-0001</t>
        </is>
      </c>
      <c r="C151" s="244" t="inlineStr">
        <is>
          <t>Краска</t>
        </is>
      </c>
      <c r="D151" s="245" t="inlineStr">
        <is>
          <t>кг</t>
        </is>
      </c>
      <c r="E151" s="161" t="n">
        <v>0.058811096433289</v>
      </c>
      <c r="F151" s="247" t="n">
        <v>28.6</v>
      </c>
      <c r="G151" s="169">
        <f>ROUND(E151*F151,2)</f>
        <v/>
      </c>
      <c r="H151" s="248">
        <f>G151/$G$186</f>
        <v/>
      </c>
      <c r="I151" s="174">
        <f>ROUND(F151*Прил.10!$D$13,2)</f>
        <v/>
      </c>
      <c r="J151" s="174">
        <f>ROUND(I151*E151,2)</f>
        <v/>
      </c>
    </row>
    <row r="152" hidden="1" outlineLevel="1" ht="14.25" customFormat="1" customHeight="1" s="205">
      <c r="A152" s="245" t="n">
        <v>124</v>
      </c>
      <c r="B152" s="176" t="inlineStr">
        <is>
          <t>01.7.11.07-0032</t>
        </is>
      </c>
      <c r="C152" s="244" t="inlineStr">
        <is>
          <t>Электроды диаметром: 4 мм Э42</t>
        </is>
      </c>
      <c r="D152" s="245" t="inlineStr">
        <is>
          <t>т</t>
        </is>
      </c>
      <c r="E152" s="161" t="n">
        <v>0.00015402906208719</v>
      </c>
      <c r="F152" s="247" t="n">
        <v>10315.01</v>
      </c>
      <c r="G152" s="169">
        <f>ROUND(E152*F152,2)</f>
        <v/>
      </c>
      <c r="H152" s="248">
        <f>G152/$G$186</f>
        <v/>
      </c>
      <c r="I152" s="174">
        <f>ROUND(F152*Прил.10!$D$13,2)</f>
        <v/>
      </c>
      <c r="J152" s="174">
        <f>ROUND(I152*E152,2)</f>
        <v/>
      </c>
    </row>
    <row r="153" hidden="1" outlineLevel="1" ht="38.25" customFormat="1" customHeight="1" s="205">
      <c r="A153" s="245" t="n">
        <v>125</v>
      </c>
      <c r="B153" s="176" t="inlineStr">
        <is>
          <t>25.1.01.05-0025</t>
        </is>
      </c>
      <c r="C153" s="244" t="inlineStr">
        <is>
          <t>Шпалы из древесины хвойных пород длиной: 1500 мм для колеи 750 мм пропитанные, тип 2</t>
        </is>
      </c>
      <c r="D153" s="245" t="inlineStr">
        <is>
          <t>шт</t>
        </is>
      </c>
      <c r="E153" s="161" t="n">
        <v>0.021256010568032</v>
      </c>
      <c r="F153" s="247" t="n">
        <v>68</v>
      </c>
      <c r="G153" s="169">
        <f>ROUND(E153*F153,2)</f>
        <v/>
      </c>
      <c r="H153" s="248">
        <f>G153/$G$186</f>
        <v/>
      </c>
      <c r="I153" s="174">
        <f>ROUND(F153*Прил.10!$D$13,2)</f>
        <v/>
      </c>
      <c r="J153" s="174">
        <f>ROUND(I153*E153,2)</f>
        <v/>
      </c>
    </row>
    <row r="154" hidden="1" outlineLevel="1" ht="25.5" customFormat="1" customHeight="1" s="205">
      <c r="A154" s="245" t="n">
        <v>126</v>
      </c>
      <c r="B154" s="176" t="inlineStr">
        <is>
          <t>01.3.01.03-0002</t>
        </is>
      </c>
      <c r="C154" s="244" t="inlineStr">
        <is>
          <t>Керосин для технических целей марок КТ-1, КТ-2</t>
        </is>
      </c>
      <c r="D154" s="245" t="inlineStr">
        <is>
          <t>т</t>
        </is>
      </c>
      <c r="E154" s="161" t="n">
        <v>0.00050409511228534</v>
      </c>
      <c r="F154" s="247" t="n">
        <v>2606.9</v>
      </c>
      <c r="G154" s="169">
        <f>ROUND(E154*F154,2)</f>
        <v/>
      </c>
      <c r="H154" s="248">
        <f>G154/$G$186</f>
        <v/>
      </c>
      <c r="I154" s="174">
        <f>ROUND(F154*Прил.10!$D$13,2)</f>
        <v/>
      </c>
      <c r="J154" s="174">
        <f>ROUND(I154*E154,2)</f>
        <v/>
      </c>
    </row>
    <row r="155" hidden="1" outlineLevel="1" ht="14.25" customFormat="1" customHeight="1" s="205">
      <c r="A155" s="245" t="n">
        <v>127</v>
      </c>
      <c r="B155" s="176" t="inlineStr">
        <is>
          <t>01.7.02.07-0011</t>
        </is>
      </c>
      <c r="C155" s="244" t="inlineStr">
        <is>
          <t>Прессшпан листовой, марки А</t>
        </is>
      </c>
      <c r="D155" s="245" t="inlineStr">
        <is>
          <t>кг</t>
        </is>
      </c>
      <c r="E155" s="161" t="n">
        <v>0.021003963011889</v>
      </c>
      <c r="F155" s="247" t="n">
        <v>47.57</v>
      </c>
      <c r="G155" s="169">
        <f>ROUND(E155*F155,2)</f>
        <v/>
      </c>
      <c r="H155" s="248">
        <f>G155/$G$186</f>
        <v/>
      </c>
      <c r="I155" s="174">
        <f>ROUND(F155*Прил.10!$D$13,2)</f>
        <v/>
      </c>
      <c r="J155" s="174">
        <f>ROUND(I155*E155,2)</f>
        <v/>
      </c>
    </row>
    <row r="156" hidden="1" outlineLevel="1" ht="25.5" customFormat="1" customHeight="1" s="205">
      <c r="A156" s="245" t="n">
        <v>128</v>
      </c>
      <c r="B156" s="176" t="inlineStr">
        <is>
          <t>01.2.01.02-0052</t>
        </is>
      </c>
      <c r="C156" s="244" t="inlineStr">
        <is>
          <t>Битумы нефтяные строительные марки: БН-70/30</t>
        </is>
      </c>
      <c r="D156" s="245" t="inlineStr">
        <is>
          <t>т</t>
        </is>
      </c>
      <c r="E156" s="161" t="n">
        <v>0.00056010568031704</v>
      </c>
      <c r="F156" s="247" t="n">
        <v>1525.5</v>
      </c>
      <c r="G156" s="169">
        <f>ROUND(E156*F156,2)</f>
        <v/>
      </c>
      <c r="H156" s="248">
        <f>G156/$G$186</f>
        <v/>
      </c>
      <c r="I156" s="174">
        <f>ROUND(F156*Прил.10!$D$13,2)</f>
        <v/>
      </c>
      <c r="J156" s="174">
        <f>ROUND(I156*E156,2)</f>
        <v/>
      </c>
    </row>
    <row r="157" hidden="1" outlineLevel="1" ht="25.5" customFormat="1" customHeight="1" s="205">
      <c r="A157" s="245" t="n">
        <v>129</v>
      </c>
      <c r="B157" s="176" t="inlineStr">
        <is>
          <t>08.3.08.02-0052</t>
        </is>
      </c>
      <c r="C157" s="244" t="inlineStr">
        <is>
          <t>Сталь угловая равнополочная, марка стали: ВСт3кп2, размером 50x50x5 мм</t>
        </is>
      </c>
      <c r="D157" s="245" t="inlineStr">
        <is>
          <t>т</t>
        </is>
      </c>
      <c r="E157" s="161" t="n">
        <v>0.00014002642007926</v>
      </c>
      <c r="F157" s="247" t="n">
        <v>5763</v>
      </c>
      <c r="G157" s="169">
        <f>ROUND(E157*F157,2)</f>
        <v/>
      </c>
      <c r="H157" s="248">
        <f>G157/$G$186</f>
        <v/>
      </c>
      <c r="I157" s="174">
        <f>ROUND(F157*Прил.10!$D$13,2)</f>
        <v/>
      </c>
      <c r="J157" s="174">
        <f>ROUND(I157*E157,2)</f>
        <v/>
      </c>
    </row>
    <row r="158" hidden="1" outlineLevel="1" ht="14.25" customFormat="1" customHeight="1" s="205">
      <c r="A158" s="245" t="n">
        <v>130</v>
      </c>
      <c r="B158" s="176" t="inlineStr">
        <is>
          <t>14.5.09.02-0002</t>
        </is>
      </c>
      <c r="C158" s="244" t="inlineStr">
        <is>
          <t>Ксилол нефтяной марки А</t>
        </is>
      </c>
      <c r="D158" s="245" t="inlineStr">
        <is>
          <t>т</t>
        </is>
      </c>
      <c r="E158" s="161" t="n">
        <v>0.00010501981505945</v>
      </c>
      <c r="F158" s="247" t="n">
        <v>7640</v>
      </c>
      <c r="G158" s="169">
        <f>ROUND(E158*F158,2)</f>
        <v/>
      </c>
      <c r="H158" s="248">
        <f>G158/$G$186</f>
        <v/>
      </c>
      <c r="I158" s="174">
        <f>ROUND(F158*Прил.10!$D$13,2)</f>
        <v/>
      </c>
      <c r="J158" s="174">
        <f>ROUND(I158*E158,2)</f>
        <v/>
      </c>
    </row>
    <row r="159" hidden="1" outlineLevel="1" ht="14.25" customFormat="1" customHeight="1" s="205">
      <c r="A159" s="245" t="n">
        <v>131</v>
      </c>
      <c r="B159" s="176" t="inlineStr">
        <is>
          <t>01.7.20.08-0071</t>
        </is>
      </c>
      <c r="C159" s="244" t="inlineStr">
        <is>
          <t>Канаты пеньковые пропитанные</t>
        </is>
      </c>
      <c r="D159" s="245" t="inlineStr">
        <is>
          <t>т</t>
        </is>
      </c>
      <c r="E159" s="161" t="n">
        <v>2.1003963011889e-05</v>
      </c>
      <c r="F159" s="247" t="n">
        <v>37900</v>
      </c>
      <c r="G159" s="169">
        <f>ROUND(E159*F159,2)</f>
        <v/>
      </c>
      <c r="H159" s="248">
        <f>G159/$G$186</f>
        <v/>
      </c>
      <c r="I159" s="174">
        <f>ROUND(F159*Прил.10!$D$13,2)</f>
        <v/>
      </c>
      <c r="J159" s="174">
        <f>ROUND(I159*E159,2)</f>
        <v/>
      </c>
    </row>
    <row r="160" hidden="1" outlineLevel="1" ht="14.25" customFormat="1" customHeight="1" s="205">
      <c r="A160" s="245" t="n">
        <v>132</v>
      </c>
      <c r="B160" s="176" t="inlineStr">
        <is>
          <t>14.5.09.11-0101</t>
        </is>
      </c>
      <c r="C160" s="244" t="inlineStr">
        <is>
          <t>Уайт-спирит</t>
        </is>
      </c>
      <c r="D160" s="245" t="inlineStr">
        <is>
          <t>т</t>
        </is>
      </c>
      <c r="E160" s="161" t="n">
        <v>9.1017173051519e-05</v>
      </c>
      <c r="F160" s="247" t="n">
        <v>6667</v>
      </c>
      <c r="G160" s="169">
        <f>ROUND(E160*F160,2)</f>
        <v/>
      </c>
      <c r="H160" s="248">
        <f>G160/$G$186</f>
        <v/>
      </c>
      <c r="I160" s="174">
        <f>ROUND(F160*Прил.10!$D$13,2)</f>
        <v/>
      </c>
      <c r="J160" s="174">
        <f>ROUND(I160*E160,2)</f>
        <v/>
      </c>
    </row>
    <row r="161" hidden="1" outlineLevel="1" ht="38.25" customFormat="1" customHeight="1" s="205">
      <c r="A161" s="245" t="n">
        <v>133</v>
      </c>
      <c r="B161" s="176" t="inlineStr">
        <is>
          <t>11.1.03.05-0085</t>
        </is>
      </c>
      <c r="C161" s="244" t="inlineStr">
        <is>
          <t>Доски необрезные хвойных пород длиной: 4-6,5 м, все ширины, толщиной 44 мм и более, III сорта</t>
        </is>
      </c>
      <c r="D161" s="245" t="inlineStr">
        <is>
          <t>м3</t>
        </is>
      </c>
      <c r="E161" s="161" t="n">
        <v>0.00084015852047556</v>
      </c>
      <c r="F161" s="247" t="n">
        <v>684</v>
      </c>
      <c r="G161" s="169">
        <f>ROUND(E161*F161,2)</f>
        <v/>
      </c>
      <c r="H161" s="248">
        <f>G161/$G$186</f>
        <v/>
      </c>
      <c r="I161" s="174">
        <f>ROUND(F161*Прил.10!$D$13,2)</f>
        <v/>
      </c>
      <c r="J161" s="174">
        <f>ROUND(I161*E161,2)</f>
        <v/>
      </c>
    </row>
    <row r="162" hidden="1" outlineLevel="1" ht="25.5" customFormat="1" customHeight="1" s="205">
      <c r="A162" s="245" t="n">
        <v>134</v>
      </c>
      <c r="B162" s="176" t="inlineStr">
        <is>
          <t>01.2.01.01-0019</t>
        </is>
      </c>
      <c r="C162" s="244" t="inlineStr">
        <is>
          <t>Битумы нефтяные дорожные марки: БНД-60/90, БНД 90/130</t>
        </is>
      </c>
      <c r="D162" s="245" t="inlineStr">
        <is>
          <t>т</t>
        </is>
      </c>
      <c r="E162" s="161" t="n">
        <v>0.00029405548216645</v>
      </c>
      <c r="F162" s="247" t="n">
        <v>1690</v>
      </c>
      <c r="G162" s="169">
        <f>ROUND(E162*F162,2)</f>
        <v/>
      </c>
      <c r="H162" s="248">
        <f>G162/$G$186</f>
        <v/>
      </c>
      <c r="I162" s="174">
        <f>ROUND(F162*Прил.10!$D$13,2)</f>
        <v/>
      </c>
      <c r="J162" s="174">
        <f>ROUND(I162*E162,2)</f>
        <v/>
      </c>
    </row>
    <row r="163" hidden="1" outlineLevel="1" ht="14.25" customFormat="1" customHeight="1" s="205">
      <c r="A163" s="245" t="n">
        <v>135</v>
      </c>
      <c r="B163" s="176" t="inlineStr">
        <is>
          <t>01.3.01.06-0023</t>
        </is>
      </c>
      <c r="C163" s="244" t="inlineStr">
        <is>
          <t>Смазка № 9</t>
        </is>
      </c>
      <c r="D163" s="245" t="inlineStr">
        <is>
          <t>т</t>
        </is>
      </c>
      <c r="E163" s="161" t="n">
        <v>2.1003963011889e-05</v>
      </c>
      <c r="F163" s="247" t="n">
        <v>20600</v>
      </c>
      <c r="G163" s="169">
        <f>ROUND(E163*F163,2)</f>
        <v/>
      </c>
      <c r="H163" s="248">
        <f>G163/$G$186</f>
        <v/>
      </c>
      <c r="I163" s="174">
        <f>ROUND(F163*Прил.10!$D$13,2)</f>
        <v/>
      </c>
      <c r="J163" s="174">
        <f>ROUND(I163*E163,2)</f>
        <v/>
      </c>
    </row>
    <row r="164" hidden="1" outlineLevel="1" ht="14.25" customFormat="1" customHeight="1" s="205">
      <c r="A164" s="245" t="n">
        <v>136</v>
      </c>
      <c r="B164" s="176" t="inlineStr">
        <is>
          <t>01.2.03.03-0043</t>
        </is>
      </c>
      <c r="C164" s="244" t="inlineStr">
        <is>
          <t>Мастика битумно-кукерсольная холодная</t>
        </is>
      </c>
      <c r="D164" s="245" t="inlineStr">
        <is>
          <t>т</t>
        </is>
      </c>
      <c r="E164" s="161" t="n">
        <v>0.0001330250990753</v>
      </c>
      <c r="F164" s="247" t="n">
        <v>3219.2</v>
      </c>
      <c r="G164" s="169">
        <f>ROUND(E164*F164,2)</f>
        <v/>
      </c>
      <c r="H164" s="248">
        <f>G164/$G$186</f>
        <v/>
      </c>
      <c r="I164" s="174">
        <f>ROUND(F164*Прил.10!$D$13,2)</f>
        <v/>
      </c>
      <c r="J164" s="174">
        <f>ROUND(I164*E164,2)</f>
        <v/>
      </c>
    </row>
    <row r="165" hidden="1" outlineLevel="1" ht="14.25" customFormat="1" customHeight="1" s="205">
      <c r="A165" s="245" t="n">
        <v>137</v>
      </c>
      <c r="B165" s="176" t="inlineStr">
        <is>
          <t>01.7.11.07-0044</t>
        </is>
      </c>
      <c r="C165" s="244" t="inlineStr">
        <is>
          <t>Электроды диаметром: 5 мм Э42</t>
        </is>
      </c>
      <c r="D165" s="245" t="inlineStr">
        <is>
          <t>т</t>
        </is>
      </c>
      <c r="E165" s="161" t="n">
        <v>3.5006605019815e-05</v>
      </c>
      <c r="F165" s="247" t="n">
        <v>9765</v>
      </c>
      <c r="G165" s="169">
        <f>ROUND(E165*F165,2)</f>
        <v/>
      </c>
      <c r="H165" s="248">
        <f>G165/$G$186</f>
        <v/>
      </c>
      <c r="I165" s="174">
        <f>ROUND(F165*Прил.10!$D$13,2)</f>
        <v/>
      </c>
      <c r="J165" s="174">
        <f>ROUND(I165*E165,2)</f>
        <v/>
      </c>
    </row>
    <row r="166" hidden="1" outlineLevel="1" ht="38.25" customFormat="1" customHeight="1" s="205">
      <c r="A166" s="245" t="n">
        <v>138</v>
      </c>
      <c r="B166" s="176" t="inlineStr">
        <is>
          <t>11.1.03.01-0077</t>
        </is>
      </c>
      <c r="C166" s="244" t="inlineStr">
        <is>
          <t>Бруски обрезные хвойных пород длиной: 4-6,5 м, шириной 75-150 мм, толщиной 40-75 мм, I сорта</t>
        </is>
      </c>
      <c r="D166" s="245" t="inlineStr">
        <is>
          <t>м3</t>
        </is>
      </c>
      <c r="E166" s="161" t="n">
        <v>0.00018203434610304</v>
      </c>
      <c r="F166" s="247" t="n">
        <v>1700</v>
      </c>
      <c r="G166" s="169">
        <f>ROUND(E166*F166,2)</f>
        <v/>
      </c>
      <c r="H166" s="248">
        <f>G166/$G$186</f>
        <v/>
      </c>
      <c r="I166" s="174">
        <f>ROUND(F166*Прил.10!$D$13,2)</f>
        <v/>
      </c>
      <c r="J166" s="174">
        <f>ROUND(I166*E166,2)</f>
        <v/>
      </c>
    </row>
    <row r="167" hidden="1" outlineLevel="1" ht="14.25" customFormat="1" customHeight="1" s="205">
      <c r="A167" s="245" t="n">
        <v>139</v>
      </c>
      <c r="B167" s="176" t="inlineStr">
        <is>
          <t>01.7.20.08-0102</t>
        </is>
      </c>
      <c r="C167" s="244" t="inlineStr">
        <is>
          <t>Миткаль «Т-2» суровый (суровье)</t>
        </is>
      </c>
      <c r="D167" s="245" t="inlineStr">
        <is>
          <t>10 м</t>
        </is>
      </c>
      <c r="E167" s="161" t="n">
        <v>0.0042007926023778</v>
      </c>
      <c r="F167" s="247" t="n">
        <v>73.65000000000001</v>
      </c>
      <c r="G167" s="169">
        <f>ROUND(E167*F167,2)</f>
        <v/>
      </c>
      <c r="H167" s="248">
        <f>G167/$G$186</f>
        <v/>
      </c>
      <c r="I167" s="174">
        <f>ROUND(F167*Прил.10!$D$13,2)</f>
        <v/>
      </c>
      <c r="J167" s="174">
        <f>ROUND(I167*E167,2)</f>
        <v/>
      </c>
    </row>
    <row r="168" hidden="1" outlineLevel="1" ht="14.25" customFormat="1" customHeight="1" s="205">
      <c r="A168" s="245" t="n">
        <v>140</v>
      </c>
      <c r="B168" s="176" t="inlineStr">
        <is>
          <t>01.1.02.10-0021</t>
        </is>
      </c>
      <c r="C168" s="244" t="inlineStr">
        <is>
          <t>Асбест хризотиловый марки: К-6-30</t>
        </is>
      </c>
      <c r="D168" s="245" t="inlineStr">
        <is>
          <t>т</t>
        </is>
      </c>
      <c r="E168" s="161" t="n">
        <v>0.00023804491413474</v>
      </c>
      <c r="F168" s="247" t="n">
        <v>1160</v>
      </c>
      <c r="G168" s="169">
        <f>ROUND(E168*F168,2)</f>
        <v/>
      </c>
      <c r="H168" s="248">
        <f>G168/$G$186</f>
        <v/>
      </c>
      <c r="I168" s="174">
        <f>ROUND(F168*Прил.10!$D$13,2)</f>
        <v/>
      </c>
      <c r="J168" s="174">
        <f>ROUND(I168*E168,2)</f>
        <v/>
      </c>
    </row>
    <row r="169" hidden="1" outlineLevel="1" ht="14.25" customFormat="1" customHeight="1" s="205">
      <c r="A169" s="245" t="n">
        <v>141</v>
      </c>
      <c r="B169" s="176" t="inlineStr">
        <is>
          <t>14.4.03.03-0002</t>
        </is>
      </c>
      <c r="C169" s="244" t="inlineStr">
        <is>
          <t>Лак битумный: БТ-123</t>
        </is>
      </c>
      <c r="D169" s="245" t="inlineStr">
        <is>
          <t>т</t>
        </is>
      </c>
      <c r="E169" s="161" t="n">
        <v>3.5006605019815e-05</v>
      </c>
      <c r="F169" s="247" t="n">
        <v>7826.9</v>
      </c>
      <c r="G169" s="169">
        <f>ROUND(E169*F169,2)</f>
        <v/>
      </c>
      <c r="H169" s="248">
        <f>G169/$G$186</f>
        <v/>
      </c>
      <c r="I169" s="174">
        <f>ROUND(F169*Прил.10!$D$13,2)</f>
        <v/>
      </c>
      <c r="J169" s="174">
        <f>ROUND(I169*E169,2)</f>
        <v/>
      </c>
    </row>
    <row r="170" hidden="1" outlineLevel="1" ht="63.75" customFormat="1" customHeight="1" s="205">
      <c r="A170" s="245" t="n">
        <v>142</v>
      </c>
      <c r="B170" s="176" t="inlineStr">
        <is>
          <t>08.2.02.11-0007</t>
        </is>
      </c>
      <c r="C170" s="24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5" t="inlineStr">
        <is>
          <t>10 м</t>
        </is>
      </c>
      <c r="E170" s="161" t="n">
        <v>0.0041167767503302</v>
      </c>
      <c r="F170" s="247" t="n">
        <v>50.24</v>
      </c>
      <c r="G170" s="169">
        <f>ROUND(E170*F170,2)</f>
        <v/>
      </c>
      <c r="H170" s="248">
        <f>G170/$G$186</f>
        <v/>
      </c>
      <c r="I170" s="174">
        <f>ROUND(F170*Прил.10!$D$13,2)</f>
        <v/>
      </c>
      <c r="J170" s="174">
        <f>ROUND(I170*E170,2)</f>
        <v/>
      </c>
    </row>
    <row r="171" hidden="1" outlineLevel="1" ht="14.25" customFormat="1" customHeight="1" s="205">
      <c r="A171" s="245" t="n">
        <v>143</v>
      </c>
      <c r="B171" s="176" t="inlineStr">
        <is>
          <t>01.7.11.07-0035</t>
        </is>
      </c>
      <c r="C171" s="244" t="inlineStr">
        <is>
          <t>Электроды диаметром: 4 мм Э46</t>
        </is>
      </c>
      <c r="D171" s="245" t="inlineStr">
        <is>
          <t>т</t>
        </is>
      </c>
      <c r="E171" s="161" t="n">
        <v>1.4002642007926e-05</v>
      </c>
      <c r="F171" s="247" t="n">
        <v>10749</v>
      </c>
      <c r="G171" s="169">
        <f>ROUND(E171*F171,2)</f>
        <v/>
      </c>
      <c r="H171" s="248">
        <f>G171/$G$186</f>
        <v/>
      </c>
      <c r="I171" s="174">
        <f>ROUND(F171*Прил.10!$D$13,2)</f>
        <v/>
      </c>
      <c r="J171" s="174">
        <f>ROUND(I171*E171,2)</f>
        <v/>
      </c>
    </row>
    <row r="172" hidden="1" outlineLevel="1" ht="25.5" customFormat="1" customHeight="1" s="205">
      <c r="A172" s="245" t="n">
        <v>144</v>
      </c>
      <c r="B172" s="176" t="inlineStr">
        <is>
          <t>03.2.01.01-0001</t>
        </is>
      </c>
      <c r="C172" s="244" t="inlineStr">
        <is>
          <t>Портландцемент общестроительного назначения бездобавочный, марки: 400</t>
        </is>
      </c>
      <c r="D172" s="245" t="inlineStr">
        <is>
          <t>т</t>
        </is>
      </c>
      <c r="E172" s="161" t="n">
        <v>0.00035006605019815</v>
      </c>
      <c r="F172" s="247" t="n">
        <v>412</v>
      </c>
      <c r="G172" s="169">
        <f>ROUND(E172*F172,2)</f>
        <v/>
      </c>
      <c r="H172" s="248">
        <f>G172/$G$186</f>
        <v/>
      </c>
      <c r="I172" s="174">
        <f>ROUND(F172*Прил.10!$D$13,2)</f>
        <v/>
      </c>
      <c r="J172" s="174">
        <f>ROUND(I172*E172,2)</f>
        <v/>
      </c>
    </row>
    <row r="173" hidden="1" outlineLevel="1" ht="14.25" customFormat="1" customHeight="1" s="205">
      <c r="A173" s="245" t="n">
        <v>145</v>
      </c>
      <c r="B173" s="176" t="inlineStr">
        <is>
          <t>01.7.07.08-0003</t>
        </is>
      </c>
      <c r="C173" s="244" t="inlineStr">
        <is>
          <t>Мыло твердое хозяйственное 72%</t>
        </is>
      </c>
      <c r="D173" s="245" t="inlineStr">
        <is>
          <t>шт</t>
        </is>
      </c>
      <c r="E173" s="161" t="n">
        <v>0.031323910171731</v>
      </c>
      <c r="F173" s="247" t="n">
        <v>4.5</v>
      </c>
      <c r="G173" s="169">
        <f>ROUND(E173*F173,2)</f>
        <v/>
      </c>
      <c r="H173" s="248">
        <f>G173/$G$186</f>
        <v/>
      </c>
      <c r="I173" s="174">
        <f>ROUND(F173*Прил.10!$D$13,2)</f>
        <v/>
      </c>
      <c r="J173" s="174">
        <f>ROUND(I173*E173,2)</f>
        <v/>
      </c>
    </row>
    <row r="174" hidden="1" outlineLevel="1" ht="14.25" customFormat="1" customHeight="1" s="205">
      <c r="A174" s="245" t="n">
        <v>146</v>
      </c>
      <c r="B174" s="176" t="inlineStr">
        <is>
          <t>01.3.01.01-0001</t>
        </is>
      </c>
      <c r="C174" s="244" t="inlineStr">
        <is>
          <t>Бензин авиационный Б-70</t>
        </is>
      </c>
      <c r="D174" s="245" t="inlineStr">
        <is>
          <t>т</t>
        </is>
      </c>
      <c r="E174" s="161" t="n">
        <v>2.8005284015852e-05</v>
      </c>
      <c r="F174" s="247" t="n">
        <v>4488.4</v>
      </c>
      <c r="G174" s="169">
        <f>ROUND(E174*F174,2)</f>
        <v/>
      </c>
      <c r="H174" s="248">
        <f>G174/$G$186</f>
        <v/>
      </c>
      <c r="I174" s="174">
        <f>ROUND(F174*Прил.10!$D$13,2)</f>
        <v/>
      </c>
      <c r="J174" s="174">
        <f>ROUND(I174*E174,2)</f>
        <v/>
      </c>
    </row>
    <row r="175" hidden="1" outlineLevel="1" ht="25.5" customFormat="1" customHeight="1" s="205">
      <c r="A175" s="245" t="n">
        <v>147</v>
      </c>
      <c r="B175" s="176" t="inlineStr">
        <is>
          <t>01.3.01.06-0050</t>
        </is>
      </c>
      <c r="C175" s="244" t="inlineStr">
        <is>
          <t>Смазка универсальная тугоплавкая УТ (консталин жировой)</t>
        </is>
      </c>
      <c r="D175" s="245" t="inlineStr">
        <is>
          <t>т</t>
        </is>
      </c>
      <c r="E175" s="161" t="n">
        <v>7.001321003963e-06</v>
      </c>
      <c r="F175" s="247" t="n">
        <v>17500</v>
      </c>
      <c r="G175" s="169">
        <f>ROUND(E175*F175,2)</f>
        <v/>
      </c>
      <c r="H175" s="248">
        <f>G175/$G$186</f>
        <v/>
      </c>
      <c r="I175" s="174">
        <f>ROUND(F175*Прил.10!$D$13,2)</f>
        <v/>
      </c>
      <c r="J175" s="174">
        <f>ROUND(I175*E175,2)</f>
        <v/>
      </c>
    </row>
    <row r="176" hidden="1" outlineLevel="1" ht="25.5" customFormat="1" customHeight="1" s="205">
      <c r="A176" s="245" t="n">
        <v>148</v>
      </c>
      <c r="B176" s="176" t="inlineStr">
        <is>
          <t>01.7.15.06-0121</t>
        </is>
      </c>
      <c r="C176" s="244" t="inlineStr">
        <is>
          <t>Гвозди строительные с плоской головкой: 1,6x50 мм</t>
        </is>
      </c>
      <c r="D176" s="245" t="inlineStr">
        <is>
          <t>т</t>
        </is>
      </c>
      <c r="E176" s="161" t="n">
        <v>1.4002642007926e-05</v>
      </c>
      <c r="F176" s="247" t="n">
        <v>8475</v>
      </c>
      <c r="G176" s="169">
        <f>ROUND(E176*F176,2)</f>
        <v/>
      </c>
      <c r="H176" s="248">
        <f>G176/$G$186</f>
        <v/>
      </c>
      <c r="I176" s="174">
        <f>ROUND(F176*Прил.10!$D$13,2)</f>
        <v/>
      </c>
      <c r="J176" s="174">
        <f>ROUND(I176*E176,2)</f>
        <v/>
      </c>
    </row>
    <row r="177" hidden="1" outlineLevel="1" ht="14.25" customFormat="1" customHeight="1" s="205">
      <c r="A177" s="245" t="n">
        <v>149</v>
      </c>
      <c r="B177" s="176" t="inlineStr">
        <is>
          <t>14.1.02.01-0002</t>
        </is>
      </c>
      <c r="C177" s="244" t="inlineStr">
        <is>
          <t>Клей БМК-5к</t>
        </is>
      </c>
      <c r="D177" s="245" t="inlineStr">
        <is>
          <t>кг</t>
        </is>
      </c>
      <c r="E177" s="161" t="n">
        <v>0.0042007926023778</v>
      </c>
      <c r="F177" s="247" t="n">
        <v>25.8</v>
      </c>
      <c r="G177" s="169">
        <f>ROUND(E177*F177,2)</f>
        <v/>
      </c>
      <c r="H177" s="248">
        <f>G177/$G$186</f>
        <v/>
      </c>
      <c r="I177" s="174">
        <f>ROUND(F177*Прил.10!$D$13,2)</f>
        <v/>
      </c>
      <c r="J177" s="174">
        <f>ROUND(I177*E177,2)</f>
        <v/>
      </c>
    </row>
    <row r="178" hidden="1" outlineLevel="1" ht="14.25" customFormat="1" customHeight="1" s="205">
      <c r="A178" s="245" t="n">
        <v>150</v>
      </c>
      <c r="B178" s="176" t="inlineStr">
        <is>
          <t>14.5.09.01-0001</t>
        </is>
      </c>
      <c r="C178" s="244" t="inlineStr">
        <is>
          <t>Ацетон технический, сорт I</t>
        </is>
      </c>
      <c r="D178" s="245" t="inlineStr">
        <is>
          <t>т</t>
        </is>
      </c>
      <c r="E178" s="161" t="n">
        <v>1.4002642007926e-05</v>
      </c>
      <c r="F178" s="247" t="n">
        <v>7716.7</v>
      </c>
      <c r="G178" s="169">
        <f>ROUND(E178*F178,2)</f>
        <v/>
      </c>
      <c r="H178" s="248">
        <f>G178/$G$186</f>
        <v/>
      </c>
      <c r="I178" s="174">
        <f>ROUND(F178*Прил.10!$D$13,2)</f>
        <v/>
      </c>
      <c r="J178" s="174">
        <f>ROUND(I178*E178,2)</f>
        <v/>
      </c>
    </row>
    <row r="179" hidden="1" outlineLevel="1" ht="14.25" customFormat="1" customHeight="1" s="205">
      <c r="A179" s="245" t="n">
        <v>151</v>
      </c>
      <c r="B179" s="176" t="inlineStr">
        <is>
          <t>01.7.11.07-0045</t>
        </is>
      </c>
      <c r="C179" s="244" t="inlineStr">
        <is>
          <t>Электроды диаметром: 5 мм Э42А</t>
        </is>
      </c>
      <c r="D179" s="245" t="inlineStr">
        <is>
          <t>т</t>
        </is>
      </c>
      <c r="E179" s="161" t="n">
        <v>7.001321003963e-06</v>
      </c>
      <c r="F179" s="247" t="n">
        <v>10362</v>
      </c>
      <c r="G179" s="169">
        <f>ROUND(E179*F179,2)</f>
        <v/>
      </c>
      <c r="H179" s="248">
        <f>G179/$G$186</f>
        <v/>
      </c>
      <c r="I179" s="174">
        <f>ROUND(F179*Прил.10!$D$13,2)</f>
        <v/>
      </c>
      <c r="J179" s="174">
        <f>ROUND(I179*E179,2)</f>
        <v/>
      </c>
    </row>
    <row r="180" hidden="1" outlineLevel="1" ht="38.25" customFormat="1" customHeight="1" s="205">
      <c r="A180" s="245" t="n">
        <v>152</v>
      </c>
      <c r="B180" s="176" t="inlineStr">
        <is>
          <t>02.2.05.04-0093</t>
        </is>
      </c>
      <c r="C180" s="244" t="inlineStr">
        <is>
          <t>Щебень из природного камня для строительных работ марка: 800, фракция 20-40 мм</t>
        </is>
      </c>
      <c r="D180" s="245" t="inlineStr">
        <is>
          <t>м3</t>
        </is>
      </c>
      <c r="E180" s="161" t="n">
        <v>0.00062311756935271</v>
      </c>
      <c r="F180" s="247" t="n">
        <v>108.4</v>
      </c>
      <c r="G180" s="169">
        <f>ROUND(E180*F180,2)</f>
        <v/>
      </c>
      <c r="H180" s="248">
        <f>G180/$G$186</f>
        <v/>
      </c>
      <c r="I180" s="174">
        <f>ROUND(F180*Прил.10!$D$13,2)</f>
        <v/>
      </c>
      <c r="J180" s="174">
        <f>ROUND(I180*E180,2)</f>
        <v/>
      </c>
    </row>
    <row r="181" hidden="1" outlineLevel="1" ht="38.25" customFormat="1" customHeight="1" s="205">
      <c r="A181" s="245" t="n">
        <v>153</v>
      </c>
      <c r="B181" s="176" t="inlineStr">
        <is>
          <t>11.1.03.01-0079</t>
        </is>
      </c>
      <c r="C181" s="244" t="inlineStr">
        <is>
          <t>Бруски обрезные хвойных пород длиной: 4-6,5 м, шириной 75-150 мм, толщиной 40-75 мм, III сорта</t>
        </is>
      </c>
      <c r="D181" s="245" t="inlineStr">
        <is>
          <t>м3</t>
        </is>
      </c>
      <c r="E181" s="161" t="n">
        <v>4.9009247027741e-05</v>
      </c>
      <c r="F181" s="247" t="n">
        <v>1287</v>
      </c>
      <c r="G181" s="169">
        <f>ROUND(E181*F181,2)</f>
        <v/>
      </c>
      <c r="H181" s="248">
        <f>G181/$G$186</f>
        <v/>
      </c>
      <c r="I181" s="174">
        <f>ROUND(F181*Прил.10!$D$13,2)</f>
        <v/>
      </c>
      <c r="J181" s="174">
        <f>ROUND(I181*E181,2)</f>
        <v/>
      </c>
    </row>
    <row r="182" hidden="1" outlineLevel="1" ht="14.25" customFormat="1" customHeight="1" s="205">
      <c r="A182" s="245" t="n">
        <v>154</v>
      </c>
      <c r="B182" s="176" t="inlineStr">
        <is>
          <t>04.1.02.05-0007</t>
        </is>
      </c>
      <c r="C182" s="244" t="inlineStr">
        <is>
          <t>Бетон тяжелый, класс: В20 (М250)</t>
        </is>
      </c>
      <c r="D182" s="245" t="inlineStr">
        <is>
          <t>м3</t>
        </is>
      </c>
      <c r="E182" s="161" t="n">
        <v>5.6010568031704e-05</v>
      </c>
      <c r="F182" s="247" t="n">
        <v>665</v>
      </c>
      <c r="G182" s="169">
        <f>ROUND(E182*F182,2)</f>
        <v/>
      </c>
      <c r="H182" s="248">
        <f>G182/$G$186</f>
        <v/>
      </c>
      <c r="I182" s="174">
        <f>ROUND(F182*Прил.10!$D$13,2)</f>
        <v/>
      </c>
      <c r="J182" s="174">
        <f>ROUND(I182*E182,2)</f>
        <v/>
      </c>
    </row>
    <row r="183" hidden="1" outlineLevel="1" ht="14.25" customFormat="1" customHeight="1" s="205">
      <c r="A183" s="245" t="n">
        <v>155</v>
      </c>
      <c r="B183" s="176" t="inlineStr">
        <is>
          <t>01.7.20.08-0051</t>
        </is>
      </c>
      <c r="C183" s="244" t="inlineStr">
        <is>
          <t>Ветошь</t>
        </is>
      </c>
      <c r="D183" s="245" t="inlineStr">
        <is>
          <t>кг</t>
        </is>
      </c>
      <c r="E183" s="161" t="n">
        <v>0.016453104359313</v>
      </c>
      <c r="F183" s="247" t="n">
        <v>1.82</v>
      </c>
      <c r="G183" s="169">
        <f>ROUND(E183*F183,2)</f>
        <v/>
      </c>
      <c r="H183" s="248">
        <f>G183/$G$186</f>
        <v/>
      </c>
      <c r="I183" s="174">
        <f>ROUND(F183*Прил.10!$D$13,2)</f>
        <v/>
      </c>
      <c r="J183" s="174">
        <f>ROUND(I183*E183,2)</f>
        <v/>
      </c>
    </row>
    <row r="184" hidden="1" outlineLevel="1" ht="25.5" customFormat="1" customHeight="1" s="205">
      <c r="A184" s="245" t="n">
        <v>156</v>
      </c>
      <c r="B184" s="176" t="inlineStr">
        <is>
          <t>03.1.02.03-0015</t>
        </is>
      </c>
      <c r="C184" s="244" t="inlineStr">
        <is>
          <t>Известь строительная: негашеная хлорная, марки А</t>
        </is>
      </c>
      <c r="D184" s="245" t="inlineStr">
        <is>
          <t>кг</t>
        </is>
      </c>
      <c r="E184" s="161" t="n">
        <v>0.007953500660502001</v>
      </c>
      <c r="F184" s="247" t="n">
        <v>2.15</v>
      </c>
      <c r="G184" s="169">
        <f>ROUND(E184*F184,2)</f>
        <v/>
      </c>
      <c r="H184" s="248">
        <f>G184/$G$186</f>
        <v/>
      </c>
      <c r="I184" s="174">
        <f>ROUND(F184*Прил.10!$D$13,2)</f>
        <v/>
      </c>
      <c r="J184" s="174">
        <f>ROUND(I184*E184,2)</f>
        <v/>
      </c>
    </row>
    <row r="185" collapsed="1" ht="14.25" customFormat="1" customHeight="1" s="205">
      <c r="A185" s="245" t="n"/>
      <c r="B185" s="245" t="n"/>
      <c r="C185" s="251" t="inlineStr">
        <is>
          <t>Итого прочие материалы</t>
        </is>
      </c>
      <c r="D185" s="252" t="n"/>
      <c r="E185" s="253" t="n"/>
      <c r="F185" s="254" t="n"/>
      <c r="G185" s="192">
        <f>SUM(G104:G184)</f>
        <v/>
      </c>
      <c r="H185" s="193">
        <f>G185/$G$186</f>
        <v/>
      </c>
      <c r="I185" s="184" t="n"/>
      <c r="J185" s="75">
        <f>SUM(J104:J184)</f>
        <v/>
      </c>
    </row>
    <row r="186" ht="14.25" customFormat="1" customHeight="1" s="205">
      <c r="A186" s="245" t="n"/>
      <c r="B186" s="245" t="n"/>
      <c r="C186" s="256" t="inlineStr">
        <is>
          <t>Итого по разделу «Материалы»</t>
        </is>
      </c>
      <c r="D186" s="252" t="n"/>
      <c r="E186" s="253" t="n"/>
      <c r="F186" s="254" t="n"/>
      <c r="G186" s="184">
        <f>G103+G185</f>
        <v/>
      </c>
      <c r="H186" s="193">
        <f>G186/$G$186</f>
        <v/>
      </c>
      <c r="I186" s="184" t="n"/>
      <c r="J186" s="169">
        <f>J103+J185</f>
        <v/>
      </c>
    </row>
    <row r="187" ht="14.25" customFormat="1" customHeight="1" s="205">
      <c r="A187" s="245" t="n"/>
      <c r="B187" s="245" t="n"/>
      <c r="C187" s="251" t="inlineStr">
        <is>
          <t>ИТОГО ПО РМ</t>
        </is>
      </c>
      <c r="D187" s="252" t="n"/>
      <c r="E187" s="253" t="n"/>
      <c r="F187" s="254" t="n"/>
      <c r="G187" s="184">
        <f>G14+G75+G186</f>
        <v/>
      </c>
      <c r="H187" s="255" t="n"/>
      <c r="I187" s="184" t="n"/>
      <c r="J187" s="169">
        <f>J14+J75+J186</f>
        <v/>
      </c>
    </row>
    <row r="188" ht="14.25" customFormat="1" customHeight="1" s="205">
      <c r="A188" s="245" t="n"/>
      <c r="B188" s="245" t="n"/>
      <c r="C188" s="251" t="inlineStr">
        <is>
          <t>Накладные расходы</t>
        </is>
      </c>
      <c r="D188" s="194" t="n">
        <v>0.98</v>
      </c>
      <c r="E188" s="253" t="n"/>
      <c r="F188" s="254" t="n"/>
      <c r="G188" s="184">
        <f>D188*($G$14+$G$16)</f>
        <v/>
      </c>
      <c r="H188" s="255" t="n"/>
      <c r="I188" s="184" t="n"/>
      <c r="J188" s="169">
        <f>ROUND(D188*(J14+J16),2)</f>
        <v/>
      </c>
    </row>
    <row r="189" ht="14.25" customFormat="1" customHeight="1" s="205">
      <c r="A189" s="245" t="n"/>
      <c r="B189" s="245" t="n"/>
      <c r="C189" s="251" t="inlineStr">
        <is>
          <t>Сметная прибыль</t>
        </is>
      </c>
      <c r="D189" s="194" t="n">
        <v>0.65</v>
      </c>
      <c r="E189" s="253" t="n"/>
      <c r="F189" s="254" t="n"/>
      <c r="G189" s="184">
        <f>D189*($G$14+$G$16)</f>
        <v/>
      </c>
      <c r="H189" s="255" t="n"/>
      <c r="I189" s="184" t="n"/>
      <c r="J189" s="169">
        <f>ROUND(D189*(J14+J16),2)</f>
        <v/>
      </c>
    </row>
    <row r="190" ht="14.25" customFormat="1" customHeight="1" s="205">
      <c r="A190" s="245" t="n"/>
      <c r="B190" s="245" t="n"/>
      <c r="C190" s="251" t="inlineStr">
        <is>
          <t>Итого СМР (с НР и СП)</t>
        </is>
      </c>
      <c r="D190" s="252" t="n"/>
      <c r="E190" s="253" t="n"/>
      <c r="F190" s="254" t="n"/>
      <c r="G190" s="184">
        <f>ROUND((G14+G75+G186+G188+G189),2)</f>
        <v/>
      </c>
      <c r="H190" s="255" t="n"/>
      <c r="I190" s="184" t="n"/>
      <c r="J190" s="169">
        <f>ROUND((J14+J75+J186+J188+J189),2)</f>
        <v/>
      </c>
    </row>
    <row r="191" ht="14.25" customFormat="1" customHeight="1" s="205">
      <c r="A191" s="245" t="n"/>
      <c r="B191" s="245" t="n"/>
      <c r="C191" s="251" t="inlineStr">
        <is>
          <t>ВСЕГО СМР + ОБОРУДОВАНИЕ</t>
        </is>
      </c>
      <c r="D191" s="252" t="n"/>
      <c r="E191" s="253" t="n"/>
      <c r="F191" s="254" t="n"/>
      <c r="G191" s="184">
        <f>G190+G81</f>
        <v/>
      </c>
      <c r="H191" s="255" t="n"/>
      <c r="I191" s="184" t="n"/>
      <c r="J191" s="169">
        <f>J190+J81</f>
        <v/>
      </c>
    </row>
    <row r="192" ht="34.5" customFormat="1" customHeight="1" s="205">
      <c r="A192" s="245" t="n"/>
      <c r="B192" s="245" t="n"/>
      <c r="C192" s="251" t="inlineStr">
        <is>
          <t>ИТОГО ПОКАЗАТЕЛЬ НА ЕД. ИЗМ.</t>
        </is>
      </c>
      <c r="D192" s="252" t="inlineStr">
        <is>
          <t>ячейка</t>
        </is>
      </c>
      <c r="E192" s="253" t="n">
        <v>2</v>
      </c>
      <c r="F192" s="254" t="n"/>
      <c r="G192" s="184">
        <f>G191/E192</f>
        <v/>
      </c>
      <c r="H192" s="255" t="n"/>
      <c r="I192" s="184" t="n"/>
      <c r="J192" s="169">
        <f>J191/E192</f>
        <v/>
      </c>
    </row>
    <row r="194" ht="14.25" customFormat="1" customHeight="1" s="205">
      <c r="A194" s="204" t="inlineStr">
        <is>
          <t>Составил ______________________     Д.А. Самуйленко</t>
        </is>
      </c>
    </row>
    <row r="195" ht="14.25" customFormat="1" customHeight="1" s="205">
      <c r="A195" s="207" t="inlineStr">
        <is>
          <t xml:space="preserve">                         (подпись, инициалы, фамилия)</t>
        </is>
      </c>
    </row>
    <row r="196" ht="14.25" customFormat="1" customHeight="1" s="205">
      <c r="A196" s="204" t="n"/>
    </row>
    <row r="197" ht="14.25" customFormat="1" customHeight="1" s="205">
      <c r="A197" s="204" t="inlineStr">
        <is>
          <t>Проверил ______________________        А.В. Костянецкая</t>
        </is>
      </c>
    </row>
    <row r="198" ht="14.25" customFormat="1" customHeight="1" s="205">
      <c r="A198" s="20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68" t="inlineStr">
        <is>
          <t>Приложение №6</t>
        </is>
      </c>
    </row>
    <row r="2" ht="21.75" customHeight="1" s="198">
      <c r="A2" s="268" t="n"/>
      <c r="B2" s="268" t="n"/>
      <c r="C2" s="268" t="n"/>
      <c r="D2" s="268" t="n"/>
      <c r="E2" s="268" t="n"/>
      <c r="F2" s="268" t="n"/>
      <c r="G2" s="268" t="n"/>
    </row>
    <row r="3">
      <c r="A3" s="241" t="inlineStr">
        <is>
          <t>Расчет стоимости оборудования</t>
        </is>
      </c>
    </row>
    <row r="4" ht="25.5" customHeight="1" s="198">
      <c r="A4" s="263" t="inlineStr">
        <is>
          <t>Наименование разрабатываемого показателя УНЦ —Ячейка двухобмоточного трансформатора масляного Т20/НН, мощность 25кВА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.2" customHeight="1" s="198">
      <c r="A6" s="245" t="inlineStr">
        <is>
          <t>№ пп.</t>
        </is>
      </c>
      <c r="B6" s="245" t="inlineStr">
        <is>
          <t>Код ресурса</t>
        </is>
      </c>
      <c r="C6" s="245" t="inlineStr">
        <is>
          <t>Наименование</t>
        </is>
      </c>
      <c r="D6" s="245" t="inlineStr">
        <is>
          <t>Ед. изм.</t>
        </is>
      </c>
      <c r="E6" s="245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277" t="n"/>
    </row>
    <row r="7">
      <c r="A7" s="279" t="n"/>
      <c r="B7" s="279" t="n"/>
      <c r="C7" s="279" t="n"/>
      <c r="D7" s="279" t="n"/>
      <c r="E7" s="279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198">
      <c r="A9" s="130" t="n"/>
      <c r="B9" s="244" t="inlineStr">
        <is>
          <t>ИНЖЕНЕРНОЕ ОБОРУДОВАНИЕ</t>
        </is>
      </c>
      <c r="C9" s="276" t="n"/>
      <c r="D9" s="276" t="n"/>
      <c r="E9" s="276" t="n"/>
      <c r="F9" s="276" t="n"/>
      <c r="G9" s="277" t="n"/>
    </row>
    <row r="10" ht="27" customHeight="1" s="198">
      <c r="A10" s="245" t="n"/>
      <c r="B10" s="249" t="n"/>
      <c r="C10" s="244" t="inlineStr">
        <is>
          <t>ИТОГО ИНЖЕНЕРНОЕ ОБОРУДОВАНИЕ</t>
        </is>
      </c>
      <c r="D10" s="249" t="n"/>
      <c r="E10" s="15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276" t="n"/>
      <c r="D11" s="276" t="n"/>
      <c r="E11" s="276" t="n"/>
      <c r="F11" s="276" t="n"/>
      <c r="G11" s="277" t="n"/>
    </row>
    <row r="12" ht="41.25" customHeight="1" s="198">
      <c r="A12" s="245" t="n">
        <v>1</v>
      </c>
      <c r="B12" s="245">
        <f>'Прил.5 Расчет СМР и ОБ'!B78</f>
        <v/>
      </c>
      <c r="C12" s="244">
        <f>'Прил.5 Расчет СМР и ОБ'!C78</f>
        <v/>
      </c>
      <c r="D12" s="245">
        <f>'Прил.5 Расчет СМР и ОБ'!D78</f>
        <v/>
      </c>
      <c r="E12" s="211">
        <f>'Прил.5 Расчет СМР и ОБ'!E78</f>
        <v/>
      </c>
      <c r="F12" s="169">
        <f>'Прил.5 Расчет СМР и ОБ'!F78</f>
        <v/>
      </c>
      <c r="G12" s="169">
        <f>ROUND(E12*F12,2)</f>
        <v/>
      </c>
    </row>
    <row r="13" ht="25.5" customHeight="1" s="198">
      <c r="A13" s="245" t="n"/>
      <c r="B13" s="244" t="n"/>
      <c r="C13" s="244" t="inlineStr">
        <is>
          <t>ИТОГО ТЕХНОЛОГИЧЕСКОЕ ОБОРУДОВАНИЕ</t>
        </is>
      </c>
      <c r="D13" s="244" t="n"/>
      <c r="E13" s="272" t="n"/>
      <c r="F13" s="169" t="n"/>
      <c r="G13" s="169">
        <f>SUM(G12:G12)</f>
        <v/>
      </c>
    </row>
    <row r="14" ht="19.5" customHeight="1" s="198">
      <c r="A14" s="245" t="n"/>
      <c r="B14" s="244" t="n"/>
      <c r="C14" s="244" t="inlineStr">
        <is>
          <t>Всего по разделу «Оборудование»</t>
        </is>
      </c>
      <c r="D14" s="244" t="n"/>
      <c r="E14" s="272" t="n"/>
      <c r="F14" s="169" t="n"/>
      <c r="G14" s="169">
        <f>G10+G13</f>
        <v/>
      </c>
    </row>
    <row r="15">
      <c r="A15" s="206" t="n"/>
      <c r="B15" s="18" t="n"/>
      <c r="C15" s="206" t="n"/>
      <c r="D15" s="206" t="n"/>
      <c r="E15" s="206" t="n"/>
      <c r="F15" s="206" t="n"/>
      <c r="G15" s="206" t="n"/>
    </row>
    <row r="16">
      <c r="A16" s="204" t="inlineStr">
        <is>
          <t>Составил ______________________    Д.А. Самуйленко</t>
        </is>
      </c>
      <c r="B16" s="205" t="n"/>
      <c r="C16" s="205" t="n"/>
      <c r="D16" s="206" t="n"/>
      <c r="E16" s="206" t="n"/>
      <c r="F16" s="206" t="n"/>
      <c r="G16" s="206" t="n"/>
    </row>
    <row r="17">
      <c r="A17" s="207" t="inlineStr">
        <is>
          <t xml:space="preserve">                         (подпись, инициалы, фамилия)</t>
        </is>
      </c>
      <c r="B17" s="205" t="n"/>
      <c r="C17" s="205" t="n"/>
      <c r="D17" s="206" t="n"/>
      <c r="E17" s="206" t="n"/>
      <c r="F17" s="206" t="n"/>
      <c r="G17" s="206" t="n"/>
    </row>
    <row r="18">
      <c r="A18" s="204" t="n"/>
      <c r="B18" s="205" t="n"/>
      <c r="C18" s="205" t="n"/>
      <c r="D18" s="206" t="n"/>
      <c r="E18" s="206" t="n"/>
      <c r="F18" s="206" t="n"/>
      <c r="G18" s="206" t="n"/>
    </row>
    <row r="19">
      <c r="A19" s="204" t="inlineStr">
        <is>
          <t>Проверил ______________________        А.В. Костянецкая</t>
        </is>
      </c>
      <c r="B19" s="205" t="n"/>
      <c r="C19" s="205" t="n"/>
      <c r="D19" s="206" t="n"/>
      <c r="E19" s="206" t="n"/>
      <c r="F19" s="206" t="n"/>
      <c r="G19" s="206" t="n"/>
    </row>
    <row r="20">
      <c r="A20" s="207" t="inlineStr">
        <is>
          <t xml:space="preserve">                        (подпись, инициалы, фамилия)</t>
        </is>
      </c>
      <c r="B20" s="205" t="n"/>
      <c r="C20" s="205" t="n"/>
      <c r="D20" s="206" t="n"/>
      <c r="E20" s="206" t="n"/>
      <c r="F20" s="206" t="n"/>
      <c r="G20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198" min="1" max="1"/>
    <col width="16.42578125" customWidth="1" style="198" min="2" max="2"/>
    <col width="37.140625" customWidth="1" style="198" min="3" max="3"/>
    <col width="49" customWidth="1" style="198" min="4" max="4"/>
    <col width="9.140625" customWidth="1" style="198" min="5" max="5"/>
  </cols>
  <sheetData>
    <row r="1" ht="15.75" customHeight="1" s="198">
      <c r="A1" s="201" t="n"/>
      <c r="B1" s="201" t="n"/>
      <c r="C1" s="201" t="n"/>
      <c r="D1" s="201" t="inlineStr">
        <is>
          <t>Приложение №7</t>
        </is>
      </c>
    </row>
    <row r="2" ht="15.75" customHeight="1" s="198">
      <c r="A2" s="201" t="n"/>
      <c r="B2" s="201" t="n"/>
      <c r="C2" s="201" t="n"/>
      <c r="D2" s="201" t="n"/>
    </row>
    <row r="3" ht="15.75" customHeight="1" s="198">
      <c r="A3" s="201" t="n"/>
      <c r="B3" s="199" t="inlineStr">
        <is>
          <t>Расчет показателя УНЦ</t>
        </is>
      </c>
      <c r="C3" s="201" t="n"/>
      <c r="D3" s="201" t="n"/>
    </row>
    <row r="4" ht="15.75" customHeight="1" s="198">
      <c r="A4" s="201" t="n"/>
      <c r="B4" s="201" t="n"/>
      <c r="C4" s="201" t="n"/>
      <c r="D4" s="201" t="n"/>
    </row>
    <row r="5" ht="31.5" customHeight="1" s="198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198">
      <c r="A6" s="201" t="inlineStr">
        <is>
          <t>Единица измерения  — 1 ячейка</t>
        </is>
      </c>
      <c r="B6" s="201" t="n"/>
      <c r="C6" s="201" t="n"/>
      <c r="D6" s="201" t="n"/>
    </row>
    <row r="7" ht="15.75" customHeight="1" s="198">
      <c r="A7" s="201" t="n"/>
      <c r="B7" s="201" t="n"/>
      <c r="C7" s="201" t="n"/>
      <c r="D7" s="201" t="n"/>
    </row>
    <row r="8">
      <c r="A8" s="226" t="inlineStr">
        <is>
          <t>Код показателя</t>
        </is>
      </c>
      <c r="B8" s="226" t="inlineStr">
        <is>
          <t>Наименование показателя</t>
        </is>
      </c>
      <c r="C8" s="226" t="inlineStr">
        <is>
          <t>Наименование РМ, входящих в состав показателя</t>
        </is>
      </c>
      <c r="D8" s="226" t="inlineStr">
        <is>
          <t>Норматив цены на 01.01.2023, тыс.руб.</t>
        </is>
      </c>
    </row>
    <row r="9">
      <c r="A9" s="279" t="n"/>
      <c r="B9" s="279" t="n"/>
      <c r="C9" s="279" t="n"/>
      <c r="D9" s="279" t="n"/>
    </row>
    <row r="10" ht="15.75" customHeight="1" s="198">
      <c r="A10" s="226" t="n">
        <v>1</v>
      </c>
      <c r="B10" s="226" t="n">
        <v>2</v>
      </c>
      <c r="C10" s="226" t="n">
        <v>3</v>
      </c>
      <c r="D10" s="226" t="n">
        <v>4</v>
      </c>
    </row>
    <row r="11" ht="47.25" customHeight="1" s="198">
      <c r="A11" s="226" t="inlineStr">
        <is>
          <t>Т5-06-2</t>
        </is>
      </c>
      <c r="B11" s="226" t="inlineStr">
        <is>
          <t xml:space="preserve">УНЦ ячейки трансформатора 6 - 35 кВ </t>
        </is>
      </c>
      <c r="C11" s="209">
        <f>D5</f>
        <v/>
      </c>
      <c r="D11" s="203">
        <f>'Прил.4 РМ'!C41/1000</f>
        <v/>
      </c>
    </row>
    <row r="13">
      <c r="A13" s="204" t="inlineStr">
        <is>
          <t>Составил ______________________    Д.А. Самуйленко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 ht="20.25" customHeight="1" s="198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P35" sqref="P35"/>
    </sheetView>
  </sheetViews>
  <sheetFormatPr baseColWidth="8" defaultColWidth="9.140625" defaultRowHeight="15"/>
  <cols>
    <col width="9.140625" customWidth="1" style="198" min="1" max="1"/>
    <col width="40.7109375" customWidth="1" style="198" min="2" max="2"/>
    <col width="38.7109375" customWidth="1" style="198" min="3" max="3"/>
    <col width="32" customWidth="1" style="198" min="4" max="4"/>
    <col width="9.140625" customWidth="1" style="198" min="5" max="5"/>
  </cols>
  <sheetData>
    <row r="4" ht="15.75" customHeight="1" s="198">
      <c r="B4" s="220" t="inlineStr">
        <is>
          <t>Приложение № 10</t>
        </is>
      </c>
    </row>
    <row r="5" ht="18.75" customHeight="1" s="198">
      <c r="B5" s="39" t="n"/>
    </row>
    <row r="6" ht="15.75" customHeight="1" s="198">
      <c r="B6" s="221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198">
      <c r="B9" s="226" t="inlineStr">
        <is>
          <t>Наименование индекса / норм сопутствующих затрат</t>
        </is>
      </c>
      <c r="C9" s="226" t="inlineStr">
        <is>
          <t>Дата применения и обоснование индекса / норм сопутствующих затрат</t>
        </is>
      </c>
      <c r="D9" s="226" t="inlineStr">
        <is>
          <t>Размер индекса / норма сопутствующих затрат</t>
        </is>
      </c>
    </row>
    <row r="10" ht="15.75" customHeight="1" s="198">
      <c r="B10" s="226" t="n">
        <v>1</v>
      </c>
      <c r="C10" s="226" t="n">
        <v>2</v>
      </c>
      <c r="D10" s="226" t="n">
        <v>3</v>
      </c>
    </row>
    <row r="11" ht="31.5" customHeight="1" s="198">
      <c r="B11" s="226" t="inlineStr">
        <is>
          <t xml:space="preserve">Индекс изменения сметной стоимости на 1 квартал 2023 года. ОЗП </t>
        </is>
      </c>
      <c r="C11" s="226" t="inlineStr">
        <is>
          <t>Письмо Минстроя России от 30.03.2023г. №17106-ИФ/09  прил.1</t>
        </is>
      </c>
      <c r="D11" s="226" t="n">
        <v>44.29</v>
      </c>
    </row>
    <row r="12" ht="31.5" customHeight="1" s="198">
      <c r="B12" s="226" t="inlineStr">
        <is>
          <t>Индекс изменения сметной стоимости на 1 квартал 2023 года. ЭМ</t>
        </is>
      </c>
      <c r="C12" s="226" t="inlineStr">
        <is>
          <t>Письмо Минстроя России от 30.03.2023г. №17106-ИФ/09  прил.1</t>
        </is>
      </c>
      <c r="D12" s="226" t="n">
        <v>13.47</v>
      </c>
    </row>
    <row r="13" ht="31.5" customHeight="1" s="198">
      <c r="B13" s="226" t="inlineStr">
        <is>
          <t>Индекс изменения сметной стоимости на 1 квартал 2023 года. МАТ</t>
        </is>
      </c>
      <c r="C13" s="226" t="inlineStr">
        <is>
          <t>Письмо Минстроя России от 30.03.2023г. №17106-ИФ/09  прил.1</t>
        </is>
      </c>
      <c r="D13" s="226" t="n">
        <v>8.039999999999999</v>
      </c>
    </row>
    <row r="14" ht="31.5" customHeight="1" s="198">
      <c r="B14" s="226" t="inlineStr">
        <is>
          <t>Индекс изменения сметной стоимости на 1 квартал 2023 года. ОБ</t>
        </is>
      </c>
      <c r="C14" s="226" t="inlineStr">
        <is>
          <t>Письмо Минстроя России от 23.02.2023г. №9791-ИФ/09 прил.6</t>
        </is>
      </c>
      <c r="D14" s="226" t="n">
        <v>6.26</v>
      </c>
    </row>
    <row r="15" ht="89.45" customHeight="1" s="198">
      <c r="B15" s="226" t="inlineStr">
        <is>
          <t>Временные здания и сооружения</t>
        </is>
      </c>
      <c r="C15" s="2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98">
      <c r="B16" s="226" t="inlineStr">
        <is>
          <t>Дополнительные затраты при производстве строительно-монтажных работ в зимнее время</t>
        </is>
      </c>
      <c r="C16" s="2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98">
      <c r="B17" s="226" t="inlineStr">
        <is>
          <t>Пусконаладочные работы*</t>
        </is>
      </c>
      <c r="C17" s="226" t="n"/>
      <c r="D17" s="226" t="inlineStr">
        <is>
          <t>Расчет</t>
        </is>
      </c>
    </row>
    <row r="18" ht="31.7" customHeight="1" s="198">
      <c r="B18" s="226" t="inlineStr">
        <is>
          <t>Строительный контроль</t>
        </is>
      </c>
      <c r="C18" s="226" t="inlineStr">
        <is>
          <t>Постановление Правительства РФ от 21.06.10 г. № 468</t>
        </is>
      </c>
      <c r="D18" s="42" t="n">
        <v>0.0214</v>
      </c>
    </row>
    <row r="19" ht="31.7" customHeight="1" s="198">
      <c r="B19" s="226" t="inlineStr">
        <is>
          <t>Авторский надзор - 0,2%</t>
        </is>
      </c>
      <c r="C19" s="226" t="inlineStr">
        <is>
          <t>Приказ от 4.08.2020 № 421/пр п.173</t>
        </is>
      </c>
      <c r="D19" s="42" t="n">
        <v>0.002</v>
      </c>
    </row>
    <row r="20" ht="24" customHeight="1" s="198">
      <c r="B20" s="226" t="inlineStr">
        <is>
          <t>Непредвиденные расходы</t>
        </is>
      </c>
      <c r="C20" s="226" t="inlineStr">
        <is>
          <t>Приказ от 4.08.2020 № 421/пр п.179</t>
        </is>
      </c>
      <c r="D20" s="42" t="n">
        <v>0.03</v>
      </c>
    </row>
    <row r="21" ht="18.75" customHeight="1" s="198">
      <c r="B21" s="111" t="n"/>
    </row>
    <row r="22" ht="18.75" customHeight="1" s="198">
      <c r="B22" s="111" t="n"/>
    </row>
    <row r="23" ht="18.75" customHeight="1" s="198">
      <c r="B23" s="111" t="n"/>
    </row>
    <row r="24" ht="18.75" customHeight="1" s="198">
      <c r="B24" s="111" t="n"/>
    </row>
    <row r="27">
      <c r="B27" s="204" t="inlineStr">
        <is>
          <t>Составил ______________________        Е.А. Князева</t>
        </is>
      </c>
      <c r="C27" s="205" t="n"/>
    </row>
    <row r="28">
      <c r="B28" s="207" t="inlineStr">
        <is>
          <t xml:space="preserve">                         (подпись, инициалы, фамилия)</t>
        </is>
      </c>
      <c r="C28" s="205" t="n"/>
    </row>
    <row r="29">
      <c r="B29" s="204" t="n"/>
      <c r="C29" s="205" t="n"/>
    </row>
    <row r="30">
      <c r="B30" s="204" t="inlineStr">
        <is>
          <t>Проверил ______________________        А.В. Костянецкая</t>
        </is>
      </c>
      <c r="C30" s="205" t="n"/>
    </row>
    <row r="31">
      <c r="B31" s="207" t="inlineStr">
        <is>
          <t xml:space="preserve">                        (подпись, инициалы, фамилия)</t>
        </is>
      </c>
      <c r="C31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G1" sqref="G1:G1048576"/>
    </sheetView>
  </sheetViews>
  <sheetFormatPr baseColWidth="8" defaultColWidth="9.140625" defaultRowHeight="15"/>
  <cols>
    <col width="9.140625" customWidth="1" style="198" min="1" max="1"/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  <col width="9.140625" customWidth="1" style="198" min="7" max="7"/>
  </cols>
  <sheetData>
    <row r="2" ht="17.25" customHeight="1" s="198">
      <c r="A2" s="2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8">
      <c r="A4" s="24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1" t="n"/>
    </row>
    <row r="6" ht="15.75" customHeight="1" s="19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1" t="n"/>
    </row>
    <row r="7" ht="110.25" customHeight="1" s="19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6" t="inlineStr">
        <is>
          <t>С1ср</t>
        </is>
      </c>
      <c r="D7" s="226" t="inlineStr">
        <is>
          <t>-</t>
        </is>
      </c>
      <c r="E7" s="21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6" t="inlineStr">
        <is>
          <t>tср</t>
        </is>
      </c>
      <c r="D8" s="226" t="inlineStr">
        <is>
          <t>1973ч/12мес.</t>
        </is>
      </c>
      <c r="E8" s="20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8">
      <c r="A9" s="27" t="inlineStr">
        <is>
          <t>1.3</t>
        </is>
      </c>
      <c r="B9" s="31" t="inlineStr">
        <is>
          <t>Коэффициент увеличения</t>
        </is>
      </c>
      <c r="C9" s="226" t="inlineStr">
        <is>
          <t>Кув</t>
        </is>
      </c>
      <c r="D9" s="226" t="inlineStr">
        <is>
          <t>-</t>
        </is>
      </c>
      <c r="E9" s="203" t="n">
        <v>1</v>
      </c>
      <c r="F9" s="31" t="n"/>
      <c r="G9" s="33" t="n"/>
    </row>
    <row r="10" ht="15.75" customHeight="1" s="198">
      <c r="A10" s="27" t="inlineStr">
        <is>
          <t>1.4</t>
        </is>
      </c>
      <c r="B10" s="31" t="inlineStr">
        <is>
          <t>Средний разряд работ</t>
        </is>
      </c>
      <c r="C10" s="226" t="n"/>
      <c r="D10" s="226" t="n"/>
      <c r="E10" s="131" t="n">
        <v>3.2</v>
      </c>
      <c r="F10" s="31" t="inlineStr">
        <is>
          <t>РТМ</t>
        </is>
      </c>
      <c r="G10" s="33" t="n"/>
    </row>
    <row r="11" ht="78.75" customHeight="1" s="19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6" t="inlineStr">
        <is>
          <t>КТ</t>
        </is>
      </c>
      <c r="D11" s="226" t="inlineStr">
        <is>
          <t>-</t>
        </is>
      </c>
      <c r="E11" s="132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8">
      <c r="A12" s="27" t="inlineStr">
        <is>
          <t>1.6</t>
        </is>
      </c>
      <c r="B12" s="82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98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6" t="inlineStr">
        <is>
          <t>ФОТр.тек.</t>
        </is>
      </c>
      <c r="D13" s="226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2025-01-24T12:17:48Z</dcterms:modified>
  <cp:lastModifiedBy>REDMIBOOK</cp:lastModifiedBy>
  <cp:lastPrinted>2023-11-29T11:23:45Z</cp:lastPrinted>
</cp:coreProperties>
</file>