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16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8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5" fontId="4" fillId="0" borderId="1" applyAlignment="1" pivotButton="0" quotePrefix="0" xfId="0">
      <alignment vertical="center" wrapText="1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8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76" min="1" max="2"/>
    <col width="51.6640625" customWidth="1" style="176" min="3" max="3"/>
    <col width="47" customWidth="1" style="176" min="4" max="4"/>
    <col width="37.44140625" customWidth="1" style="176" min="5" max="5"/>
    <col width="9.109375" customWidth="1" style="176" min="6" max="6"/>
  </cols>
  <sheetData>
    <row r="3">
      <c r="B3" s="202" t="inlineStr">
        <is>
          <t>Приложение № 1</t>
        </is>
      </c>
    </row>
    <row r="4">
      <c r="B4" s="203" t="inlineStr">
        <is>
          <t>Сравнительная таблица отбора объекта-представителя</t>
        </is>
      </c>
    </row>
    <row r="5" ht="84.15000000000001" customHeight="1" s="173">
      <c r="B5" s="20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05" t="n"/>
      <c r="C6" s="105" t="n"/>
      <c r="D6" s="105" t="n"/>
    </row>
    <row r="7" ht="34.5" customHeight="1" s="173">
      <c r="B7" s="204" t="inlineStr">
        <is>
          <t>Наименование разрабатываемого показателя УНЦ - Ячейка трансформатора малошумного энергоэффективного, двухобмоточного сухого 20 кВ, 100 кВА</t>
        </is>
      </c>
    </row>
    <row r="8" ht="15.75" customHeight="1" s="173">
      <c r="B8" s="204" t="inlineStr">
        <is>
          <t>Сопоставимый уровень цен: 4 квартал 2013 года</t>
        </is>
      </c>
    </row>
    <row r="9" ht="15.75" customHeight="1" s="173">
      <c r="B9" s="204" t="inlineStr">
        <is>
          <t>Единица измерения  — 1 ячейка</t>
        </is>
      </c>
    </row>
    <row r="10">
      <c r="B10" s="204" t="n"/>
    </row>
    <row r="11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  <c r="E11" s="82" t="n"/>
    </row>
    <row r="12" ht="31.5" customHeight="1" s="173">
      <c r="B12" s="208" t="n">
        <v>1</v>
      </c>
      <c r="C12" s="214" t="inlineStr">
        <is>
          <t>Наименование объекта-представителя</t>
        </is>
      </c>
      <c r="D12" s="208" t="inlineStr">
        <is>
          <t>ПС 220 кВ Губернская (МЭС Западной Сибири)</t>
        </is>
      </c>
    </row>
    <row r="13">
      <c r="B13" s="208" t="n">
        <v>2</v>
      </c>
      <c r="C13" s="214" t="inlineStr">
        <is>
          <t>Наименование субъекта Российской Федерации</t>
        </is>
      </c>
      <c r="D13" s="208" t="inlineStr">
        <is>
          <t>Тюменская обл.</t>
        </is>
      </c>
    </row>
    <row r="14">
      <c r="B14" s="208" t="n">
        <v>3</v>
      </c>
      <c r="C14" s="214" t="inlineStr">
        <is>
          <t>Климатический район и подрайон</t>
        </is>
      </c>
      <c r="D14" s="208" t="inlineStr">
        <is>
          <t>IВ</t>
        </is>
      </c>
    </row>
    <row r="15">
      <c r="B15" s="208" t="n">
        <v>4</v>
      </c>
      <c r="C15" s="214" t="inlineStr">
        <is>
          <t>Мощность объекта</t>
        </is>
      </c>
      <c r="D15" s="208" t="n">
        <v>2</v>
      </c>
    </row>
    <row r="16" ht="63" customHeight="1" s="173">
      <c r="B16" s="20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Трансформатор ТСЗ 20 кВ 100 кВА</t>
        </is>
      </c>
    </row>
    <row r="17" ht="63" customHeight="1" s="173">
      <c r="B17" s="20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8">
        <f>D18+D19+D20+D21</f>
        <v/>
      </c>
      <c r="E17" s="104" t="n"/>
    </row>
    <row r="18">
      <c r="B18" s="81" t="inlineStr">
        <is>
          <t>6.1</t>
        </is>
      </c>
      <c r="C18" s="214" t="inlineStr">
        <is>
          <t>строительно-монтажные работы</t>
        </is>
      </c>
      <c r="D18" s="188" t="n">
        <v>1044.59</v>
      </c>
    </row>
    <row r="19" ht="15.75" customHeight="1" s="173">
      <c r="B19" s="81" t="inlineStr">
        <is>
          <t>6.2</t>
        </is>
      </c>
      <c r="C19" s="214" t="inlineStr">
        <is>
          <t>оборудование и инвентарь</t>
        </is>
      </c>
      <c r="D19" s="188" t="n">
        <v>622.0599999999999</v>
      </c>
    </row>
    <row r="20" ht="16.5" customHeight="1" s="173">
      <c r="B20" s="81" t="inlineStr">
        <is>
          <t>6.3</t>
        </is>
      </c>
      <c r="C20" s="214" t="inlineStr">
        <is>
          <t>пусконаладочные работы</t>
        </is>
      </c>
      <c r="D20" s="188" t="n"/>
    </row>
    <row r="21">
      <c r="B21" s="81" t="inlineStr">
        <is>
          <t>6.4</t>
        </is>
      </c>
      <c r="C21" s="80" t="inlineStr">
        <is>
          <t>прочие и лимитированные затраты</t>
        </is>
      </c>
      <c r="D21" s="188" t="n">
        <v>206.98</v>
      </c>
    </row>
    <row r="22">
      <c r="B22" s="208" t="n">
        <v>7</v>
      </c>
      <c r="C22" s="80" t="inlineStr">
        <is>
          <t>Сопоставимый уровень цен</t>
        </is>
      </c>
      <c r="D22" s="123" t="inlineStr">
        <is>
          <t>4 квартал 2013 года</t>
        </is>
      </c>
      <c r="E22" s="78" t="n"/>
    </row>
    <row r="23" ht="78.75" customHeight="1" s="173">
      <c r="B23" s="208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8">
        <f>D17</f>
        <v/>
      </c>
      <c r="E23" s="104" t="n"/>
    </row>
    <row r="24" ht="31.5" customHeight="1" s="173">
      <c r="B24" s="20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8">
        <f>D23/D15</f>
        <v/>
      </c>
      <c r="E24" s="78" t="n"/>
    </row>
    <row r="25">
      <c r="B25" s="208" t="n">
        <v>10</v>
      </c>
      <c r="C25" s="214" t="inlineStr">
        <is>
          <t>Примечание</t>
        </is>
      </c>
      <c r="D25" s="208" t="n"/>
    </row>
    <row r="26">
      <c r="B26" s="76" t="n"/>
      <c r="C26" s="75" t="n"/>
      <c r="D26" s="75" t="n"/>
    </row>
    <row r="27" ht="37.5" customHeight="1" s="173">
      <c r="B27" s="74" t="n"/>
    </row>
    <row r="28">
      <c r="B28" s="176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6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85" zoomScaleNormal="70" workbookViewId="0">
      <selection activeCell="C17" sqref="C17"/>
    </sheetView>
  </sheetViews>
  <sheetFormatPr baseColWidth="8" defaultColWidth="9.109375" defaultRowHeight="15.6"/>
  <cols>
    <col width="5.5546875" customWidth="1" style="176" min="1" max="1"/>
    <col width="9.109375" customWidth="1" style="176" min="2" max="2"/>
    <col width="35.33203125" customWidth="1" style="176" min="3" max="3"/>
    <col width="13.88671875" customWidth="1" style="176" min="4" max="4"/>
    <col width="24.88671875" customWidth="1" style="176" min="5" max="5"/>
    <col width="15.5546875" customWidth="1" style="176" min="6" max="6"/>
    <col width="14.88671875" customWidth="1" style="176" min="7" max="7"/>
    <col width="16.6640625" customWidth="1" style="176" min="8" max="8"/>
    <col width="13" customWidth="1" style="176" min="9" max="10"/>
    <col width="18" customWidth="1" style="176" min="11" max="11"/>
    <col width="9.109375" customWidth="1" style="176" min="12" max="12"/>
  </cols>
  <sheetData>
    <row r="3">
      <c r="B3" s="202" t="inlineStr">
        <is>
          <t>Приложение № 2</t>
        </is>
      </c>
      <c r="K3" s="74" t="n"/>
    </row>
    <row r="4">
      <c r="B4" s="203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>
      <c r="B6" s="204">
        <f>'Прил.1 Сравнит табл'!B7:D7</f>
        <v/>
      </c>
    </row>
    <row r="7">
      <c r="B7" s="204">
        <f>'Прил.1 Сравнит табл'!B9:D9</f>
        <v/>
      </c>
    </row>
    <row r="8" ht="18.75" customHeight="1" s="173">
      <c r="B8" s="106" t="n"/>
    </row>
    <row r="9" ht="15.75" customHeight="1" s="173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73">
      <c r="B10" s="253" t="n"/>
      <c r="C10" s="253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2013 г., тыс. руб.</t>
        </is>
      </c>
      <c r="G10" s="251" t="n"/>
      <c r="H10" s="251" t="n"/>
      <c r="I10" s="251" t="n"/>
      <c r="J10" s="252" t="n"/>
    </row>
    <row r="11" ht="31.5" customHeight="1" s="173">
      <c r="B11" s="254" t="n"/>
      <c r="C11" s="254" t="n"/>
      <c r="D11" s="254" t="n"/>
      <c r="E11" s="254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78.75" customHeight="1" s="173">
      <c r="B12" s="208" t="n">
        <v>1</v>
      </c>
      <c r="C12" s="208" t="inlineStr">
        <is>
          <t>Трансформатор ТСЗ 20 кВ 100 кВА</t>
        </is>
      </c>
      <c r="D12" s="208" t="inlineStr">
        <is>
          <t>02-18-11, изм.1 (Зам.)</t>
        </is>
      </c>
      <c r="E12" s="208" t="inlineStr">
        <is>
          <t xml:space="preserve">Трансформаторы Т1, Т2. Электротехнические решения. Установка оборудования </t>
        </is>
      </c>
      <c r="F12" s="188">
        <f>155677*6.71/1000</f>
        <v/>
      </c>
      <c r="G12" s="188" t="n"/>
      <c r="H12" s="188">
        <f>157883*3.94/1000</f>
        <v/>
      </c>
      <c r="I12" s="188">
        <f>26741*7.74/1000</f>
        <v/>
      </c>
      <c r="J12" s="188">
        <f>SUM(F12:I12)</f>
        <v/>
      </c>
    </row>
    <row r="13" ht="15" customHeight="1" s="173">
      <c r="B13" s="206" t="inlineStr">
        <is>
          <t>Всего по объекту:</t>
        </is>
      </c>
      <c r="C13" s="255" t="n"/>
      <c r="D13" s="255" t="n"/>
      <c r="E13" s="256" t="n"/>
      <c r="F13" s="189">
        <f>SUM(F12)</f>
        <v/>
      </c>
      <c r="G13" s="189" t="n"/>
      <c r="H13" s="189">
        <f>SUM(H12)</f>
        <v/>
      </c>
      <c r="I13" s="189">
        <f>SUM(I12)</f>
        <v/>
      </c>
      <c r="J13" s="189">
        <f>SUM(J12)</f>
        <v/>
      </c>
    </row>
    <row r="14" ht="15.75" customHeight="1" s="173">
      <c r="B14" s="207" t="inlineStr">
        <is>
          <t>Всего по объекту в сопоставимом уровне цен 4 кв. 2013 г:</t>
        </is>
      </c>
      <c r="C14" s="251" t="n"/>
      <c r="D14" s="251" t="n"/>
      <c r="E14" s="252" t="n"/>
      <c r="F14" s="190">
        <f>F13</f>
        <v/>
      </c>
      <c r="G14" s="190" t="n"/>
      <c r="H14" s="190">
        <f>H13</f>
        <v/>
      </c>
      <c r="I14" s="190">
        <f>I13</f>
        <v/>
      </c>
      <c r="J14" s="190">
        <f>J13</f>
        <v/>
      </c>
    </row>
    <row r="15" ht="15" customHeight="1" s="173"/>
    <row r="16" ht="15" customHeight="1" s="173"/>
    <row r="17" ht="15" customHeight="1" s="173"/>
    <row r="18" ht="15" customHeight="1" s="173">
      <c r="C18" s="179" t="inlineStr">
        <is>
          <t>Составил ______________________     Д.А. Самуйленко</t>
        </is>
      </c>
      <c r="D18" s="180" t="n"/>
      <c r="E18" s="180" t="n"/>
    </row>
    <row r="19" ht="15" customHeight="1" s="173">
      <c r="C19" s="182" t="inlineStr">
        <is>
          <t xml:space="preserve">                         (подпись, инициалы, фамилия)</t>
        </is>
      </c>
      <c r="D19" s="180" t="n"/>
      <c r="E19" s="180" t="n"/>
    </row>
    <row r="20" ht="15" customHeight="1" s="173">
      <c r="C20" s="179" t="n"/>
      <c r="D20" s="180" t="n"/>
      <c r="E20" s="180" t="n"/>
    </row>
    <row r="21" ht="15" customHeight="1" s="173">
      <c r="C21" s="179" t="inlineStr">
        <is>
          <t>Проверил ______________________        А.В. Костянецкая</t>
        </is>
      </c>
      <c r="D21" s="180" t="n"/>
      <c r="E21" s="180" t="n"/>
    </row>
    <row r="22" ht="15" customHeight="1" s="173">
      <c r="C22" s="182" t="inlineStr">
        <is>
          <t xml:space="preserve">                        (подпись, инициалы, фамилия)</t>
        </is>
      </c>
      <c r="D22" s="180" t="n"/>
      <c r="E22" s="180" t="n"/>
    </row>
    <row r="23" ht="15" customHeight="1" s="173"/>
    <row r="24" ht="15" customHeight="1" s="173"/>
    <row r="25" ht="15" customHeight="1" s="173"/>
    <row r="26" ht="15" customHeight="1" s="173"/>
    <row r="27" ht="15" customHeight="1" s="173"/>
    <row r="28" ht="15" customHeight="1" s="17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1" zoomScale="85" workbookViewId="0">
      <selection activeCell="A55" sqref="A1:H55"/>
    </sheetView>
  </sheetViews>
  <sheetFormatPr baseColWidth="8" defaultColWidth="9.109375" defaultRowHeight="15.6"/>
  <cols>
    <col width="9.109375" customWidth="1" style="176" min="1" max="1"/>
    <col width="12.5546875" customWidth="1" style="176" min="2" max="2"/>
    <col width="22.44140625" customWidth="1" style="176" min="3" max="3"/>
    <col width="49.6640625" customWidth="1" style="176" min="4" max="4"/>
    <col width="10.109375" customWidth="1" style="176" min="5" max="5"/>
    <col width="20.6640625" customWidth="1" style="176" min="6" max="6"/>
    <col width="20" customWidth="1" style="176" min="7" max="7"/>
    <col width="16.6640625" customWidth="1" style="176" min="8" max="8"/>
    <col width="9.109375" customWidth="1" style="176" min="9" max="10"/>
    <col width="15" customWidth="1" style="176" min="11" max="11"/>
    <col width="9.109375" customWidth="1" style="176" min="12" max="12"/>
  </cols>
  <sheetData>
    <row r="2">
      <c r="A2" s="202" t="inlineStr">
        <is>
          <t xml:space="preserve">Приложение № 3 </t>
        </is>
      </c>
    </row>
    <row r="3">
      <c r="A3" s="203" t="inlineStr">
        <is>
          <t>Объектная ресурсная ведомость</t>
        </is>
      </c>
    </row>
    <row r="4" ht="18.75" customHeight="1" s="173">
      <c r="A4" s="114" t="n"/>
      <c r="B4" s="114" t="n"/>
      <c r="C4" s="220" t="n"/>
    </row>
    <row r="5">
      <c r="A5" s="204" t="n"/>
    </row>
    <row r="6">
      <c r="A6" s="218" t="inlineStr">
        <is>
          <t>Наименование разрабатываемого показателя УНЦ -  Ячейка трансформатора малошумного энергоэффективного, двухобмоточного сухого 20 кВ, 100 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73">
      <c r="A8" s="208" t="inlineStr">
        <is>
          <t>п/п</t>
        </is>
      </c>
      <c r="B8" s="208" t="inlineStr">
        <is>
          <t>№ЛСР</t>
        </is>
      </c>
      <c r="C8" s="208" t="inlineStr">
        <is>
          <t>Код ресурса</t>
        </is>
      </c>
      <c r="D8" s="208" t="inlineStr">
        <is>
          <t>Наименование ресурса</t>
        </is>
      </c>
      <c r="E8" s="208" t="inlineStr">
        <is>
          <t>Ед. изм.</t>
        </is>
      </c>
      <c r="F8" s="208" t="inlineStr">
        <is>
          <t>Кол-во единиц по данным объекта-представителя</t>
        </is>
      </c>
      <c r="G8" s="208" t="inlineStr">
        <is>
          <t>Сметная стоимость в ценах на 01.01.2000 (руб.)</t>
        </is>
      </c>
      <c r="H8" s="252" t="n"/>
    </row>
    <row r="9" ht="40.65" customHeight="1" s="173">
      <c r="A9" s="254" t="n"/>
      <c r="B9" s="254" t="n"/>
      <c r="C9" s="254" t="n"/>
      <c r="D9" s="254" t="n"/>
      <c r="E9" s="254" t="n"/>
      <c r="F9" s="254" t="n"/>
      <c r="G9" s="208" t="inlineStr">
        <is>
          <t>на ед.изм.</t>
        </is>
      </c>
      <c r="H9" s="208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74">
      <c r="A11" s="212" t="inlineStr">
        <is>
          <t>Затраты труда рабочих</t>
        </is>
      </c>
      <c r="B11" s="251" t="n"/>
      <c r="C11" s="251" t="n"/>
      <c r="D11" s="251" t="n"/>
      <c r="E11" s="252" t="n"/>
      <c r="F11" s="257">
        <f>SUM(F12:F12)</f>
        <v/>
      </c>
      <c r="G11" s="110" t="n"/>
      <c r="H11" s="257">
        <f>SUM(H12:H12)</f>
        <v/>
      </c>
    </row>
    <row r="12">
      <c r="A12" s="159" t="n">
        <v>1</v>
      </c>
      <c r="B12" s="130" t="n"/>
      <c r="C12" s="159" t="inlineStr">
        <is>
          <t>1-4-0</t>
        </is>
      </c>
      <c r="D12" s="150" t="inlineStr">
        <is>
          <t>Затраты труда рабочих (средний разряд работы 4,0)</t>
        </is>
      </c>
      <c r="E12" s="248" t="inlineStr">
        <is>
          <t>чел.-ч</t>
        </is>
      </c>
      <c r="F12" s="151" t="n">
        <v>147.324</v>
      </c>
      <c r="G12" s="152" t="n">
        <v>9.619999999999999</v>
      </c>
      <c r="H12" s="108">
        <f>ROUND(F12*G12,2)</f>
        <v/>
      </c>
    </row>
    <row r="13" ht="15.75" customHeight="1" s="173">
      <c r="A13" s="219" t="inlineStr">
        <is>
          <t>Затраты труда машинистов</t>
        </is>
      </c>
      <c r="B13" s="251" t="n"/>
      <c r="C13" s="251" t="n"/>
      <c r="D13" s="251" t="n"/>
      <c r="E13" s="252" t="n"/>
      <c r="F13" s="88" t="n"/>
      <c r="G13" s="87" t="n"/>
      <c r="H13" s="257">
        <f>H14</f>
        <v/>
      </c>
    </row>
    <row r="14">
      <c r="A14" s="248" t="n">
        <v>2</v>
      </c>
      <c r="B14" s="85" t="n"/>
      <c r="C14" s="151" t="n">
        <v>2</v>
      </c>
      <c r="D14" s="150" t="inlineStr">
        <is>
          <t>Затраты труда машинистов</t>
        </is>
      </c>
      <c r="E14" s="248" t="inlineStr">
        <is>
          <t>чел.-ч</t>
        </is>
      </c>
      <c r="F14" s="248" t="n">
        <v>46.87</v>
      </c>
      <c r="G14" s="108" t="n">
        <v>0</v>
      </c>
      <c r="H14" s="133" t="n">
        <v>586.33</v>
      </c>
    </row>
    <row r="15" customFormat="1" s="174">
      <c r="A15" s="212" t="inlineStr">
        <is>
          <t>Машины и механизмы</t>
        </is>
      </c>
      <c r="B15" s="251" t="n"/>
      <c r="C15" s="251" t="n"/>
      <c r="D15" s="251" t="n"/>
      <c r="E15" s="252" t="n"/>
      <c r="F15" s="88" t="n"/>
      <c r="G15" s="87" t="n"/>
      <c r="H15" s="257">
        <f>SUM(H16:H21)</f>
        <v/>
      </c>
    </row>
    <row r="16">
      <c r="A16" s="228" t="n">
        <v>3</v>
      </c>
      <c r="B16" s="213" t="n"/>
      <c r="C16" s="159" t="inlineStr">
        <is>
          <t>91.06.09-001</t>
        </is>
      </c>
      <c r="D16" s="231" t="inlineStr">
        <is>
          <t>Вышки телескопические 25 м</t>
        </is>
      </c>
      <c r="E16" s="228" t="inlineStr">
        <is>
          <t>маш.-ч</t>
        </is>
      </c>
      <c r="F16" s="159" t="n">
        <v>17.64</v>
      </c>
      <c r="G16" s="233" t="n">
        <v>142.7</v>
      </c>
      <c r="H16" s="233">
        <f>ROUND(F16*G16,2)</f>
        <v/>
      </c>
      <c r="I16" s="116" t="n"/>
      <c r="J16" s="115" t="n"/>
      <c r="L16" s="116" t="n"/>
    </row>
    <row r="17" ht="25.5" customFormat="1" customHeight="1" s="174">
      <c r="A17" s="228" t="n">
        <v>4</v>
      </c>
      <c r="B17" s="213" t="n"/>
      <c r="C17" s="159" t="inlineStr">
        <is>
          <t>91.05.05-014</t>
        </is>
      </c>
      <c r="D17" s="231" t="inlineStr">
        <is>
          <t>Краны на автомобильном ходу, грузоподъемность 10 т</t>
        </is>
      </c>
      <c r="E17" s="228" t="inlineStr">
        <is>
          <t>маш.-ч</t>
        </is>
      </c>
      <c r="F17" s="159" t="n">
        <v>12.2132</v>
      </c>
      <c r="G17" s="233" t="n">
        <v>111.99</v>
      </c>
      <c r="H17" s="233">
        <f>ROUND(F17*G17,2)</f>
        <v/>
      </c>
      <c r="I17" s="116" t="n"/>
      <c r="L17" s="116" t="n"/>
    </row>
    <row r="18">
      <c r="A18" s="228" t="n">
        <v>5</v>
      </c>
      <c r="B18" s="213" t="n"/>
      <c r="C18" s="159" t="inlineStr">
        <is>
          <t>91.14.02-002</t>
        </is>
      </c>
      <c r="D18" s="231" t="inlineStr">
        <is>
          <t>Автомобили бортовые, грузоподъемность до 8 т</t>
        </is>
      </c>
      <c r="E18" s="228" t="inlineStr">
        <is>
          <t>маш.-ч</t>
        </is>
      </c>
      <c r="F18" s="159" t="n">
        <v>7.8932</v>
      </c>
      <c r="G18" s="233" t="n">
        <v>85.84</v>
      </c>
      <c r="H18" s="233">
        <f>ROUND(F18*G18,2)</f>
        <v/>
      </c>
      <c r="I18" s="116" t="n"/>
      <c r="L18" s="116" t="n"/>
    </row>
    <row r="19">
      <c r="A19" s="228" t="n">
        <v>6</v>
      </c>
      <c r="B19" s="213" t="n"/>
      <c r="C19" s="159" t="inlineStr">
        <is>
          <t>91.21.22-491</t>
        </is>
      </c>
      <c r="D19" s="231" t="inlineStr">
        <is>
          <t>Шинотрубогибы</t>
        </is>
      </c>
      <c r="E19" s="228" t="inlineStr">
        <is>
          <t>маш.-ч</t>
        </is>
      </c>
      <c r="F19" s="159" t="n">
        <v>9.119999999999999</v>
      </c>
      <c r="G19" s="233" t="n">
        <v>15.24</v>
      </c>
      <c r="H19" s="233">
        <f>ROUND(F19*G19,2)</f>
        <v/>
      </c>
      <c r="I19" s="116" t="n"/>
      <c r="L19" s="116" t="n"/>
    </row>
    <row r="20" ht="25.5" customHeight="1" s="173">
      <c r="A20" s="228" t="n">
        <v>7</v>
      </c>
      <c r="B20" s="213" t="n"/>
      <c r="C20" s="159" t="inlineStr">
        <is>
          <t>91.17.04-233</t>
        </is>
      </c>
      <c r="D20" s="231" t="inlineStr">
        <is>
          <t>Установки для сварки ручной дуговой (постоянного тока)</t>
        </is>
      </c>
      <c r="E20" s="228" t="inlineStr">
        <is>
          <t>маш.-ч</t>
        </is>
      </c>
      <c r="F20" s="159" t="n">
        <v>8.028</v>
      </c>
      <c r="G20" s="233" t="n">
        <v>8.1</v>
      </c>
      <c r="H20" s="233">
        <f>ROUND(F20*G20,2)</f>
        <v/>
      </c>
      <c r="I20" s="116" t="n"/>
      <c r="L20" s="116" t="n"/>
    </row>
    <row r="21">
      <c r="A21" s="228" t="n">
        <v>8</v>
      </c>
      <c r="B21" s="213" t="n"/>
      <c r="C21" s="159" t="inlineStr">
        <is>
          <t>91.21.19-031</t>
        </is>
      </c>
      <c r="D21" s="231" t="inlineStr">
        <is>
          <t>Станок сверлильный</t>
        </is>
      </c>
      <c r="E21" s="228" t="inlineStr">
        <is>
          <t>маш.-ч</t>
        </is>
      </c>
      <c r="F21" s="159" t="n">
        <v>0.8448</v>
      </c>
      <c r="G21" s="233" t="n">
        <v>2.36</v>
      </c>
      <c r="H21" s="233">
        <f>ROUND(F21*G21,2)</f>
        <v/>
      </c>
      <c r="I21" s="116" t="n"/>
      <c r="L21" s="116" t="n"/>
    </row>
    <row r="22" ht="15" customHeight="1" s="173">
      <c r="A22" s="219" t="inlineStr">
        <is>
          <t>Оборудование</t>
        </is>
      </c>
      <c r="B22" s="251" t="n"/>
      <c r="C22" s="251" t="n"/>
      <c r="D22" s="251" t="n"/>
      <c r="E22" s="252" t="n"/>
      <c r="F22" s="110" t="n"/>
      <c r="G22" s="110" t="n"/>
      <c r="H22" s="257">
        <f>SUM(H23:H23)</f>
        <v/>
      </c>
    </row>
    <row r="23" ht="38.25" customHeight="1" s="173">
      <c r="A23" s="131" t="n">
        <v>9</v>
      </c>
      <c r="B23" s="235" t="n"/>
      <c r="C23" s="159" t="inlineStr">
        <is>
          <t>Прайс из СД ОП</t>
        </is>
      </c>
      <c r="D23" s="231" t="inlineStr">
        <is>
          <t>Распределительный сухой трансформатор DTR-630-10/0.4 по опрсному листу П2200964-6012-041-ЭП.ОЛ1  22490*72,0/4,04=400811,88</t>
        </is>
      </c>
      <c r="E23" s="228" t="inlineStr">
        <is>
          <t>шт.</t>
        </is>
      </c>
      <c r="F23" s="228" t="n">
        <v>2</v>
      </c>
      <c r="G23" s="95" t="n">
        <v>400811.88</v>
      </c>
      <c r="H23" s="95" t="n">
        <v>801623.76</v>
      </c>
      <c r="I23" s="120" t="n"/>
    </row>
    <row r="24">
      <c r="A24" s="212" t="inlineStr">
        <is>
          <t>Материалы</t>
        </is>
      </c>
      <c r="B24" s="251" t="n"/>
      <c r="C24" s="251" t="n"/>
      <c r="D24" s="251" t="n"/>
      <c r="E24" s="252" t="n"/>
      <c r="F24" s="88" t="n"/>
      <c r="G24" s="87" t="n"/>
      <c r="H24" s="191">
        <f>SUM(H25:H45)</f>
        <v/>
      </c>
    </row>
    <row r="25">
      <c r="A25" s="131" t="n">
        <v>10</v>
      </c>
      <c r="B25" s="213" t="n"/>
      <c r="C25" s="159" t="inlineStr">
        <is>
          <t>20.5.03.03-0002</t>
        </is>
      </c>
      <c r="D25" s="231" t="inlineStr">
        <is>
          <t>Шины и ленты из цветных металлов</t>
        </is>
      </c>
      <c r="E25" s="228" t="inlineStr">
        <is>
          <t>т</t>
        </is>
      </c>
      <c r="F25" s="228" t="n">
        <v>2.3182</v>
      </c>
      <c r="G25" s="164" t="n">
        <v>124900</v>
      </c>
      <c r="H25" s="164">
        <f>ROUND(F25*G25,2)</f>
        <v/>
      </c>
      <c r="I25" s="120" t="n"/>
      <c r="K25" s="116" t="n"/>
    </row>
    <row r="26" ht="25.5" customHeight="1" s="173">
      <c r="A26" s="131" t="n">
        <v>11</v>
      </c>
      <c r="B26" s="213" t="n"/>
      <c r="C26" s="159" t="inlineStr">
        <is>
          <t>25.1.01.04-0012</t>
        </is>
      </c>
      <c r="D26" s="231" t="inlineStr">
        <is>
          <t>Шпалы из древесины хвойных пород для колеи 600 мм, непропитанные, длина 1200 мм, тип II</t>
        </is>
      </c>
      <c r="E26" s="228" t="inlineStr">
        <is>
          <t>шт</t>
        </is>
      </c>
      <c r="F26" s="159" t="n">
        <v>30</v>
      </c>
      <c r="G26" s="164" t="n">
        <v>42.6</v>
      </c>
      <c r="H26" s="164">
        <f>ROUND(F26*G26,2)</f>
        <v/>
      </c>
      <c r="I26" s="120" t="n"/>
    </row>
    <row r="27" ht="38.25" customHeight="1" s="173">
      <c r="A27" s="131" t="n">
        <v>12</v>
      </c>
      <c r="B27" s="213" t="n"/>
      <c r="C27" s="159" t="inlineStr">
        <is>
          <t>Прайс из СД ОП</t>
        </is>
      </c>
      <c r="D27" s="231" t="inlineStr">
        <is>
          <t>Муфта концевая ПКВтп-150/240 термоусаживаемая (10кВ, 1х240 кв.мм сшит.ПЭ и ПВХ.из-я) (ПЗЭМИ, М3891)</t>
        </is>
      </c>
      <c r="E27" s="228" t="inlineStr">
        <is>
          <t>шт.</t>
        </is>
      </c>
      <c r="F27" s="159" t="n">
        <v>6</v>
      </c>
      <c r="G27" s="164" t="n">
        <v>107.67</v>
      </c>
      <c r="H27" s="164">
        <f>ROUND(F27*G27,2)</f>
        <v/>
      </c>
      <c r="I27" s="120" t="n"/>
    </row>
    <row r="28" ht="25.5" customHeight="1" s="173">
      <c r="A28" s="131" t="n">
        <v>13</v>
      </c>
      <c r="B28" s="213" t="n"/>
      <c r="C28" s="159" t="inlineStr">
        <is>
          <t>08.3.03.05-0017</t>
        </is>
      </c>
      <c r="D28" s="231" t="inlineStr">
        <is>
          <t>Проволока стальная низкоуглеродистая разного назначения оцинкованная, диаметр 3,0 мм</t>
        </is>
      </c>
      <c r="E28" s="228" t="inlineStr">
        <is>
          <t>т</t>
        </is>
      </c>
      <c r="F28" s="159" t="n">
        <v>0.02</v>
      </c>
      <c r="G28" s="164" t="n">
        <v>12242</v>
      </c>
      <c r="H28" s="164">
        <f>ROUND(F28*G28,2)</f>
        <v/>
      </c>
      <c r="I28" s="120" t="n"/>
    </row>
    <row r="29" ht="25.5" customHeight="1" s="173">
      <c r="A29" s="131" t="n">
        <v>14</v>
      </c>
      <c r="B29" s="213" t="n"/>
      <c r="C29" s="159" t="inlineStr">
        <is>
          <t>20.2.10.01-0021</t>
        </is>
      </c>
      <c r="D29" s="231" t="inlineStr">
        <is>
          <t>Наконечники кабельные для электротехнических установок</t>
        </is>
      </c>
      <c r="E29" s="228" t="inlineStr">
        <is>
          <t>100 шт</t>
        </is>
      </c>
      <c r="F29" s="159" t="inlineStr">
        <is>
          <t>0,06</t>
        </is>
      </c>
      <c r="G29" s="164" t="n">
        <v>2550</v>
      </c>
      <c r="H29" s="164">
        <f>ROUND(F29*G29,2)</f>
        <v/>
      </c>
      <c r="I29" s="120" t="n"/>
    </row>
    <row r="30">
      <c r="A30" s="131" t="n">
        <v>15</v>
      </c>
      <c r="B30" s="213" t="n"/>
      <c r="C30" s="159" t="inlineStr">
        <is>
          <t>01.7.15.10-0053</t>
        </is>
      </c>
      <c r="D30" s="231" t="inlineStr">
        <is>
          <t>Скобы металлические</t>
        </is>
      </c>
      <c r="E30" s="228" t="inlineStr">
        <is>
          <t>кг</t>
        </is>
      </c>
      <c r="F30" s="159" t="n">
        <v>21</v>
      </c>
      <c r="G30" s="164" t="n">
        <v>6.4</v>
      </c>
      <c r="H30" s="164">
        <f>ROUND(F30*G30,2)</f>
        <v/>
      </c>
      <c r="I30" s="120" t="n"/>
    </row>
    <row r="31">
      <c r="A31" s="131" t="n">
        <v>16</v>
      </c>
      <c r="B31" s="213" t="n"/>
      <c r="C31" s="159" t="inlineStr">
        <is>
          <t>20.1.02.23-0091</t>
        </is>
      </c>
      <c r="D31" s="231" t="inlineStr">
        <is>
          <t>Плакат по ТБ</t>
        </is>
      </c>
      <c r="E31" s="228" t="inlineStr">
        <is>
          <t>100 шт</t>
        </is>
      </c>
      <c r="F31" s="159" t="n">
        <v>0.02</v>
      </c>
      <c r="G31" s="164" t="n">
        <v>4000</v>
      </c>
      <c r="H31" s="164">
        <f>ROUND(F31*G31,2)</f>
        <v/>
      </c>
      <c r="I31" s="120" t="n"/>
    </row>
    <row r="32">
      <c r="A32" s="131" t="n">
        <v>17</v>
      </c>
      <c r="B32" s="213" t="n"/>
      <c r="C32" s="159" t="inlineStr">
        <is>
          <t>20.2.10.01-0020</t>
        </is>
      </c>
      <c r="D32" s="231" t="inlineStr">
        <is>
          <t>Наконечники кабельные алюминиевые ТА 240-20-20</t>
        </is>
      </c>
      <c r="E32" s="228" t="inlineStr">
        <is>
          <t>100 шт</t>
        </is>
      </c>
      <c r="F32" s="159" t="n">
        <v>0.06</v>
      </c>
      <c r="G32" s="164" t="n">
        <v>971.8200000000001</v>
      </c>
      <c r="H32" s="164">
        <f>ROUND(F32*G32,2)</f>
        <v/>
      </c>
      <c r="I32" s="120" t="n"/>
    </row>
    <row r="33">
      <c r="A33" s="131" t="n">
        <v>18</v>
      </c>
      <c r="B33" s="213" t="n"/>
      <c r="C33" s="159" t="inlineStr">
        <is>
          <t>14.4.02.09-0001</t>
        </is>
      </c>
      <c r="D33" s="231" t="inlineStr">
        <is>
          <t>Краска</t>
        </is>
      </c>
      <c r="E33" s="228" t="inlineStr">
        <is>
          <t>кг</t>
        </is>
      </c>
      <c r="F33" s="159" t="n">
        <v>1.7292</v>
      </c>
      <c r="G33" s="164" t="n">
        <v>28.6</v>
      </c>
      <c r="H33" s="164">
        <f>ROUND(F33*G33,2)</f>
        <v/>
      </c>
      <c r="I33" s="120" t="n"/>
    </row>
    <row r="34" ht="38.25" customHeight="1" s="173">
      <c r="A34" s="131" t="n">
        <v>19</v>
      </c>
      <c r="B34" s="213" t="n"/>
      <c r="C34" s="159" t="inlineStr">
        <is>
          <t>10.1.02.04-0009</t>
        </is>
      </c>
      <c r="D34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228" t="inlineStr">
        <is>
          <t>т</t>
        </is>
      </c>
      <c r="F34" s="159" t="n">
        <v>0.000614</v>
      </c>
      <c r="G34" s="164" t="n">
        <v>55960.01</v>
      </c>
      <c r="H34" s="164">
        <f>ROUND(F34*G34,2)</f>
        <v/>
      </c>
      <c r="I34" s="120" t="n"/>
    </row>
    <row r="35" ht="25.5" customHeight="1" s="173">
      <c r="A35" s="131" t="n">
        <v>20</v>
      </c>
      <c r="B35" s="213" t="n"/>
      <c r="C35" s="159" t="inlineStr">
        <is>
          <t>999-9950</t>
        </is>
      </c>
      <c r="D35" s="231" t="inlineStr">
        <is>
          <t>Вспомогательные ненормируемые ресурсы (2% от Фонда оплаты труда)</t>
        </is>
      </c>
      <c r="E35" s="228" t="inlineStr">
        <is>
          <t>руб</t>
        </is>
      </c>
      <c r="F35" s="159" t="n">
        <v>30.9284</v>
      </c>
      <c r="G35" s="164" t="n">
        <v>1</v>
      </c>
      <c r="H35" s="164">
        <f>ROUND(F35*G35,2)</f>
        <v/>
      </c>
      <c r="I35" s="120" t="n"/>
    </row>
    <row r="36">
      <c r="A36" s="131" t="n">
        <v>21</v>
      </c>
      <c r="B36" s="213" t="n"/>
      <c r="C36" s="159" t="inlineStr">
        <is>
          <t>01.7.15.03-0042</t>
        </is>
      </c>
      <c r="D36" s="231" t="inlineStr">
        <is>
          <t>Болты с гайками и шайбами строительные</t>
        </is>
      </c>
      <c r="E36" s="228" t="inlineStr">
        <is>
          <t>кг</t>
        </is>
      </c>
      <c r="F36" s="159" t="n">
        <v>3.336</v>
      </c>
      <c r="G36" s="164" t="n">
        <v>9.039999999999999</v>
      </c>
      <c r="H36" s="164">
        <f>ROUND(F36*G36,2)</f>
        <v/>
      </c>
      <c r="I36" s="120" t="n"/>
    </row>
    <row r="37">
      <c r="A37" s="131" t="n">
        <v>22</v>
      </c>
      <c r="B37" s="213" t="n"/>
      <c r="C37" s="159" t="inlineStr">
        <is>
          <t>10.2.02.10-0013</t>
        </is>
      </c>
      <c r="D37" s="231" t="inlineStr">
        <is>
          <t>Прутки медные, круглые, марка М3, диаметр 20 мм</t>
        </is>
      </c>
      <c r="E37" s="228" t="inlineStr">
        <is>
          <t>т</t>
        </is>
      </c>
      <c r="F37" s="159" t="n">
        <v>0.000374</v>
      </c>
      <c r="G37" s="164" t="n">
        <v>71640</v>
      </c>
      <c r="H37" s="164">
        <f>ROUND(F37*G37,2)</f>
        <v/>
      </c>
      <c r="I37" s="120" t="n"/>
    </row>
    <row r="38">
      <c r="A38" s="131" t="n">
        <v>23</v>
      </c>
      <c r="B38" s="213" t="n"/>
      <c r="C38" s="159" t="inlineStr">
        <is>
          <t>25.2.01.01-0015</t>
        </is>
      </c>
      <c r="D38" s="231" t="inlineStr">
        <is>
          <t>Бирки маркировочные</t>
        </is>
      </c>
      <c r="E38" s="228" t="inlineStr">
        <is>
          <t>100 шт</t>
        </is>
      </c>
      <c r="F38" s="159" t="n">
        <v>0.16568</v>
      </c>
      <c r="G38" s="164" t="n">
        <v>142.5</v>
      </c>
      <c r="H38" s="164">
        <f>ROUND(F38*G38,2)</f>
        <v/>
      </c>
      <c r="I38" s="120" t="n"/>
    </row>
    <row r="39">
      <c r="A39" s="131" t="n">
        <v>24</v>
      </c>
      <c r="B39" s="213" t="n"/>
      <c r="C39" s="159" t="inlineStr">
        <is>
          <t>01.3.02.02-0001</t>
        </is>
      </c>
      <c r="D39" s="231" t="inlineStr">
        <is>
          <t>Аргон газообразный, сорт I</t>
        </is>
      </c>
      <c r="E39" s="228" t="inlineStr">
        <is>
          <t>м3</t>
        </is>
      </c>
      <c r="F39" s="159" t="n">
        <v>0.6828</v>
      </c>
      <c r="G39" s="164" t="n">
        <v>17.86</v>
      </c>
      <c r="H39" s="164">
        <f>ROUND(F39*G39,2)</f>
        <v/>
      </c>
      <c r="I39" s="120" t="n"/>
    </row>
    <row r="40">
      <c r="A40" s="131" t="n">
        <v>25</v>
      </c>
      <c r="B40" s="213" t="n"/>
      <c r="C40" s="159" t="inlineStr">
        <is>
          <t>01.7.15.11-0061</t>
        </is>
      </c>
      <c r="D40" s="231" t="inlineStr">
        <is>
          <t>Шайбы пружинные</t>
        </is>
      </c>
      <c r="E40" s="228" t="inlineStr">
        <is>
          <t>т</t>
        </is>
      </c>
      <c r="F40" s="159" t="n">
        <v>0.000125</v>
      </c>
      <c r="G40" s="164" t="n">
        <v>31600</v>
      </c>
      <c r="H40" s="164">
        <f>ROUND(F40*G40,2)</f>
        <v/>
      </c>
      <c r="I40" s="120" t="n"/>
    </row>
    <row r="41">
      <c r="A41" s="131" t="n">
        <v>26</v>
      </c>
      <c r="B41" s="213" t="n"/>
      <c r="C41" s="159" t="inlineStr">
        <is>
          <t>01.3.01.01-0001</t>
        </is>
      </c>
      <c r="D41" s="231" t="inlineStr">
        <is>
          <t>Бензин авиационный Б-70</t>
        </is>
      </c>
      <c r="E41" s="228" t="inlineStr">
        <is>
          <t>т</t>
        </is>
      </c>
      <c r="F41" s="159" t="n">
        <v>0.0008</v>
      </c>
      <c r="G41" s="164" t="n">
        <v>4488.4</v>
      </c>
      <c r="H41" s="164">
        <f>ROUND(F41*G41,2)</f>
        <v/>
      </c>
      <c r="I41" s="120" t="n"/>
    </row>
    <row r="42">
      <c r="A42" s="131" t="n">
        <v>27</v>
      </c>
      <c r="B42" s="213" t="n"/>
      <c r="C42" s="159" t="inlineStr">
        <is>
          <t>01.7.06.07-0001</t>
        </is>
      </c>
      <c r="D42" s="231" t="inlineStr">
        <is>
          <t>Лента К226</t>
        </is>
      </c>
      <c r="E42" s="228" t="inlineStr">
        <is>
          <t>100 м</t>
        </is>
      </c>
      <c r="F42" s="159" t="n">
        <v>0.0048</v>
      </c>
      <c r="G42" s="164" t="n">
        <v>120</v>
      </c>
      <c r="H42" s="164">
        <f>ROUND(F42*G42,2)</f>
        <v/>
      </c>
      <c r="I42" s="120" t="n"/>
    </row>
    <row r="43">
      <c r="A43" s="131" t="n">
        <v>28</v>
      </c>
      <c r="B43" s="213" t="n"/>
      <c r="C43" s="159" t="inlineStr">
        <is>
          <t>01.7.11.07-0227</t>
        </is>
      </c>
      <c r="D43" s="231" t="inlineStr">
        <is>
          <t>Электроды УОНИ 13/45</t>
        </is>
      </c>
      <c r="E43" s="228" t="inlineStr">
        <is>
          <t>кг</t>
        </is>
      </c>
      <c r="F43" s="159" t="n">
        <v>0.018</v>
      </c>
      <c r="G43" s="164" t="n">
        <v>15.26</v>
      </c>
      <c r="H43" s="164">
        <f>ROUND(F43*G43,2)</f>
        <v/>
      </c>
      <c r="I43" s="120" t="n"/>
    </row>
    <row r="44">
      <c r="A44" s="131" t="n">
        <v>29</v>
      </c>
      <c r="B44" s="213" t="n"/>
      <c r="C44" s="159" t="inlineStr">
        <is>
          <t>01.3.01.05-0009</t>
        </is>
      </c>
      <c r="D44" s="231" t="inlineStr">
        <is>
          <t>Парафин нефтяной твердый Т-1</t>
        </is>
      </c>
      <c r="E44" s="228" t="inlineStr">
        <is>
          <t>т</t>
        </is>
      </c>
      <c r="F44" s="159" t="n">
        <v>2e-05</v>
      </c>
      <c r="G44" s="164" t="n">
        <v>8105.71</v>
      </c>
      <c r="H44" s="164">
        <f>ROUND(F44*G44,2)</f>
        <v/>
      </c>
      <c r="I44" s="120" t="n"/>
    </row>
    <row r="45">
      <c r="A45" s="131" t="n">
        <v>30</v>
      </c>
      <c r="B45" s="213" t="n"/>
      <c r="C45" s="159" t="inlineStr">
        <is>
          <t>20.2.08.03-0001</t>
        </is>
      </c>
      <c r="D45" s="231" t="inlineStr">
        <is>
          <t>Кнопки монтажные</t>
        </is>
      </c>
      <c r="E45" s="228" t="inlineStr">
        <is>
          <t>1000 шт</t>
        </is>
      </c>
      <c r="F45" s="159" t="n">
        <v>0.00408</v>
      </c>
      <c r="G45" s="164" t="n">
        <v>19.5</v>
      </c>
      <c r="H45" s="164">
        <f>ROUND(F45*G45,2)</f>
        <v/>
      </c>
      <c r="I45" s="120" t="n"/>
    </row>
    <row r="48">
      <c r="B48" s="176" t="inlineStr">
        <is>
          <t>Составил ______________________    Д.А. Самуйленко</t>
        </is>
      </c>
    </row>
    <row r="49">
      <c r="B49" s="74" t="inlineStr">
        <is>
          <t xml:space="preserve">                         (подпись, инициалы, фамилия)</t>
        </is>
      </c>
    </row>
    <row r="51">
      <c r="B51" s="176" t="inlineStr">
        <is>
          <t>Проверил ______________________        А.В. Костянецкая</t>
        </is>
      </c>
    </row>
    <row r="52">
      <c r="B52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73" min="1" max="1"/>
    <col width="36.33203125" customWidth="1" style="173" min="2" max="2"/>
    <col width="18.88671875" customWidth="1" style="173" min="3" max="3"/>
    <col width="18.33203125" customWidth="1" style="173" min="4" max="4"/>
    <col width="18.88671875" customWidth="1" style="173" min="5" max="5"/>
    <col width="9.109375" customWidth="1" style="173" min="6" max="6"/>
    <col width="13.44140625" customWidth="1" style="173" min="7" max="7"/>
    <col width="9.109375" customWidth="1" style="173" min="8" max="11"/>
    <col width="13.5546875" customWidth="1" style="173" min="12" max="12"/>
    <col width="9.109375" customWidth="1" style="173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42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21" t="inlineStr">
        <is>
          <t>Ресурсная модель</t>
        </is>
      </c>
    </row>
    <row r="6">
      <c r="B6" s="102" t="n"/>
      <c r="C6" s="179" t="n"/>
      <c r="D6" s="179" t="n"/>
      <c r="E6" s="179" t="n"/>
    </row>
    <row r="7" ht="25.5" customHeight="1" s="173">
      <c r="B7" s="222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100 кВА</t>
        </is>
      </c>
    </row>
    <row r="8">
      <c r="B8" s="223" t="inlineStr">
        <is>
          <t>Единица измерения  — 1 ячейка</t>
        </is>
      </c>
    </row>
    <row r="9">
      <c r="B9" s="102" t="n"/>
      <c r="C9" s="179" t="n"/>
      <c r="D9" s="179" t="n"/>
      <c r="E9" s="179" t="n"/>
    </row>
    <row r="10" ht="51" customHeight="1" s="173">
      <c r="B10" s="228" t="inlineStr">
        <is>
          <t>Наименование</t>
        </is>
      </c>
      <c r="C10" s="228" t="inlineStr">
        <is>
          <t>Сметная стоимость в ценах на 01.01.2023
 (руб.)</t>
        </is>
      </c>
      <c r="D10" s="228" t="inlineStr">
        <is>
          <t>Удельный вес, 
(в СМР)</t>
        </is>
      </c>
      <c r="E10" s="228" t="inlineStr">
        <is>
          <t>Удельный вес, % 
(от всего по РМ)</t>
        </is>
      </c>
    </row>
    <row r="11">
      <c r="B11" s="94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94" t="inlineStr">
        <is>
          <t>Эксплуатация машин основных</t>
        </is>
      </c>
      <c r="C12" s="95">
        <f>'Прил.5 Расчет СМР и ОБ'!J23</f>
        <v/>
      </c>
      <c r="D12" s="96">
        <f>C12/$C$24</f>
        <v/>
      </c>
      <c r="E12" s="96">
        <f>C12/$C$40</f>
        <v/>
      </c>
    </row>
    <row r="13">
      <c r="B13" s="94" t="inlineStr">
        <is>
          <t>Эксплуатация машин прочих</t>
        </is>
      </c>
      <c r="C13" s="95">
        <f>'Прил.5 Расчет СМР и ОБ'!J27</f>
        <v/>
      </c>
      <c r="D13" s="96">
        <f>C13/$C$24</f>
        <v/>
      </c>
      <c r="E13" s="96">
        <f>C13/$C$40</f>
        <v/>
      </c>
    </row>
    <row r="14">
      <c r="B14" s="94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94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94" t="inlineStr">
        <is>
          <t>Материалы основные</t>
        </is>
      </c>
      <c r="C16" s="95">
        <f>'Прил.5 Расчет СМР и ОБ'!J39</f>
        <v/>
      </c>
      <c r="D16" s="96">
        <f>C16/$C$24</f>
        <v/>
      </c>
      <c r="E16" s="96">
        <f>C16/$C$40</f>
        <v/>
      </c>
    </row>
    <row r="17">
      <c r="B17" s="94" t="inlineStr">
        <is>
          <t>Материалы прочие</t>
        </is>
      </c>
      <c r="C17" s="95">
        <f>'Прил.5 Расчет СМР и ОБ'!J60</f>
        <v/>
      </c>
      <c r="D17" s="96">
        <f>C17/$C$24</f>
        <v/>
      </c>
      <c r="E17" s="96">
        <f>C17/$C$40</f>
        <v/>
      </c>
      <c r="G17" s="258" t="n"/>
    </row>
    <row r="18">
      <c r="B18" s="94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94" t="inlineStr">
        <is>
          <t>ИТОГО</t>
        </is>
      </c>
      <c r="C19" s="95">
        <f>C18+C14+C11</f>
        <v/>
      </c>
      <c r="D19" s="96" t="n"/>
      <c r="E19" s="94" t="n"/>
    </row>
    <row r="20">
      <c r="B20" s="94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94" t="inlineStr">
        <is>
          <t>Сметная прибыль, %</t>
        </is>
      </c>
      <c r="C21" s="99">
        <f>'Прил.5 Расчет СМР и ОБ'!D64</f>
        <v/>
      </c>
      <c r="D21" s="96" t="n"/>
      <c r="E21" s="94" t="n"/>
    </row>
    <row r="22">
      <c r="B22" s="94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94" t="inlineStr">
        <is>
          <t>Накладные расходы, %</t>
        </is>
      </c>
      <c r="C23" s="99">
        <f>'Прил.5 Расчет СМР и ОБ'!D63</f>
        <v/>
      </c>
      <c r="D23" s="96" t="n"/>
      <c r="E23" s="94" t="n"/>
    </row>
    <row r="24">
      <c r="B24" s="94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173">
      <c r="B25" s="94" t="inlineStr">
        <is>
          <t>ВСЕГО стоимость оборудования, в том числе</t>
        </is>
      </c>
      <c r="C25" s="95">
        <f>'Прил.5 Расчет СМР и ОБ'!J34</f>
        <v/>
      </c>
      <c r="D25" s="96" t="n"/>
      <c r="E25" s="96">
        <f>C25/$C$40</f>
        <v/>
      </c>
    </row>
    <row r="26" ht="25.5" customHeight="1" s="173">
      <c r="B26" s="94" t="inlineStr">
        <is>
          <t>стоимость оборудования технологического</t>
        </is>
      </c>
      <c r="C26" s="95">
        <f>'Прил.5 Расчет СМР и ОБ'!J35</f>
        <v/>
      </c>
      <c r="D26" s="96" t="n"/>
      <c r="E26" s="96">
        <f>C26/$C$40</f>
        <v/>
      </c>
    </row>
    <row r="27">
      <c r="B27" s="94" t="inlineStr">
        <is>
          <t>ИТОГО (СМР + ОБОРУДОВАНИЕ)</t>
        </is>
      </c>
      <c r="C27" s="170">
        <f>C24+C25</f>
        <v/>
      </c>
      <c r="D27" s="96" t="n"/>
      <c r="E27" s="96">
        <f>C27/$C$40</f>
        <v/>
      </c>
      <c r="G27" s="97" t="n"/>
    </row>
    <row r="28" ht="33" customHeight="1" s="173">
      <c r="B28" s="94" t="inlineStr">
        <is>
          <t>ПРОЧ. ЗАТР., УЧТЕННЫЕ ПОКАЗАТЕЛЕМ,  в том числе</t>
        </is>
      </c>
      <c r="C28" s="94" t="n"/>
      <c r="D28" s="94" t="n"/>
      <c r="E28" s="94" t="n"/>
    </row>
    <row r="29" ht="25.5" customHeight="1" s="173">
      <c r="B29" s="94" t="inlineStr">
        <is>
          <t>Временные здания и сооружения - 2,5%</t>
        </is>
      </c>
      <c r="C29" s="170">
        <f>ROUND(C24*2.5%,2)</f>
        <v/>
      </c>
      <c r="D29" s="94" t="n"/>
      <c r="E29" s="96">
        <f>C29/$C$40</f>
        <v/>
      </c>
    </row>
    <row r="30" ht="38.25" customHeight="1" s="173">
      <c r="B30" s="94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94" t="n"/>
      <c r="E30" s="96">
        <f>C30/$C$40</f>
        <v/>
      </c>
    </row>
    <row r="31">
      <c r="B31" s="94" t="inlineStr">
        <is>
          <t>Пусконаладочные работы</t>
        </is>
      </c>
      <c r="C31" s="170" t="n">
        <v>86797.88</v>
      </c>
      <c r="D31" s="94" t="n"/>
      <c r="E31" s="96">
        <f>C31/$C$40</f>
        <v/>
      </c>
    </row>
    <row r="32" ht="25.5" customHeight="1" s="173">
      <c r="B32" s="94" t="inlineStr">
        <is>
          <t>Затраты по перевозке работников к месту работы и обратно</t>
        </is>
      </c>
      <c r="C32" s="170" t="n">
        <v>0</v>
      </c>
      <c r="D32" s="94" t="n"/>
      <c r="E32" s="96">
        <f>C32/$C$40</f>
        <v/>
      </c>
    </row>
    <row r="33" ht="25.5" customHeight="1" s="173">
      <c r="B33" s="94" t="inlineStr">
        <is>
          <t>Затраты, связанные с осуществлением работ вахтовым методом</t>
        </is>
      </c>
      <c r="C33" s="170">
        <f>ROUND(C27*0%,2)</f>
        <v/>
      </c>
      <c r="D33" s="94" t="n"/>
      <c r="E33" s="96">
        <f>C33/$C$40</f>
        <v/>
      </c>
    </row>
    <row r="34" ht="51" customHeight="1" s="173">
      <c r="B34" s="9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 t="n">
        <v>0</v>
      </c>
      <c r="D34" s="94" t="n"/>
      <c r="E34" s="96">
        <f>C34/$C$40</f>
        <v/>
      </c>
    </row>
    <row r="35" ht="76.5" customHeight="1" s="173">
      <c r="B35" s="9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ROUND(C27*0%,2)</f>
        <v/>
      </c>
      <c r="D35" s="94" t="n"/>
      <c r="E35" s="96">
        <f>C35/$C$40</f>
        <v/>
      </c>
    </row>
    <row r="36" ht="25.5" customHeight="1" s="173">
      <c r="B36" s="94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94" t="n"/>
      <c r="E36" s="96">
        <f>C36/$C$40</f>
        <v/>
      </c>
      <c r="L36" s="97" t="n"/>
    </row>
    <row r="37">
      <c r="B37" s="94" t="inlineStr">
        <is>
          <t>Авторский надзор - 0,2%</t>
        </is>
      </c>
      <c r="C37" s="170">
        <f>ROUND((C27+C32+C33+C34+C35+C29+C31+C30)*0.2%,2)</f>
        <v/>
      </c>
      <c r="D37" s="94" t="n"/>
      <c r="E37" s="96">
        <f>C37/$C$40</f>
        <v/>
      </c>
      <c r="L37" s="97" t="n"/>
    </row>
    <row r="38" ht="38.25" customHeight="1" s="173">
      <c r="B38" s="94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94" t="n"/>
      <c r="E38" s="96">
        <f>C38/$C$40</f>
        <v/>
      </c>
    </row>
    <row r="39" ht="13.65" customHeight="1" s="173">
      <c r="B39" s="94" t="inlineStr">
        <is>
          <t>Непредвиденные расходы</t>
        </is>
      </c>
      <c r="C39" s="95">
        <f>ROUND(C38*3%,2)</f>
        <v/>
      </c>
      <c r="D39" s="94" t="n"/>
      <c r="E39" s="96">
        <f>C39/$C$38</f>
        <v/>
      </c>
    </row>
    <row r="40">
      <c r="B40" s="94" t="inlineStr">
        <is>
          <t>ВСЕГО:</t>
        </is>
      </c>
      <c r="C40" s="95">
        <f>C39+C38</f>
        <v/>
      </c>
      <c r="D40" s="94" t="n"/>
      <c r="E40" s="96">
        <f>C40/$C$40</f>
        <v/>
      </c>
    </row>
    <row r="41">
      <c r="B41" s="94" t="inlineStr">
        <is>
          <t>ИТОГО ПОКАЗАТЕЛЬ НА ЕД. ИЗМ.</t>
        </is>
      </c>
      <c r="C41" s="95">
        <f>C40/'Прил.5 Расчет СМР и ОБ'!E67</f>
        <v/>
      </c>
      <c r="D41" s="94" t="n"/>
      <c r="E41" s="94" t="n"/>
    </row>
    <row r="42">
      <c r="B42" s="93" t="n"/>
      <c r="C42" s="179" t="n"/>
      <c r="D42" s="179" t="n"/>
      <c r="E42" s="179" t="n"/>
    </row>
    <row r="43">
      <c r="B43" s="93" t="inlineStr">
        <is>
          <t>Составил ____________________________  Д.А. Самуйленко</t>
        </is>
      </c>
      <c r="C43" s="179" t="n"/>
      <c r="D43" s="179" t="n"/>
      <c r="E43" s="179" t="n"/>
    </row>
    <row r="44">
      <c r="B44" s="93" t="inlineStr">
        <is>
          <t xml:space="preserve">(должность, подпись, инициалы, фамилия) </t>
        </is>
      </c>
      <c r="C44" s="179" t="n"/>
      <c r="D44" s="179" t="n"/>
      <c r="E44" s="179" t="n"/>
    </row>
    <row r="45">
      <c r="B45" s="93" t="n"/>
      <c r="C45" s="179" t="n"/>
      <c r="D45" s="179" t="n"/>
      <c r="E45" s="179" t="n"/>
    </row>
    <row r="46">
      <c r="B46" s="93" t="inlineStr">
        <is>
          <t>Проверил ____________________________ А.В. Костянецкая</t>
        </is>
      </c>
      <c r="C46" s="179" t="n"/>
      <c r="D46" s="179" t="n"/>
      <c r="E46" s="179" t="n"/>
    </row>
    <row r="47">
      <c r="B47" s="223" t="inlineStr">
        <is>
          <t>(должность, подпись, инициалы, фамилия)</t>
        </is>
      </c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8" zoomScale="85" workbookViewId="0">
      <selection activeCell="C86" sqref="C86"/>
    </sheetView>
  </sheetViews>
  <sheetFormatPr baseColWidth="8" defaultColWidth="9.109375" defaultRowHeight="14.4" outlineLevelRow="1"/>
  <cols>
    <col width="5.6640625" customWidth="1" style="180" min="1" max="1"/>
    <col width="22.5546875" customWidth="1" style="180" min="2" max="2"/>
    <col width="39.109375" customWidth="1" style="180" min="3" max="3"/>
    <col width="13.5546875" customWidth="1" style="180" min="4" max="4"/>
    <col width="12.6640625" customWidth="1" style="180" min="5" max="5"/>
    <col width="14.5546875" customWidth="1" style="180" min="6" max="6"/>
    <col width="13.44140625" customWidth="1" style="180" min="7" max="7"/>
    <col width="12.6640625" customWidth="1" style="180" min="8" max="8"/>
    <col width="13.88671875" customWidth="1" style="180" min="9" max="9"/>
    <col width="17.5546875" customWidth="1" style="180" min="10" max="10"/>
    <col width="10.88671875" customWidth="1" style="180" min="11" max="11"/>
    <col width="13.88671875" customWidth="1" style="180" min="12" max="12"/>
    <col width="9.109375" customWidth="1" style="173" min="13" max="13"/>
  </cols>
  <sheetData>
    <row r="1" s="173">
      <c r="A1" s="180" t="n"/>
      <c r="B1" s="180" t="n"/>
      <c r="C1" s="180" t="n"/>
      <c r="D1" s="180" t="n"/>
      <c r="E1" s="180" t="n"/>
      <c r="F1" s="180" t="n"/>
      <c r="G1" s="180" t="n"/>
      <c r="H1" s="180" t="n"/>
      <c r="I1" s="180" t="n"/>
      <c r="J1" s="180" t="n"/>
      <c r="K1" s="180" t="n"/>
      <c r="L1" s="180" t="n"/>
      <c r="M1" s="180" t="n"/>
      <c r="N1" s="180" t="n"/>
    </row>
    <row r="2" ht="15.75" customHeight="1" s="173">
      <c r="A2" s="180" t="n"/>
      <c r="B2" s="180" t="n"/>
      <c r="C2" s="180" t="n"/>
      <c r="D2" s="180" t="n"/>
      <c r="E2" s="180" t="n"/>
      <c r="F2" s="180" t="n"/>
      <c r="G2" s="180" t="n"/>
      <c r="H2" s="224" t="inlineStr">
        <is>
          <t>Приложение №5</t>
        </is>
      </c>
      <c r="K2" s="180" t="n"/>
      <c r="L2" s="180" t="n"/>
      <c r="M2" s="180" t="n"/>
      <c r="N2" s="180" t="n"/>
    </row>
    <row r="3" s="173">
      <c r="A3" s="180" t="n"/>
      <c r="B3" s="180" t="n"/>
      <c r="C3" s="180" t="n"/>
      <c r="D3" s="180" t="n"/>
      <c r="E3" s="180" t="n"/>
      <c r="F3" s="180" t="n"/>
      <c r="G3" s="180" t="n"/>
      <c r="H3" s="180" t="n"/>
      <c r="I3" s="180" t="n"/>
      <c r="J3" s="180" t="n"/>
      <c r="K3" s="180" t="n"/>
      <c r="L3" s="180" t="n"/>
      <c r="M3" s="180" t="n"/>
      <c r="N3" s="180" t="n"/>
    </row>
    <row r="4" ht="12.75" customFormat="1" customHeight="1" s="179">
      <c r="A4" s="221" t="inlineStr">
        <is>
          <t>Расчет стоимости СМР и оборудования</t>
        </is>
      </c>
    </row>
    <row r="5" ht="12.75" customFormat="1" customHeight="1" s="179">
      <c r="A5" s="221" t="n"/>
      <c r="B5" s="221" t="n"/>
      <c r="C5" s="42" t="n"/>
      <c r="D5" s="221" t="n"/>
      <c r="E5" s="221" t="n"/>
      <c r="F5" s="221" t="n"/>
      <c r="G5" s="221" t="n"/>
      <c r="H5" s="221" t="n"/>
      <c r="I5" s="221" t="n"/>
      <c r="J5" s="221" t="n"/>
    </row>
    <row r="6" ht="12.75" customFormat="1" customHeight="1" s="179">
      <c r="A6" s="69" t="inlineStr">
        <is>
          <t>Наименование разрабатываемого показателя УНЦ</t>
        </is>
      </c>
      <c r="B6" s="68" t="n"/>
      <c r="C6" s="68" t="n"/>
      <c r="D6" s="225" t="inlineStr">
        <is>
          <t>Ячейка трансформатора малошумного энергоэффективного, двухобмоточного сухого 20 кВ, 100 кВА</t>
        </is>
      </c>
    </row>
    <row r="7" ht="12.75" customFormat="1" customHeight="1" s="179">
      <c r="A7" s="225" t="inlineStr">
        <is>
          <t>Единица измерения  — 1 ячейка</t>
        </is>
      </c>
      <c r="I7" s="222" t="n"/>
      <c r="J7" s="222" t="n"/>
    </row>
    <row r="8" ht="13.65" customFormat="1" customHeight="1" s="179">
      <c r="A8" s="225" t="n"/>
    </row>
    <row r="9" ht="13.2" customFormat="1" customHeight="1" s="179"/>
    <row r="10" ht="27" customHeight="1" s="173">
      <c r="A10" s="228" t="inlineStr">
        <is>
          <t>№ пп.</t>
        </is>
      </c>
      <c r="B10" s="228" t="inlineStr">
        <is>
          <t>Код ресурса</t>
        </is>
      </c>
      <c r="C10" s="228" t="inlineStr">
        <is>
          <t>Наименование</t>
        </is>
      </c>
      <c r="D10" s="228" t="inlineStr">
        <is>
          <t>Ед. изм.</t>
        </is>
      </c>
      <c r="E10" s="228" t="inlineStr">
        <is>
          <t>Кол-во единиц по проектным данным</t>
        </is>
      </c>
      <c r="F10" s="228" t="inlineStr">
        <is>
          <t>Сметная стоимость в ценах на 01.01.2000 (руб.)</t>
        </is>
      </c>
      <c r="G10" s="252" t="n"/>
      <c r="H10" s="228" t="inlineStr">
        <is>
          <t>Удельный вес, %</t>
        </is>
      </c>
      <c r="I10" s="228" t="inlineStr">
        <is>
          <t>Сметная стоимость в ценах на 01.01.2023 (руб.)</t>
        </is>
      </c>
      <c r="J10" s="252" t="n"/>
      <c r="K10" s="180" t="n"/>
      <c r="L10" s="180" t="n"/>
      <c r="M10" s="180" t="n"/>
      <c r="N10" s="180" t="n"/>
    </row>
    <row r="11" ht="28.5" customHeight="1" s="173">
      <c r="A11" s="254" t="n"/>
      <c r="B11" s="254" t="n"/>
      <c r="C11" s="254" t="n"/>
      <c r="D11" s="254" t="n"/>
      <c r="E11" s="254" t="n"/>
      <c r="F11" s="228" t="inlineStr">
        <is>
          <t>на ед. изм.</t>
        </is>
      </c>
      <c r="G11" s="228" t="inlineStr">
        <is>
          <t>общая</t>
        </is>
      </c>
      <c r="H11" s="254" t="n"/>
      <c r="I11" s="228" t="inlineStr">
        <is>
          <t>на ед. изм.</t>
        </is>
      </c>
      <c r="J11" s="228" t="inlineStr">
        <is>
          <t>общая</t>
        </is>
      </c>
      <c r="K11" s="180" t="n"/>
      <c r="L11" s="180" t="n"/>
      <c r="M11" s="180" t="n"/>
      <c r="N11" s="180" t="n"/>
    </row>
    <row r="12" s="173">
      <c r="A12" s="228" t="n">
        <v>1</v>
      </c>
      <c r="B12" s="228" t="n">
        <v>2</v>
      </c>
      <c r="C12" s="228" t="n">
        <v>3</v>
      </c>
      <c r="D12" s="228" t="n">
        <v>4</v>
      </c>
      <c r="E12" s="228" t="n">
        <v>5</v>
      </c>
      <c r="F12" s="228" t="n">
        <v>6</v>
      </c>
      <c r="G12" s="228" t="n">
        <v>7</v>
      </c>
      <c r="H12" s="228" t="n">
        <v>8</v>
      </c>
      <c r="I12" s="229" t="n">
        <v>9</v>
      </c>
      <c r="J12" s="229" t="n">
        <v>10</v>
      </c>
      <c r="K12" s="180" t="n"/>
      <c r="L12" s="180" t="n"/>
      <c r="M12" s="180" t="n"/>
      <c r="N12" s="180" t="n"/>
    </row>
    <row r="13">
      <c r="A13" s="228" t="n"/>
      <c r="B13" s="235" t="inlineStr">
        <is>
          <t>Затраты труда рабочих-строителей</t>
        </is>
      </c>
      <c r="C13" s="251" t="n"/>
      <c r="D13" s="251" t="n"/>
      <c r="E13" s="251" t="n"/>
      <c r="F13" s="251" t="n"/>
      <c r="G13" s="251" t="n"/>
      <c r="H13" s="252" t="n"/>
      <c r="I13" s="59" t="n"/>
      <c r="J13" s="59" t="n"/>
    </row>
    <row r="14" ht="25.5" customHeight="1" s="173">
      <c r="A14" s="228" t="n">
        <v>1</v>
      </c>
      <c r="B14" s="159" t="inlineStr">
        <is>
          <t>1-4-0</t>
        </is>
      </c>
      <c r="C14" s="231" t="inlineStr">
        <is>
          <t>Затраты труда рабочих-строителей среднего разряда (4)</t>
        </is>
      </c>
      <c r="D14" s="228" t="inlineStr">
        <is>
          <t>чел.-ч.</t>
        </is>
      </c>
      <c r="E14" s="259" t="n">
        <v>9.174042174042199</v>
      </c>
      <c r="F14" s="164" t="n">
        <v>9.619999999999999</v>
      </c>
      <c r="G14" s="164">
        <f>ROUND(E14*F14,2)</f>
        <v/>
      </c>
      <c r="H14" s="234">
        <f>G14/G15</f>
        <v/>
      </c>
      <c r="I14" s="164">
        <f>ФОТр.тек.!E13</f>
        <v/>
      </c>
      <c r="J14" s="164">
        <f>ROUND(I14*E14,2)</f>
        <v/>
      </c>
    </row>
    <row r="15" ht="25.5" customFormat="1" customHeight="1" s="180">
      <c r="A15" s="228" t="n"/>
      <c r="B15" s="228" t="n"/>
      <c r="C15" s="235" t="inlineStr">
        <is>
          <t>Итого по разделу "Затраты труда рабочих-строителей"</t>
        </is>
      </c>
      <c r="D15" s="228" t="inlineStr">
        <is>
          <t>чел.-ч.</t>
        </is>
      </c>
      <c r="E15" s="259">
        <f>SUM(E14:E14)</f>
        <v/>
      </c>
      <c r="F15" s="164" t="n"/>
      <c r="G15" s="164">
        <f>SUM(G14:G14)</f>
        <v/>
      </c>
      <c r="H15" s="236" t="n">
        <v>1</v>
      </c>
      <c r="I15" s="59" t="n"/>
      <c r="J15" s="164">
        <f>SUM(J14:J14)</f>
        <v/>
      </c>
    </row>
    <row r="16" ht="14.25" customFormat="1" customHeight="1" s="180">
      <c r="A16" s="228" t="n"/>
      <c r="B16" s="231" t="inlineStr">
        <is>
          <t>Затраты труда машинистов</t>
        </is>
      </c>
      <c r="C16" s="251" t="n"/>
      <c r="D16" s="251" t="n"/>
      <c r="E16" s="251" t="n"/>
      <c r="F16" s="251" t="n"/>
      <c r="G16" s="251" t="n"/>
      <c r="H16" s="252" t="n"/>
      <c r="I16" s="59" t="n"/>
      <c r="J16" s="59" t="n"/>
    </row>
    <row r="17" ht="14.25" customFormat="1" customHeight="1" s="180">
      <c r="A17" s="228" t="n">
        <v>2</v>
      </c>
      <c r="B17" s="228" t="n">
        <v>2</v>
      </c>
      <c r="C17" s="231" t="inlineStr">
        <is>
          <t>Затраты труда машинистов</t>
        </is>
      </c>
      <c r="D17" s="228" t="inlineStr">
        <is>
          <t>чел.-ч.</t>
        </is>
      </c>
      <c r="E17" s="260" t="n">
        <v>2.9186446886447</v>
      </c>
      <c r="F17" s="164" t="n">
        <v>12.509707702155</v>
      </c>
      <c r="G17" s="164">
        <f>ROUND(E17*F17,2)</f>
        <v/>
      </c>
      <c r="H17" s="236" t="n">
        <v>1</v>
      </c>
      <c r="I17" s="164">
        <f>ROUND(F17*'Прил. 10'!$D$11,2)</f>
        <v/>
      </c>
      <c r="J17" s="164">
        <f>ROUND(I17*E17,2)</f>
        <v/>
      </c>
    </row>
    <row r="18" ht="14.25" customFormat="1" customHeight="1" s="180">
      <c r="A18" s="228" t="n"/>
      <c r="B18" s="235" t="inlineStr">
        <is>
          <t>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59" t="n"/>
      <c r="J18" s="59" t="n"/>
    </row>
    <row r="19" ht="14.25" customFormat="1" customHeight="1" s="180">
      <c r="A19" s="228" t="n"/>
      <c r="B19" s="231" t="inlineStr">
        <is>
          <t>Основные машины и механизмы</t>
        </is>
      </c>
      <c r="C19" s="251" t="n"/>
      <c r="D19" s="251" t="n"/>
      <c r="E19" s="251" t="n"/>
      <c r="F19" s="251" t="n"/>
      <c r="G19" s="251" t="n"/>
      <c r="H19" s="252" t="n"/>
      <c r="I19" s="59" t="n"/>
      <c r="J19" s="59" t="n"/>
    </row>
    <row r="20" ht="14.25" customFormat="1" customHeight="1" s="180">
      <c r="A20" s="228" t="n">
        <v>3</v>
      </c>
      <c r="B20" s="159" t="inlineStr">
        <is>
          <t>91.06.09-001</t>
        </is>
      </c>
      <c r="C20" s="231" t="inlineStr">
        <is>
          <t>Вышки телескопические 25 м</t>
        </is>
      </c>
      <c r="D20" s="228" t="inlineStr">
        <is>
          <t>маш.-ч</t>
        </is>
      </c>
      <c r="E20" s="261" t="n">
        <v>1.0984615384615</v>
      </c>
      <c r="F20" s="233" t="n">
        <v>142.7</v>
      </c>
      <c r="G20" s="164">
        <f>ROUND(E20*F20,2)</f>
        <v/>
      </c>
      <c r="H20" s="234">
        <f>G20/$G$28</f>
        <v/>
      </c>
      <c r="I20" s="164">
        <f>ROUND(F20*'Прил. 10'!$D$12,2)</f>
        <v/>
      </c>
      <c r="J20" s="164">
        <f>ROUND(I20*E20,2)</f>
        <v/>
      </c>
    </row>
    <row r="21" ht="25.5" customFormat="1" customHeight="1" s="180">
      <c r="A21" s="228" t="n">
        <v>4</v>
      </c>
      <c r="B21" s="159" t="inlineStr">
        <is>
          <t>91.05.05-014</t>
        </is>
      </c>
      <c r="C21" s="231" t="inlineStr">
        <is>
          <t>Краны на автомобильном ходу, грузоподъемность 10 т</t>
        </is>
      </c>
      <c r="D21" s="228" t="inlineStr">
        <is>
          <t>маш.-ч</t>
        </is>
      </c>
      <c r="E21" s="261" t="n">
        <v>0.76052893772894</v>
      </c>
      <c r="F21" s="233" t="n">
        <v>111.99</v>
      </c>
      <c r="G21" s="164">
        <f>ROUND(E21*F21,2)</f>
        <v/>
      </c>
      <c r="H21" s="234">
        <f>G21/$G$28</f>
        <v/>
      </c>
      <c r="I21" s="164">
        <f>ROUND(F21*'Прил. 10'!$D$12,2)</f>
        <v/>
      </c>
      <c r="J21" s="164">
        <f>ROUND(I21*E21,2)</f>
        <v/>
      </c>
    </row>
    <row r="22" ht="30.15" customFormat="1" customHeight="1" s="180">
      <c r="A22" s="228" t="n">
        <v>5</v>
      </c>
      <c r="B22" s="159" t="inlineStr">
        <is>
          <t>91.14.02-002</t>
        </is>
      </c>
      <c r="C22" s="231" t="inlineStr">
        <is>
          <t>Автомобили бортовые, грузоподъемность до 8 т</t>
        </is>
      </c>
      <c r="D22" s="228" t="inlineStr">
        <is>
          <t>маш.-ч</t>
        </is>
      </c>
      <c r="E22" s="261" t="n">
        <v>0.49151794871795</v>
      </c>
      <c r="F22" s="233" t="n">
        <v>85.84</v>
      </c>
      <c r="G22" s="164">
        <f>ROUND(E22*F22,2)</f>
        <v/>
      </c>
      <c r="H22" s="234">
        <f>G22/$G$28</f>
        <v/>
      </c>
      <c r="I22" s="164">
        <f>ROUND(F22*'Прил. 10'!$D$12,2)</f>
        <v/>
      </c>
      <c r="J22" s="164">
        <f>ROUND(I22*E22,2)</f>
        <v/>
      </c>
    </row>
    <row r="23" ht="14.25" customFormat="1" customHeight="1" s="180">
      <c r="A23" s="228" t="n"/>
      <c r="B23" s="151" t="n"/>
      <c r="C23" s="150" t="inlineStr">
        <is>
          <t>Итого основные машины и механизмы</t>
        </is>
      </c>
      <c r="D23" s="228" t="n"/>
      <c r="E23" s="261" t="n"/>
      <c r="F23" s="247" t="n"/>
      <c r="G23" s="164">
        <f>SUM(G20:G22)</f>
        <v/>
      </c>
      <c r="H23" s="234">
        <f>G23/G28</f>
        <v/>
      </c>
      <c r="I23" s="164" t="n"/>
      <c r="J23" s="164">
        <f>SUM(J20:J22)</f>
        <v/>
      </c>
    </row>
    <row r="24" hidden="1" outlineLevel="1" ht="14.25" customFormat="1" customHeight="1" s="180">
      <c r="A24" s="228" t="n">
        <v>6</v>
      </c>
      <c r="B24" s="159" t="inlineStr">
        <is>
          <t>91.21.22-491</t>
        </is>
      </c>
      <c r="C24" s="231" t="inlineStr">
        <is>
          <t>Шинотрубогибы</t>
        </is>
      </c>
      <c r="D24" s="228" t="inlineStr">
        <is>
          <t>маш.-ч</t>
        </is>
      </c>
      <c r="E24" s="261" t="n">
        <v>0.56791208791209</v>
      </c>
      <c r="F24" s="233" t="n">
        <v>15.24</v>
      </c>
      <c r="G24" s="164">
        <f>ROUND(E24*F24,2)</f>
        <v/>
      </c>
      <c r="H24" s="234">
        <f>G24/$G$28</f>
        <v/>
      </c>
      <c r="I24" s="164">
        <f>ROUND(F24*'Прил. 10'!$D$12,2)</f>
        <v/>
      </c>
      <c r="J24" s="164">
        <f>ROUND(I24*E24,2)</f>
        <v/>
      </c>
    </row>
    <row r="25" hidden="1" outlineLevel="1" ht="25.5" customFormat="1" customHeight="1" s="180">
      <c r="A25" s="228" t="n">
        <v>7</v>
      </c>
      <c r="B25" s="159" t="inlineStr">
        <is>
          <t>91.17.04-233</t>
        </is>
      </c>
      <c r="C25" s="231" t="inlineStr">
        <is>
          <t>Установки для сварки ручной дуговой (постоянного тока)</t>
        </is>
      </c>
      <c r="D25" s="228" t="inlineStr">
        <is>
          <t>маш.-ч</t>
        </is>
      </c>
      <c r="E25" s="261" t="n">
        <v>0.49991208791209</v>
      </c>
      <c r="F25" s="233" t="n">
        <v>8.1</v>
      </c>
      <c r="G25" s="164">
        <f>ROUND(E25*F25,2)</f>
        <v/>
      </c>
      <c r="H25" s="234">
        <f>G25/$G$28</f>
        <v/>
      </c>
      <c r="I25" s="164">
        <f>ROUND(F25*'Прил. 10'!$D$12,2)</f>
        <v/>
      </c>
      <c r="J25" s="164">
        <f>ROUND(I25*E25,2)</f>
        <v/>
      </c>
    </row>
    <row r="26" hidden="1" outlineLevel="1" ht="14.25" customFormat="1" customHeight="1" s="180">
      <c r="A26" s="228" t="n">
        <v>8</v>
      </c>
      <c r="B26" s="159" t="inlineStr">
        <is>
          <t>91.21.19-031</t>
        </is>
      </c>
      <c r="C26" s="231" t="inlineStr">
        <is>
          <t>Станок сверлильный</t>
        </is>
      </c>
      <c r="D26" s="228" t="inlineStr">
        <is>
          <t>маш.-ч</t>
        </is>
      </c>
      <c r="E26" s="261" t="n">
        <v>0.052606593406593</v>
      </c>
      <c r="F26" s="233" t="n">
        <v>2.36</v>
      </c>
      <c r="G26" s="164">
        <f>ROUND(E26*F26,2)</f>
        <v/>
      </c>
      <c r="H26" s="234">
        <f>G26/$G$28</f>
        <v/>
      </c>
      <c r="I26" s="164">
        <f>ROUND(F26*'Прил. 10'!$D$12,2)</f>
        <v/>
      </c>
      <c r="J26" s="164">
        <f>ROUND(I26*E26,2)</f>
        <v/>
      </c>
    </row>
    <row r="27" collapsed="1" ht="14.25" customFormat="1" customHeight="1" s="180">
      <c r="A27" s="228" t="n"/>
      <c r="B27" s="228" t="n"/>
      <c r="C27" s="231" t="inlineStr">
        <is>
          <t>Итого прочие машины и механизмы</t>
        </is>
      </c>
      <c r="D27" s="228" t="n"/>
      <c r="E27" s="232" t="n"/>
      <c r="F27" s="164" t="n"/>
      <c r="G27" s="60">
        <f>SUM(G24:G26)</f>
        <v/>
      </c>
      <c r="H27" s="234">
        <f>G27/G28</f>
        <v/>
      </c>
      <c r="I27" s="164" t="n"/>
      <c r="J27" s="60">
        <f>SUM(J24:J26)</f>
        <v/>
      </c>
    </row>
    <row r="28" ht="25.5" customFormat="1" customHeight="1" s="180">
      <c r="A28" s="228" t="n"/>
      <c r="B28" s="228" t="n"/>
      <c r="C28" s="235" t="inlineStr">
        <is>
          <t>Итого по разделу «Машины и механизмы»</t>
        </is>
      </c>
      <c r="D28" s="228" t="n"/>
      <c r="E28" s="232" t="n"/>
      <c r="F28" s="164" t="n"/>
      <c r="G28" s="164">
        <f>G27+G23</f>
        <v/>
      </c>
      <c r="H28" s="56">
        <f>H23+H27</f>
        <v/>
      </c>
      <c r="I28" s="57" t="n"/>
      <c r="J28" s="164">
        <f>J27+J23</f>
        <v/>
      </c>
    </row>
    <row r="29" ht="14.25" customFormat="1" customHeight="1" s="180">
      <c r="A29" s="228" t="n"/>
      <c r="B29" s="235" t="inlineStr">
        <is>
          <t>Оборудование</t>
        </is>
      </c>
      <c r="C29" s="251" t="n"/>
      <c r="D29" s="251" t="n"/>
      <c r="E29" s="251" t="n"/>
      <c r="F29" s="251" t="n"/>
      <c r="G29" s="251" t="n"/>
      <c r="H29" s="252" t="n"/>
      <c r="I29" s="59" t="n"/>
      <c r="J29" s="59" t="n"/>
    </row>
    <row r="30">
      <c r="A30" s="228" t="n"/>
      <c r="B30" s="231" t="inlineStr">
        <is>
          <t>Основное оборудование</t>
        </is>
      </c>
      <c r="C30" s="251" t="n"/>
      <c r="D30" s="251" t="n"/>
      <c r="E30" s="251" t="n"/>
      <c r="F30" s="251" t="n"/>
      <c r="G30" s="251" t="n"/>
      <c r="H30" s="252" t="n"/>
      <c r="I30" s="59" t="n"/>
      <c r="J30" s="59" t="n"/>
      <c r="L30" s="180" t="n"/>
    </row>
    <row r="31" ht="38.25" customHeight="1" s="173">
      <c r="A31" s="228" t="n">
        <v>9</v>
      </c>
      <c r="B31" s="159" t="inlineStr">
        <is>
          <t>БЦ.7_1.30</t>
        </is>
      </c>
      <c r="C31" s="231" t="inlineStr">
        <is>
          <t>Трансформатор малошумный энергоэффективный, двухобмоточный сухой 20 кВ, 100 кВА</t>
        </is>
      </c>
      <c r="D31" s="228" t="inlineStr">
        <is>
          <t>шт.</t>
        </is>
      </c>
      <c r="E31" s="259" t="n">
        <v>2</v>
      </c>
      <c r="F31" s="164">
        <f>ROUND(I31/'Прил. 10'!D14,2)</f>
        <v/>
      </c>
      <c r="G31" s="164">
        <f>ROUND(E31*F31,2)</f>
        <v/>
      </c>
      <c r="H31" s="234">
        <f>G31/$G$34</f>
        <v/>
      </c>
      <c r="I31" s="164" t="n">
        <v>807718.77</v>
      </c>
      <c r="J31" s="164">
        <f>ROUND(I31*E31,2)</f>
        <v/>
      </c>
      <c r="K31" s="180" t="n"/>
      <c r="L31" s="180" t="n"/>
      <c r="M31" s="180" t="n"/>
      <c r="N31" s="180" t="n"/>
    </row>
    <row r="32">
      <c r="A32" s="228" t="n"/>
      <c r="B32" s="228" t="n"/>
      <c r="C32" s="231" t="inlineStr">
        <is>
          <t>Итого основное оборудование</t>
        </is>
      </c>
      <c r="D32" s="228" t="n"/>
      <c r="E32" s="259" t="n"/>
      <c r="F32" s="233" t="n"/>
      <c r="G32" s="164">
        <f>G31</f>
        <v/>
      </c>
      <c r="H32" s="236">
        <f>H31</f>
        <v/>
      </c>
      <c r="I32" s="60" t="n"/>
      <c r="J32" s="164">
        <f>J31</f>
        <v/>
      </c>
      <c r="L32" s="180" t="n"/>
    </row>
    <row r="33">
      <c r="A33" s="229" t="n"/>
      <c r="B33" s="228" t="n"/>
      <c r="C33" s="231" t="inlineStr">
        <is>
          <t>Итого прочее оборудование</t>
        </is>
      </c>
      <c r="D33" s="228" t="n"/>
      <c r="E33" s="261" t="n"/>
      <c r="F33" s="233" t="n"/>
      <c r="G33" s="164" t="n">
        <v>0</v>
      </c>
      <c r="H33" s="234">
        <f>G33/$G$35</f>
        <v/>
      </c>
      <c r="I33" s="141" t="n"/>
      <c r="J33" s="140" t="n">
        <v>0</v>
      </c>
      <c r="L33" s="180" t="n"/>
    </row>
    <row r="34">
      <c r="A34" s="229" t="n"/>
      <c r="B34" s="229" t="n"/>
      <c r="C34" s="137" t="inlineStr">
        <is>
          <t>Итого по разделу «Оборудование»</t>
        </is>
      </c>
      <c r="D34" s="229" t="n"/>
      <c r="E34" s="138" t="n"/>
      <c r="F34" s="139" t="n"/>
      <c r="G34" s="140">
        <f>G32+G33</f>
        <v/>
      </c>
      <c r="H34" s="124">
        <f>H32+H33</f>
        <v/>
      </c>
      <c r="I34" s="141" t="n"/>
      <c r="J34" s="140">
        <f>J32+J33</f>
        <v/>
      </c>
      <c r="L34" s="180" t="n"/>
    </row>
    <row r="35" ht="25.5" customHeight="1" s="173">
      <c r="A35" s="228" t="n"/>
      <c r="B35" s="228" t="n"/>
      <c r="C35" s="231" t="inlineStr">
        <is>
          <t>в том числе технологическое оборудование</t>
        </is>
      </c>
      <c r="D35" s="228" t="n"/>
      <c r="E35" s="261" t="n"/>
      <c r="F35" s="233" t="n"/>
      <c r="G35" s="164">
        <f>'Прил.6 Расчет ОБ'!G13</f>
        <v/>
      </c>
      <c r="H35" s="234" t="n"/>
      <c r="I35" s="164" t="n"/>
      <c r="J35" s="164">
        <f>J34</f>
        <v/>
      </c>
      <c r="L35" s="180" t="n"/>
    </row>
    <row r="36" ht="14.25" customFormat="1" customHeight="1" s="180">
      <c r="A36" s="228" t="n"/>
      <c r="B36" s="235" t="inlineStr">
        <is>
          <t>Материалы</t>
        </is>
      </c>
      <c r="C36" s="251" t="n"/>
      <c r="D36" s="251" t="n"/>
      <c r="E36" s="251" t="n"/>
      <c r="F36" s="251" t="n"/>
      <c r="G36" s="251" t="n"/>
      <c r="H36" s="252" t="n"/>
      <c r="I36" s="59" t="n"/>
      <c r="J36" s="59" t="n"/>
    </row>
    <row r="37" ht="14.25" customFormat="1" customHeight="1" s="180">
      <c r="A37" s="228" t="n"/>
      <c r="B37" s="231" t="inlineStr">
        <is>
          <t>Основные материалы</t>
        </is>
      </c>
      <c r="C37" s="251" t="n"/>
      <c r="D37" s="251" t="n"/>
      <c r="E37" s="251" t="n"/>
      <c r="F37" s="251" t="n"/>
      <c r="G37" s="251" t="n"/>
      <c r="H37" s="252" t="n"/>
      <c r="I37" s="59" t="n"/>
      <c r="J37" s="59" t="n"/>
    </row>
    <row r="38" ht="14.25" customFormat="1" customHeight="1" s="180">
      <c r="A38" s="228" t="n">
        <v>10</v>
      </c>
      <c r="B38" s="159" t="inlineStr">
        <is>
          <t>20.5.03.03-0002</t>
        </is>
      </c>
      <c r="C38" s="231" t="inlineStr">
        <is>
          <t>Шины и ленты из цветных металлов</t>
        </is>
      </c>
      <c r="D38" s="228" t="inlineStr">
        <is>
          <t>т</t>
        </is>
      </c>
      <c r="E38" s="261" t="n">
        <v>0.14435677655678</v>
      </c>
      <c r="F38" s="164" t="n">
        <v>124900</v>
      </c>
      <c r="G38" s="164">
        <f>ROUND(E38*F38,2)</f>
        <v/>
      </c>
      <c r="H38" s="234">
        <f>G38/$G$61</f>
        <v/>
      </c>
      <c r="I38" s="170">
        <f>ROUND(F38*'Прил. 10'!$D$13,2)</f>
        <v/>
      </c>
      <c r="J38" s="156">
        <f>ROUND(I38*E38,2)</f>
        <v/>
      </c>
    </row>
    <row r="39" ht="14.25" customFormat="1" customHeight="1" s="180">
      <c r="A39" s="228" t="n"/>
      <c r="B39" s="159" t="n"/>
      <c r="C39" s="231" t="inlineStr">
        <is>
          <t>Итого основные материалы</t>
        </is>
      </c>
      <c r="D39" s="228" t="n"/>
      <c r="E39" s="261" t="n"/>
      <c r="F39" s="247" t="n"/>
      <c r="G39" s="164">
        <f>SUM(G38)</f>
        <v/>
      </c>
      <c r="H39" s="234">
        <f>G39/$G$61</f>
        <v/>
      </c>
      <c r="I39" s="157" t="n"/>
      <c r="J39" s="164">
        <f>SUM(J38:J38)</f>
        <v/>
      </c>
    </row>
    <row r="40" hidden="1" outlineLevel="1" ht="38.25" customFormat="1" customHeight="1" s="180">
      <c r="A40" s="228" t="n">
        <v>11</v>
      </c>
      <c r="B40" s="159" t="inlineStr">
        <is>
          <t>25.1.01.04-0012</t>
        </is>
      </c>
      <c r="C40" s="231" t="inlineStr">
        <is>
          <t>Шпалы из древесины хвойных пород для колеи 600 мм, непропитанные, длина 1200 мм, тип II</t>
        </is>
      </c>
      <c r="D40" s="228" t="inlineStr">
        <is>
          <t>шт</t>
        </is>
      </c>
      <c r="E40" s="261" t="n">
        <v>1.8681318681319</v>
      </c>
      <c r="F40" s="164" t="n">
        <v>42.6</v>
      </c>
      <c r="G40" s="164">
        <f>ROUND(E40*F40,2)</f>
        <v/>
      </c>
      <c r="H40" s="234">
        <f>G40/$G$61</f>
        <v/>
      </c>
      <c r="I40" s="170">
        <f>ROUND(F40*'Прил. 10'!$D$13,2)</f>
        <v/>
      </c>
      <c r="J40" s="156">
        <f>ROUND(I40*E40,2)</f>
        <v/>
      </c>
    </row>
    <row r="41" hidden="1" outlineLevel="1" ht="38.25" customFormat="1" customHeight="1" s="180">
      <c r="A41" s="228" t="n">
        <v>12</v>
      </c>
      <c r="B41" s="159" t="inlineStr">
        <is>
          <t>Прайс из СД ОП</t>
        </is>
      </c>
      <c r="C41" s="231" t="inlineStr">
        <is>
          <t>Муфта концевая ПКВтп-150/240 термоусаживаемая (10кВ, 1х240 кв.мм сшит.ПЭ и ПВХ.из-я) (ПЗЭМИ, М3891)</t>
        </is>
      </c>
      <c r="D41" s="228" t="inlineStr">
        <is>
          <t>шт.</t>
        </is>
      </c>
      <c r="E41" s="261" t="n">
        <v>0.37362637362637</v>
      </c>
      <c r="F41" s="164" t="n">
        <v>107.67</v>
      </c>
      <c r="G41" s="164">
        <f>ROUND(E41*F41,2)</f>
        <v/>
      </c>
      <c r="H41" s="234">
        <f>G41/$G$61</f>
        <v/>
      </c>
      <c r="I41" s="170">
        <f>ROUND(F41*'Прил. 10'!$D$13,2)</f>
        <v/>
      </c>
      <c r="J41" s="156">
        <f>ROUND(I41*E41,2)</f>
        <v/>
      </c>
    </row>
    <row r="42" hidden="1" outlineLevel="1" ht="38.25" customFormat="1" customHeight="1" s="180">
      <c r="A42" s="228" t="n">
        <v>13</v>
      </c>
      <c r="B42" s="159" t="inlineStr">
        <is>
          <t>08.3.03.05-0017</t>
        </is>
      </c>
      <c r="C42" s="231" t="inlineStr">
        <is>
          <t>Проволока стальная низкоуглеродистая разного назначения оцинкованная, диаметр 3,0 мм</t>
        </is>
      </c>
      <c r="D42" s="228" t="inlineStr">
        <is>
          <t>т</t>
        </is>
      </c>
      <c r="E42" s="261" t="n">
        <v>0.0012454212454212</v>
      </c>
      <c r="F42" s="164" t="n">
        <v>12242</v>
      </c>
      <c r="G42" s="164">
        <f>ROUND(E42*F42,2)</f>
        <v/>
      </c>
      <c r="H42" s="234">
        <f>G42/$G$61</f>
        <v/>
      </c>
      <c r="I42" s="170">
        <f>ROUND(F42*'Прил. 10'!$D$13,2)</f>
        <v/>
      </c>
      <c r="J42" s="156">
        <f>ROUND(I42*E42,2)</f>
        <v/>
      </c>
    </row>
    <row r="43" hidden="1" outlineLevel="1" ht="25.5" customFormat="1" customHeight="1" s="180">
      <c r="A43" s="228" t="n">
        <v>14</v>
      </c>
      <c r="B43" s="159" t="inlineStr">
        <is>
          <t>20.2.10.01-0021</t>
        </is>
      </c>
      <c r="C43" s="231" t="inlineStr">
        <is>
          <t>Наконечники кабельные для электротехнических установок</t>
        </is>
      </c>
      <c r="D43" s="228" t="inlineStr">
        <is>
          <t>100 шт</t>
        </is>
      </c>
      <c r="E43" s="261" t="n">
        <v>0.0037362637362637</v>
      </c>
      <c r="F43" s="164" t="n">
        <v>2550</v>
      </c>
      <c r="G43" s="164">
        <f>ROUND(E43*F43,2)</f>
        <v/>
      </c>
      <c r="H43" s="234">
        <f>G43/$G$61</f>
        <v/>
      </c>
      <c r="I43" s="170">
        <f>ROUND(F43*'Прил. 10'!$D$13,2)</f>
        <v/>
      </c>
      <c r="J43" s="156">
        <f>ROUND(I43*E43,2)</f>
        <v/>
      </c>
    </row>
    <row r="44" hidden="1" outlineLevel="1" ht="14.25" customFormat="1" customHeight="1" s="180">
      <c r="A44" s="228" t="n">
        <v>15</v>
      </c>
      <c r="B44" s="159" t="inlineStr">
        <is>
          <t>01.7.15.10-0053</t>
        </is>
      </c>
      <c r="C44" s="231" t="inlineStr">
        <is>
          <t>Скобы металлические</t>
        </is>
      </c>
      <c r="D44" s="228" t="inlineStr">
        <is>
          <t>кг</t>
        </is>
      </c>
      <c r="E44" s="261" t="n">
        <v>1.3076923076923</v>
      </c>
      <c r="F44" s="164" t="n">
        <v>6.4</v>
      </c>
      <c r="G44" s="164">
        <f>ROUND(E44*F44,2)</f>
        <v/>
      </c>
      <c r="H44" s="234">
        <f>G44/$G$61</f>
        <v/>
      </c>
      <c r="I44" s="170">
        <f>ROUND(F44*'Прил. 10'!$D$13,2)</f>
        <v/>
      </c>
      <c r="J44" s="156">
        <f>ROUND(I44*E44,2)</f>
        <v/>
      </c>
    </row>
    <row r="45" hidden="1" outlineLevel="1" ht="14.25" customFormat="1" customHeight="1" s="180">
      <c r="A45" s="228" t="n">
        <v>16</v>
      </c>
      <c r="B45" s="159" t="inlineStr">
        <is>
          <t>20.1.02.23-0091</t>
        </is>
      </c>
      <c r="C45" s="231" t="inlineStr">
        <is>
          <t>Плакат по ТБ</t>
        </is>
      </c>
      <c r="D45" s="228" t="inlineStr">
        <is>
          <t>100 шт</t>
        </is>
      </c>
      <c r="E45" s="261" t="n">
        <v>0.0012454212454212</v>
      </c>
      <c r="F45" s="164" t="n">
        <v>4000</v>
      </c>
      <c r="G45" s="164">
        <f>ROUND(E45*F45,2)</f>
        <v/>
      </c>
      <c r="H45" s="234">
        <f>G45/$G$61</f>
        <v/>
      </c>
      <c r="I45" s="170">
        <f>ROUND(F45*'Прил. 10'!$D$13,2)</f>
        <v/>
      </c>
      <c r="J45" s="156">
        <f>ROUND(I45*E45,2)</f>
        <v/>
      </c>
    </row>
    <row r="46" hidden="1" outlineLevel="1" ht="25.5" customFormat="1" customHeight="1" s="180">
      <c r="A46" s="228" t="n">
        <v>17</v>
      </c>
      <c r="B46" s="159" t="inlineStr">
        <is>
          <t>20.2.10.01-0020</t>
        </is>
      </c>
      <c r="C46" s="231" t="inlineStr">
        <is>
          <t>Наконечники кабельные алюминиевые ТА 240-20-20</t>
        </is>
      </c>
      <c r="D46" s="228" t="inlineStr">
        <is>
          <t>100 шт</t>
        </is>
      </c>
      <c r="E46" s="261" t="n">
        <v>0.0037362637362637</v>
      </c>
      <c r="F46" s="164" t="n">
        <v>971.8200000000001</v>
      </c>
      <c r="G46" s="164">
        <f>ROUND(E46*F46,2)</f>
        <v/>
      </c>
      <c r="H46" s="234">
        <f>G46/$G$61</f>
        <v/>
      </c>
      <c r="I46" s="170">
        <f>ROUND(F46*'Прил. 10'!$D$13,2)</f>
        <v/>
      </c>
      <c r="J46" s="156">
        <f>ROUND(I46*E46,2)</f>
        <v/>
      </c>
    </row>
    <row r="47" hidden="1" outlineLevel="1" ht="14.25" customFormat="1" customHeight="1" s="180">
      <c r="A47" s="228" t="n">
        <v>18</v>
      </c>
      <c r="B47" s="159" t="inlineStr">
        <is>
          <t>14.4.02.09-0001</t>
        </is>
      </c>
      <c r="C47" s="231" t="inlineStr">
        <is>
          <t>Краска</t>
        </is>
      </c>
      <c r="D47" s="228" t="inlineStr">
        <is>
          <t>кг</t>
        </is>
      </c>
      <c r="E47" s="261" t="n">
        <v>0.10767912087912</v>
      </c>
      <c r="F47" s="164" t="n">
        <v>28.6</v>
      </c>
      <c r="G47" s="164">
        <f>ROUND(E47*F47,2)</f>
        <v/>
      </c>
      <c r="H47" s="234">
        <f>G47/$G$61</f>
        <v/>
      </c>
      <c r="I47" s="170">
        <f>ROUND(F47*'Прил. 10'!$D$13,2)</f>
        <v/>
      </c>
      <c r="J47" s="156">
        <f>ROUND(I47*E47,2)</f>
        <v/>
      </c>
    </row>
    <row r="48" hidden="1" outlineLevel="1" ht="51" customFormat="1" customHeight="1" s="180">
      <c r="A48" s="228" t="n">
        <v>19</v>
      </c>
      <c r="B48" s="159" t="inlineStr">
        <is>
          <t>10.1.02.04-0009</t>
        </is>
      </c>
      <c r="C48" s="23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228" t="inlineStr">
        <is>
          <t>т</t>
        </is>
      </c>
      <c r="E48" s="261" t="n">
        <v>3.8234432234432e-05</v>
      </c>
      <c r="F48" s="164" t="n">
        <v>55960.01</v>
      </c>
      <c r="G48" s="164">
        <f>ROUND(E48*F48,2)</f>
        <v/>
      </c>
      <c r="H48" s="234">
        <f>G48/$G$61</f>
        <v/>
      </c>
      <c r="I48" s="170">
        <f>ROUND(F48*'Прил. 10'!$D$13,2)</f>
        <v/>
      </c>
      <c r="J48" s="156">
        <f>ROUND(I48*E48,2)</f>
        <v/>
      </c>
    </row>
    <row r="49" hidden="1" outlineLevel="1" ht="25.5" customFormat="1" customHeight="1" s="180">
      <c r="A49" s="228" t="n">
        <v>20</v>
      </c>
      <c r="B49" s="159" t="inlineStr">
        <is>
          <t>999-9950</t>
        </is>
      </c>
      <c r="C49" s="231" t="inlineStr">
        <is>
          <t>Вспомогательные ненормируемые ресурсы (2% от Фонда оплаты труда)</t>
        </is>
      </c>
      <c r="D49" s="228" t="inlineStr">
        <is>
          <t>руб</t>
        </is>
      </c>
      <c r="E49" s="261" t="n">
        <v>1.9259443223443</v>
      </c>
      <c r="F49" s="164" t="n">
        <v>1</v>
      </c>
      <c r="G49" s="164">
        <f>ROUND(E49*F49,2)</f>
        <v/>
      </c>
      <c r="H49" s="234">
        <f>G49/$G$61</f>
        <v/>
      </c>
      <c r="I49" s="170">
        <f>ROUND(F49*'Прил. 10'!$D$13,2)</f>
        <v/>
      </c>
      <c r="J49" s="156">
        <f>ROUND(I49*E49,2)</f>
        <v/>
      </c>
    </row>
    <row r="50" hidden="1" outlineLevel="1" ht="14.25" customFormat="1" customHeight="1" s="180">
      <c r="A50" s="228" t="n">
        <v>21</v>
      </c>
      <c r="B50" s="159" t="inlineStr">
        <is>
          <t>01.7.15.03-0042</t>
        </is>
      </c>
      <c r="C50" s="231" t="inlineStr">
        <is>
          <t>Болты с гайками и шайбами строительные</t>
        </is>
      </c>
      <c r="D50" s="228" t="inlineStr">
        <is>
          <t>кг</t>
        </is>
      </c>
      <c r="E50" s="261" t="n">
        <v>0.20773626373626</v>
      </c>
      <c r="F50" s="164" t="n">
        <v>9.039999999999999</v>
      </c>
      <c r="G50" s="164">
        <f>ROUND(E50*F50,2)</f>
        <v/>
      </c>
      <c r="H50" s="234">
        <f>G50/$G$61</f>
        <v/>
      </c>
      <c r="I50" s="170">
        <f>ROUND(F50*'Прил. 10'!$D$13,2)</f>
        <v/>
      </c>
      <c r="J50" s="156">
        <f>ROUND(I50*E50,2)</f>
        <v/>
      </c>
    </row>
    <row r="51" hidden="1" outlineLevel="1" ht="25.5" customFormat="1" customHeight="1" s="180">
      <c r="A51" s="228" t="n">
        <v>22</v>
      </c>
      <c r="B51" s="159" t="inlineStr">
        <is>
          <t>10.2.02.10-0013</t>
        </is>
      </c>
      <c r="C51" s="231" t="inlineStr">
        <is>
          <t>Прутки медные, круглые, марка М3, диаметр 20 мм</t>
        </is>
      </c>
      <c r="D51" s="228" t="inlineStr">
        <is>
          <t>т</t>
        </is>
      </c>
      <c r="E51" s="261" t="n">
        <v>2.3289377289377e-05</v>
      </c>
      <c r="F51" s="164" t="n">
        <v>71640</v>
      </c>
      <c r="G51" s="164">
        <f>ROUND(E51*F51,2)</f>
        <v/>
      </c>
      <c r="H51" s="234">
        <f>G51/$G$61</f>
        <v/>
      </c>
      <c r="I51" s="170">
        <f>ROUND(F51*'Прил. 10'!$D$13,2)</f>
        <v/>
      </c>
      <c r="J51" s="156">
        <f>ROUND(I51*E51,2)</f>
        <v/>
      </c>
    </row>
    <row r="52" hidden="1" outlineLevel="1" ht="14.25" customFormat="1" customHeight="1" s="180">
      <c r="A52" s="228" t="n">
        <v>23</v>
      </c>
      <c r="B52" s="159" t="inlineStr">
        <is>
          <t>25.2.01.01-0015</t>
        </is>
      </c>
      <c r="C52" s="231" t="inlineStr">
        <is>
          <t>Бирки маркировочные</t>
        </is>
      </c>
      <c r="D52" s="228" t="inlineStr">
        <is>
          <t>100 шт</t>
        </is>
      </c>
      <c r="E52" s="261" t="n">
        <v>0.01031706959707</v>
      </c>
      <c r="F52" s="164" t="n">
        <v>142.5</v>
      </c>
      <c r="G52" s="164">
        <f>ROUND(E52*F52,2)</f>
        <v/>
      </c>
      <c r="H52" s="234">
        <f>G52/$G$61</f>
        <v/>
      </c>
      <c r="I52" s="170">
        <f>ROUND(F52*'Прил. 10'!$D$13,2)</f>
        <v/>
      </c>
      <c r="J52" s="156">
        <f>ROUND(I52*E52,2)</f>
        <v/>
      </c>
    </row>
    <row r="53" hidden="1" outlineLevel="1" ht="14.25" customFormat="1" customHeight="1" s="180">
      <c r="A53" s="228" t="n">
        <v>24</v>
      </c>
      <c r="B53" s="159" t="inlineStr">
        <is>
          <t>01.3.02.02-0001</t>
        </is>
      </c>
      <c r="C53" s="231" t="inlineStr">
        <is>
          <t>Аргон газообразный, сорт I</t>
        </is>
      </c>
      <c r="D53" s="228" t="inlineStr">
        <is>
          <t>м3</t>
        </is>
      </c>
      <c r="E53" s="261" t="n">
        <v>0.042518681318681</v>
      </c>
      <c r="F53" s="164" t="n">
        <v>17.86</v>
      </c>
      <c r="G53" s="164">
        <f>ROUND(E53*F53,2)</f>
        <v/>
      </c>
      <c r="H53" s="234">
        <f>G53/$G$61</f>
        <v/>
      </c>
      <c r="I53" s="170">
        <f>ROUND(F53*'Прил. 10'!$D$13,2)</f>
        <v/>
      </c>
      <c r="J53" s="156">
        <f>ROUND(I53*E53,2)</f>
        <v/>
      </c>
    </row>
    <row r="54" hidden="1" outlineLevel="1" ht="14.25" customFormat="1" customHeight="1" s="180">
      <c r="A54" s="228" t="n">
        <v>25</v>
      </c>
      <c r="B54" s="159" t="inlineStr">
        <is>
          <t>01.7.15.11-0061</t>
        </is>
      </c>
      <c r="C54" s="231" t="inlineStr">
        <is>
          <t>Шайбы пружинные</t>
        </is>
      </c>
      <c r="D54" s="228" t="inlineStr">
        <is>
          <t>т</t>
        </is>
      </c>
      <c r="E54" s="261" t="n">
        <v>7.7838827838828e-06</v>
      </c>
      <c r="F54" s="164" t="n">
        <v>31600</v>
      </c>
      <c r="G54" s="164">
        <f>ROUND(E54*F54,2)</f>
        <v/>
      </c>
      <c r="H54" s="234">
        <f>G54/$G$61</f>
        <v/>
      </c>
      <c r="I54" s="170">
        <f>ROUND(F54*'Прил. 10'!$D$13,2)</f>
        <v/>
      </c>
      <c r="J54" s="156">
        <f>ROUND(I54*E54,2)</f>
        <v/>
      </c>
    </row>
    <row r="55" hidden="1" outlineLevel="1" ht="14.25" customFormat="1" customHeight="1" s="180">
      <c r="A55" s="228" t="n">
        <v>26</v>
      </c>
      <c r="B55" s="159" t="inlineStr">
        <is>
          <t>01.3.01.01-0001</t>
        </is>
      </c>
      <c r="C55" s="231" t="inlineStr">
        <is>
          <t>Бензин авиационный Б-70</t>
        </is>
      </c>
      <c r="D55" s="228" t="inlineStr">
        <is>
          <t>т</t>
        </is>
      </c>
      <c r="E55" s="261" t="n">
        <v>4.981684981685e-05</v>
      </c>
      <c r="F55" s="164" t="n">
        <v>4488.4</v>
      </c>
      <c r="G55" s="164">
        <f>ROUND(E55*F55,2)</f>
        <v/>
      </c>
      <c r="H55" s="234">
        <f>G55/$G$61</f>
        <v/>
      </c>
      <c r="I55" s="170">
        <f>ROUND(F55*'Прил. 10'!$D$13,2)</f>
        <v/>
      </c>
      <c r="J55" s="156">
        <f>ROUND(I55*E55,2)</f>
        <v/>
      </c>
    </row>
    <row r="56" hidden="1" outlineLevel="1" ht="14.25" customFormat="1" customHeight="1" s="180">
      <c r="A56" s="228" t="n">
        <v>27</v>
      </c>
      <c r="B56" s="159" t="inlineStr">
        <is>
          <t>01.7.06.07-0001</t>
        </is>
      </c>
      <c r="C56" s="231" t="inlineStr">
        <is>
          <t>Лента К226</t>
        </is>
      </c>
      <c r="D56" s="228" t="inlineStr">
        <is>
          <t>100 м</t>
        </is>
      </c>
      <c r="E56" s="261" t="n">
        <v>0.0002989010989011</v>
      </c>
      <c r="F56" s="164" t="n">
        <v>120</v>
      </c>
      <c r="G56" s="164">
        <f>ROUND(E56*F56,2)</f>
        <v/>
      </c>
      <c r="H56" s="234">
        <f>G56/$G$61</f>
        <v/>
      </c>
      <c r="I56" s="170">
        <f>ROUND(F56*'Прил. 10'!$D$13,2)</f>
        <v/>
      </c>
      <c r="J56" s="156">
        <f>ROUND(I56*E56,2)</f>
        <v/>
      </c>
    </row>
    <row r="57" hidden="1" outlineLevel="1" ht="14.25" customFormat="1" customHeight="1" s="180">
      <c r="A57" s="228" t="n">
        <v>28</v>
      </c>
      <c r="B57" s="159" t="inlineStr">
        <is>
          <t>01.7.11.07-0227</t>
        </is>
      </c>
      <c r="C57" s="231" t="inlineStr">
        <is>
          <t>Электроды УОНИ 13/45</t>
        </is>
      </c>
      <c r="D57" s="228" t="inlineStr">
        <is>
          <t>кг</t>
        </is>
      </c>
      <c r="E57" s="261" t="n">
        <v>0.0011208791208791</v>
      </c>
      <c r="F57" s="164" t="n">
        <v>15.26</v>
      </c>
      <c r="G57" s="164">
        <f>ROUND(E57*F57,2)</f>
        <v/>
      </c>
      <c r="H57" s="234">
        <f>G57/$G$61</f>
        <v/>
      </c>
      <c r="I57" s="170">
        <f>ROUND(F57*'Прил. 10'!$D$13,2)</f>
        <v/>
      </c>
      <c r="J57" s="156">
        <f>ROUND(I57*E57,2)</f>
        <v/>
      </c>
    </row>
    <row r="58" hidden="1" outlineLevel="1" ht="14.25" customFormat="1" customHeight="1" s="180">
      <c r="A58" s="228" t="n">
        <v>29</v>
      </c>
      <c r="B58" s="159" t="inlineStr">
        <is>
          <t>01.3.01.05-0009</t>
        </is>
      </c>
      <c r="C58" s="231" t="inlineStr">
        <is>
          <t>Парафин нефтяной твердый Т-1</t>
        </is>
      </c>
      <c r="D58" s="228" t="inlineStr">
        <is>
          <t>т</t>
        </is>
      </c>
      <c r="E58" s="261" t="n">
        <v>1.2454212454212e-06</v>
      </c>
      <c r="F58" s="164" t="n">
        <v>8105.71</v>
      </c>
      <c r="G58" s="164">
        <f>ROUND(E58*F58,2)</f>
        <v/>
      </c>
      <c r="H58" s="234">
        <f>G58/$G$61</f>
        <v/>
      </c>
      <c r="I58" s="170">
        <f>ROUND(F58*'Прил. 10'!$D$13,2)</f>
        <v/>
      </c>
      <c r="J58" s="156">
        <f>ROUND(I58*E58,2)</f>
        <v/>
      </c>
    </row>
    <row r="59" hidden="1" outlineLevel="1" ht="14.25" customFormat="1" customHeight="1" s="180">
      <c r="A59" s="228" t="n">
        <v>30</v>
      </c>
      <c r="B59" s="159" t="inlineStr">
        <is>
          <t>20.2.08.03-0001</t>
        </is>
      </c>
      <c r="C59" s="231" t="inlineStr">
        <is>
          <t>Кнопки монтажные</t>
        </is>
      </c>
      <c r="D59" s="228" t="inlineStr">
        <is>
          <t>1000 шт</t>
        </is>
      </c>
      <c r="E59" s="261" t="n">
        <v>0.00025406593406593</v>
      </c>
      <c r="F59" s="164" t="n">
        <v>19.5</v>
      </c>
      <c r="G59" s="164">
        <f>ROUND(E59*F59,2)</f>
        <v/>
      </c>
      <c r="H59" s="234">
        <f>G59/$G$61</f>
        <v/>
      </c>
      <c r="I59" s="170">
        <f>ROUND(F59*'Прил. 10'!$D$13,2)</f>
        <v/>
      </c>
      <c r="J59" s="156">
        <f>ROUND(I59*E59,2)</f>
        <v/>
      </c>
    </row>
    <row r="60" collapsed="1" ht="14.25" customFormat="1" customHeight="1" s="180">
      <c r="A60" s="228" t="n"/>
      <c r="B60" s="228" t="n"/>
      <c r="C60" s="231" t="inlineStr">
        <is>
          <t>Итого прочие материалы</t>
        </is>
      </c>
      <c r="D60" s="228" t="n"/>
      <c r="E60" s="232" t="n"/>
      <c r="F60" s="233" t="n"/>
      <c r="G60" s="70">
        <f>SUM(G40:G59)</f>
        <v/>
      </c>
      <c r="H60" s="234">
        <f>G60/$G$61</f>
        <v/>
      </c>
      <c r="I60" s="164" t="n"/>
      <c r="J60" s="70">
        <f>SUM(J40:J59)</f>
        <v/>
      </c>
    </row>
    <row r="61" ht="14.25" customFormat="1" customHeight="1" s="180">
      <c r="A61" s="228" t="n"/>
      <c r="B61" s="228" t="n"/>
      <c r="C61" s="235" t="inlineStr">
        <is>
          <t>Итого по разделу «Материалы»</t>
        </is>
      </c>
      <c r="D61" s="228" t="n"/>
      <c r="E61" s="232" t="n"/>
      <c r="F61" s="233" t="n"/>
      <c r="G61" s="164">
        <f>G39+G60</f>
        <v/>
      </c>
      <c r="H61" s="234">
        <f>G61/$G$61</f>
        <v/>
      </c>
      <c r="I61" s="164" t="n"/>
      <c r="J61" s="164">
        <f>J39+J60</f>
        <v/>
      </c>
    </row>
    <row r="62" ht="14.25" customFormat="1" customHeight="1" s="180">
      <c r="A62" s="228" t="n"/>
      <c r="B62" s="228" t="n"/>
      <c r="C62" s="231" t="inlineStr">
        <is>
          <t>ИТОГО ПО РМ</t>
        </is>
      </c>
      <c r="D62" s="228" t="n"/>
      <c r="E62" s="232" t="n"/>
      <c r="F62" s="233" t="n"/>
      <c r="G62" s="164">
        <f>G15+G28+G61</f>
        <v/>
      </c>
      <c r="H62" s="236" t="n"/>
      <c r="I62" s="164" t="n"/>
      <c r="J62" s="164">
        <f>J15+J28+J61</f>
        <v/>
      </c>
    </row>
    <row r="63" ht="14.25" customFormat="1" customHeight="1" s="180">
      <c r="A63" s="228" t="n"/>
      <c r="B63" s="228" t="n"/>
      <c r="C63" s="231" t="inlineStr">
        <is>
          <t>Накладные расходы</t>
        </is>
      </c>
      <c r="D63" s="61" t="n">
        <v>1</v>
      </c>
      <c r="E63" s="232" t="n"/>
      <c r="F63" s="233" t="n"/>
      <c r="G63" s="164">
        <f>D63*($G$15+$G$17)</f>
        <v/>
      </c>
      <c r="H63" s="236" t="n"/>
      <c r="I63" s="164" t="n"/>
      <c r="J63" s="164">
        <f>ROUND(D63*(J15+J17),2)</f>
        <v/>
      </c>
    </row>
    <row r="64" ht="14.25" customFormat="1" customHeight="1" s="180">
      <c r="A64" s="228" t="n"/>
      <c r="B64" s="228" t="n"/>
      <c r="C64" s="231" t="inlineStr">
        <is>
          <t>Сметная прибыль</t>
        </is>
      </c>
      <c r="D64" s="61" t="n">
        <v>0.6899999999999999</v>
      </c>
      <c r="E64" s="232" t="n"/>
      <c r="F64" s="233" t="n"/>
      <c r="G64" s="164">
        <f>D64*($G$15+$G$17)</f>
        <v/>
      </c>
      <c r="H64" s="236" t="n"/>
      <c r="I64" s="164" t="n"/>
      <c r="J64" s="164">
        <f>ROUND(D64*(J15+J17),2)</f>
        <v/>
      </c>
    </row>
    <row r="65" ht="14.25" customFormat="1" customHeight="1" s="180">
      <c r="A65" s="228" t="n"/>
      <c r="B65" s="228" t="n"/>
      <c r="C65" s="231" t="inlineStr">
        <is>
          <t>Итого СМР (с НР и СП)</t>
        </is>
      </c>
      <c r="D65" s="228" t="n"/>
      <c r="E65" s="232" t="n"/>
      <c r="F65" s="233" t="n"/>
      <c r="G65" s="164">
        <f>ROUND((G15+G28+G61+G63+G64),2)</f>
        <v/>
      </c>
      <c r="H65" s="236" t="n"/>
      <c r="I65" s="164" t="n"/>
      <c r="J65" s="164">
        <f>ROUND((J15+J28+J61+J63+J64),2)</f>
        <v/>
      </c>
    </row>
    <row r="66" ht="14.25" customFormat="1" customHeight="1" s="180">
      <c r="A66" s="228" t="n"/>
      <c r="B66" s="228" t="n"/>
      <c r="C66" s="231" t="inlineStr">
        <is>
          <t>ВСЕГО СМР + ОБОРУДОВАНИЕ</t>
        </is>
      </c>
      <c r="D66" s="228" t="n"/>
      <c r="E66" s="232" t="n"/>
      <c r="F66" s="233" t="n"/>
      <c r="G66" s="164">
        <f>G65+G34</f>
        <v/>
      </c>
      <c r="H66" s="236" t="n"/>
      <c r="I66" s="164" t="n"/>
      <c r="J66" s="164">
        <f>J65+J34</f>
        <v/>
      </c>
    </row>
    <row r="67" ht="34.5" customFormat="1" customHeight="1" s="180">
      <c r="A67" s="228" t="n"/>
      <c r="B67" s="228" t="n"/>
      <c r="C67" s="231" t="inlineStr">
        <is>
          <t>ИТОГО ПОКАЗАТЕЛЬ НА ЕД. ИЗМ.</t>
        </is>
      </c>
      <c r="D67" s="228" t="inlineStr">
        <is>
          <t>ячейка</t>
        </is>
      </c>
      <c r="E67" s="232" t="n">
        <v>2</v>
      </c>
      <c r="F67" s="233" t="n"/>
      <c r="G67" s="164">
        <f>G66/E67</f>
        <v/>
      </c>
      <c r="H67" s="236" t="n"/>
      <c r="I67" s="164" t="n"/>
      <c r="J67" s="164">
        <f>J66/E67</f>
        <v/>
      </c>
    </row>
    <row r="69" ht="14.25" customFormat="1" customHeight="1" s="180">
      <c r="A69" s="179" t="inlineStr">
        <is>
          <t>Составил ______________________     Д.А. Самуйленко</t>
        </is>
      </c>
    </row>
    <row r="70" ht="14.25" customFormat="1" customHeight="1" s="180">
      <c r="A70" s="182" t="inlineStr">
        <is>
          <t xml:space="preserve">                         (подпись, инициалы, фамилия)</t>
        </is>
      </c>
    </row>
    <row r="71" ht="14.25" customFormat="1" customHeight="1" s="180">
      <c r="A71" s="179" t="n"/>
    </row>
    <row r="72" ht="14.25" customFormat="1" customHeight="1" s="180">
      <c r="A72" s="179" t="inlineStr">
        <is>
          <t>Проверил ______________________        А.В. Костянецкая</t>
        </is>
      </c>
    </row>
    <row r="73" ht="14.25" customFormat="1" customHeight="1" s="180">
      <c r="A73" s="182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C15" sqref="C15"/>
    </sheetView>
  </sheetViews>
  <sheetFormatPr baseColWidth="8" defaultRowHeight="14.4"/>
  <cols>
    <col width="5.6640625" customWidth="1" style="173" min="1" max="1"/>
    <col width="17.5546875" customWidth="1" style="173" min="2" max="2"/>
    <col width="39.109375" customWidth="1" style="173" min="3" max="3"/>
    <col width="10.6640625" customWidth="1" style="173" min="4" max="4"/>
    <col width="13.88671875" customWidth="1" style="173" min="5" max="5"/>
    <col width="13.33203125" customWidth="1" style="173" min="6" max="6"/>
    <col width="14.109375" customWidth="1" style="173" min="7" max="7"/>
  </cols>
  <sheetData>
    <row r="1">
      <c r="A1" s="242" t="inlineStr">
        <is>
          <t>Приложение №6</t>
        </is>
      </c>
    </row>
    <row r="2" ht="21.75" customHeight="1" s="173">
      <c r="A2" s="242" t="n"/>
      <c r="B2" s="242" t="n"/>
      <c r="C2" s="242" t="n"/>
      <c r="D2" s="242" t="n"/>
      <c r="E2" s="242" t="n"/>
      <c r="F2" s="242" t="n"/>
      <c r="G2" s="242" t="n"/>
    </row>
    <row r="3">
      <c r="A3" s="221" t="inlineStr">
        <is>
          <t>Расчет стоимости оборудования</t>
        </is>
      </c>
    </row>
    <row r="4">
      <c r="A4" s="243" t="inlineStr">
        <is>
          <t>Наименование разрабатываемого показателя УНЦ — Ячейка трансформатора малошумного энергоэффективного, двухобмоточного сухого 20 кВ, 100 кВА</t>
        </is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 ht="30.15" customHeight="1" s="173">
      <c r="A6" s="228" t="inlineStr">
        <is>
          <t>№ пп.</t>
        </is>
      </c>
      <c r="B6" s="228" t="inlineStr">
        <is>
          <t>Код ресурса</t>
        </is>
      </c>
      <c r="C6" s="228" t="inlineStr">
        <is>
          <t>Наименование</t>
        </is>
      </c>
      <c r="D6" s="228" t="inlineStr">
        <is>
          <t>Ед. изм.</t>
        </is>
      </c>
      <c r="E6" s="228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28" t="inlineStr">
        <is>
          <t>на ед. изм.</t>
        </is>
      </c>
      <c r="G7" s="228" t="inlineStr">
        <is>
          <t>общая</t>
        </is>
      </c>
    </row>
    <row r="8">
      <c r="A8" s="228" t="n">
        <v>1</v>
      </c>
      <c r="B8" s="228" t="n">
        <v>2</v>
      </c>
      <c r="C8" s="228" t="n">
        <v>3</v>
      </c>
      <c r="D8" s="228" t="n">
        <v>4</v>
      </c>
      <c r="E8" s="228" t="n">
        <v>5</v>
      </c>
      <c r="F8" s="228" t="n">
        <v>6</v>
      </c>
      <c r="G8" s="228" t="n">
        <v>7</v>
      </c>
    </row>
    <row r="9" ht="15" customHeight="1" s="173">
      <c r="A9" s="94" t="n"/>
      <c r="B9" s="231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73">
      <c r="A10" s="228" t="n"/>
      <c r="B10" s="235" t="n"/>
      <c r="C10" s="231" t="inlineStr">
        <is>
          <t>ИТОГО ИНЖЕНЕРНОЕ ОБОРУДОВАНИЕ</t>
        </is>
      </c>
      <c r="D10" s="235" t="n"/>
      <c r="E10" s="15" t="n"/>
      <c r="F10" s="233" t="n"/>
      <c r="G10" s="233" t="n">
        <v>0</v>
      </c>
    </row>
    <row r="11">
      <c r="A11" s="228" t="n"/>
      <c r="B11" s="231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25.5" customHeight="1" s="173">
      <c r="A12" s="228" t="n">
        <v>1</v>
      </c>
      <c r="B12" s="159">
        <f>'Прил.5 Расчет СМР и ОБ'!B31</f>
        <v/>
      </c>
      <c r="C12" s="231">
        <f>'Прил.5 Расчет СМР и ОБ'!C31</f>
        <v/>
      </c>
      <c r="D12" s="228">
        <f>'Прил.5 Расчет СМР и ОБ'!D31</f>
        <v/>
      </c>
      <c r="E12" s="185">
        <f>'Прил.5 Расчет СМР и ОБ'!E31</f>
        <v/>
      </c>
      <c r="F12" s="164">
        <f>'Прил.5 Расчет СМР и ОБ'!F31</f>
        <v/>
      </c>
      <c r="G12" s="164">
        <f>ROUND(E12*F12,2)</f>
        <v/>
      </c>
    </row>
    <row r="13" ht="25.5" customHeight="1" s="173">
      <c r="A13" s="228" t="n"/>
      <c r="B13" s="231" t="n"/>
      <c r="C13" s="231" t="inlineStr">
        <is>
          <t>ИТОГО ТЕХНОЛОГИЧЕСКОЕ ОБОРУДОВАНИЕ</t>
        </is>
      </c>
      <c r="D13" s="231" t="n"/>
      <c r="E13" s="247" t="n"/>
      <c r="F13" s="164" t="n"/>
      <c r="G13" s="164">
        <f>SUM(G12:G12)</f>
        <v/>
      </c>
    </row>
    <row r="14" ht="19.5" customHeight="1" s="173">
      <c r="A14" s="228" t="n"/>
      <c r="B14" s="231" t="n"/>
      <c r="C14" s="231" t="inlineStr">
        <is>
          <t>Всего по разделу «Оборудование»</t>
        </is>
      </c>
      <c r="D14" s="231" t="n"/>
      <c r="E14" s="247" t="n"/>
      <c r="F14" s="164" t="n"/>
      <c r="G14" s="164">
        <f>G10+G13</f>
        <v/>
      </c>
    </row>
    <row r="15">
      <c r="A15" s="181" t="n"/>
      <c r="B15" s="18" t="n"/>
      <c r="C15" s="181" t="n"/>
      <c r="D15" s="181" t="n"/>
      <c r="E15" s="181" t="n"/>
      <c r="F15" s="181" t="n"/>
      <c r="G15" s="181" t="n"/>
    </row>
    <row r="16">
      <c r="A16" s="179" t="inlineStr">
        <is>
          <t>Составил ______________________    Д.А. Самуйленко</t>
        </is>
      </c>
      <c r="B16" s="180" t="n"/>
      <c r="C16" s="180" t="n"/>
      <c r="D16" s="181" t="n"/>
      <c r="E16" s="181" t="n"/>
      <c r="F16" s="181" t="n"/>
      <c r="G16" s="181" t="n"/>
    </row>
    <row r="17">
      <c r="A17" s="182" t="inlineStr">
        <is>
          <t xml:space="preserve">                         (подпись, инициалы, фамилия)</t>
        </is>
      </c>
      <c r="B17" s="180" t="n"/>
      <c r="C17" s="180" t="n"/>
      <c r="D17" s="181" t="n"/>
      <c r="E17" s="181" t="n"/>
      <c r="F17" s="181" t="n"/>
      <c r="G17" s="181" t="n"/>
    </row>
    <row r="18">
      <c r="A18" s="179" t="n"/>
      <c r="B18" s="180" t="n"/>
      <c r="C18" s="180" t="n"/>
      <c r="D18" s="181" t="n"/>
      <c r="E18" s="181" t="n"/>
      <c r="F18" s="181" t="n"/>
      <c r="G18" s="181" t="n"/>
    </row>
    <row r="19">
      <c r="A19" s="179" t="inlineStr">
        <is>
          <t>Проверил ______________________        А.В. Костянецкая</t>
        </is>
      </c>
      <c r="B19" s="180" t="n"/>
      <c r="C19" s="180" t="n"/>
      <c r="D19" s="181" t="n"/>
      <c r="E19" s="181" t="n"/>
      <c r="F19" s="181" t="n"/>
      <c r="G19" s="181" t="n"/>
    </row>
    <row r="20">
      <c r="A20" s="182" t="inlineStr">
        <is>
          <t xml:space="preserve">                        (подпись, инициалы, фамилия)</t>
        </is>
      </c>
      <c r="B20" s="180" t="n"/>
      <c r="C20" s="180" t="n"/>
      <c r="D20" s="181" t="n"/>
      <c r="E20" s="181" t="n"/>
      <c r="F20" s="181" t="n"/>
      <c r="G20" s="18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3" min="1" max="1"/>
    <col width="16.44140625" customWidth="1" style="173" min="2" max="2"/>
    <col width="37.109375" customWidth="1" style="173" min="3" max="3"/>
    <col width="49" customWidth="1" style="173" min="4" max="4"/>
    <col width="9.109375" customWidth="1" style="173" min="5" max="5"/>
  </cols>
  <sheetData>
    <row r="1" ht="15.75" customHeight="1" s="173">
      <c r="A1" s="176" t="n"/>
      <c r="B1" s="176" t="n"/>
      <c r="C1" s="176" t="n"/>
      <c r="D1" s="176" t="inlineStr">
        <is>
          <t>Приложение №7</t>
        </is>
      </c>
    </row>
    <row r="2" ht="15.75" customHeight="1" s="173">
      <c r="A2" s="176" t="n"/>
      <c r="B2" s="176" t="n"/>
      <c r="C2" s="176" t="n"/>
      <c r="D2" s="176" t="n"/>
    </row>
    <row r="3" ht="15.75" customHeight="1" s="173">
      <c r="A3" s="176" t="n"/>
      <c r="B3" s="174" t="inlineStr">
        <is>
          <t>Расчет показателя УНЦ</t>
        </is>
      </c>
      <c r="C3" s="176" t="n"/>
      <c r="D3" s="176" t="n"/>
    </row>
    <row r="4" ht="15.75" customHeight="1" s="173">
      <c r="A4" s="176" t="n"/>
      <c r="B4" s="176" t="n"/>
      <c r="C4" s="176" t="n"/>
      <c r="D4" s="176" t="n"/>
    </row>
    <row r="5" ht="47.25" customHeight="1" s="173">
      <c r="A5" s="249" t="inlineStr">
        <is>
          <t xml:space="preserve">Наименование разрабатываемого показателя УНЦ - </t>
        </is>
      </c>
      <c r="D5" s="249">
        <f>'Прил.5 Расчет СМР и ОБ'!D6:J6</f>
        <v/>
      </c>
    </row>
    <row r="6" ht="15.75" customHeight="1" s="173">
      <c r="A6" s="176" t="inlineStr">
        <is>
          <t>Единица измерения  — 1 ячейка</t>
        </is>
      </c>
      <c r="B6" s="176" t="n"/>
      <c r="C6" s="176" t="n"/>
      <c r="D6" s="176" t="n"/>
    </row>
    <row r="7" ht="15.75" customHeight="1" s="173">
      <c r="A7" s="176" t="n"/>
      <c r="B7" s="176" t="n"/>
      <c r="C7" s="176" t="n"/>
      <c r="D7" s="176" t="n"/>
    </row>
    <row r="8">
      <c r="A8" s="208" t="inlineStr">
        <is>
          <t>Код показателя</t>
        </is>
      </c>
      <c r="B8" s="208" t="inlineStr">
        <is>
          <t>Наименование показателя</t>
        </is>
      </c>
      <c r="C8" s="208" t="inlineStr">
        <is>
          <t>Наименование РМ, входящих в состав показателя</t>
        </is>
      </c>
      <c r="D8" s="208" t="inlineStr">
        <is>
          <t>Норматив цены на 01.01.2023, тыс.руб.</t>
        </is>
      </c>
    </row>
    <row r="9">
      <c r="A9" s="254" t="n"/>
      <c r="B9" s="254" t="n"/>
      <c r="C9" s="254" t="n"/>
      <c r="D9" s="254" t="n"/>
    </row>
    <row r="10" ht="15.75" customHeight="1" s="173">
      <c r="A10" s="208" t="n">
        <v>1</v>
      </c>
      <c r="B10" s="208" t="n">
        <v>2</v>
      </c>
      <c r="C10" s="208" t="n">
        <v>3</v>
      </c>
      <c r="D10" s="208" t="n">
        <v>4</v>
      </c>
    </row>
    <row r="11" ht="63" customHeight="1" s="173">
      <c r="A11" s="208" t="inlineStr">
        <is>
          <t>Т5.2-05-4</t>
        </is>
      </c>
      <c r="B11" s="208" t="inlineStr">
        <is>
          <t xml:space="preserve">УНЦ ячейки трансформатора 6 - 35 кВ </t>
        </is>
      </c>
      <c r="C11" s="188">
        <f>D5</f>
        <v/>
      </c>
      <c r="D11" s="178">
        <f>'Прил.4 РМ'!C41/1000</f>
        <v/>
      </c>
    </row>
    <row r="13">
      <c r="A13" s="179" t="inlineStr">
        <is>
          <t>Составил ______________________    Д.А. Самуйленко</t>
        </is>
      </c>
      <c r="B13" s="180" t="n"/>
      <c r="C13" s="180" t="n"/>
      <c r="D13" s="181" t="n"/>
    </row>
    <row r="14">
      <c r="A14" s="182" t="inlineStr">
        <is>
          <t xml:space="preserve">                         (подпись, инициалы, фамилия)</t>
        </is>
      </c>
      <c r="B14" s="180" t="n"/>
      <c r="C14" s="180" t="n"/>
      <c r="D14" s="181" t="n"/>
    </row>
    <row r="15">
      <c r="A15" s="179" t="n"/>
      <c r="B15" s="180" t="n"/>
      <c r="C15" s="180" t="n"/>
      <c r="D15" s="181" t="n"/>
    </row>
    <row r="16">
      <c r="A16" s="179" t="inlineStr">
        <is>
          <t>Проверил ______________________        А.В. Костянецкая</t>
        </is>
      </c>
      <c r="B16" s="180" t="n"/>
      <c r="C16" s="180" t="n"/>
      <c r="D16" s="181" t="n"/>
    </row>
    <row r="17" ht="20.25" customHeight="1" s="173">
      <c r="A17" s="182" t="inlineStr">
        <is>
          <t xml:space="preserve">                        (подпись, инициалы, фамилия)</t>
        </is>
      </c>
      <c r="B17" s="180" t="n"/>
      <c r="C17" s="180" t="n"/>
      <c r="D17" s="18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3" min="1" max="1"/>
    <col width="40.6640625" customWidth="1" style="173" min="2" max="2"/>
    <col width="38.109375" customWidth="1" style="173" min="3" max="3"/>
    <col width="32" customWidth="1" style="173" min="4" max="4"/>
    <col width="9.109375" customWidth="1" style="173" min="5" max="5"/>
  </cols>
  <sheetData>
    <row r="4" ht="15.6" customHeight="1" s="173">
      <c r="B4" s="202" t="inlineStr">
        <is>
          <t>Приложение № 10</t>
        </is>
      </c>
    </row>
    <row r="5" ht="18" customHeight="1" s="173">
      <c r="B5" s="34" t="n"/>
    </row>
    <row r="6" ht="15.6" customHeight="1" s="173">
      <c r="B6" s="203" t="inlineStr">
        <is>
          <t>Используемые индексы изменений сметной стоимости и нормы сопутствующих затрат</t>
        </is>
      </c>
    </row>
    <row r="7">
      <c r="B7" s="250" t="n"/>
    </row>
    <row r="8">
      <c r="B8" s="250" t="n"/>
      <c r="C8" s="250" t="n"/>
      <c r="D8" s="250" t="n"/>
      <c r="E8" s="250" t="n"/>
    </row>
    <row r="9" ht="46.8" customHeight="1" s="173">
      <c r="B9" s="208" t="inlineStr">
        <is>
          <t>Наименование индекса / норм сопутствующих затрат</t>
        </is>
      </c>
      <c r="C9" s="208" t="inlineStr">
        <is>
          <t>Дата применения и обоснование индекса / норм сопутствующих затрат</t>
        </is>
      </c>
      <c r="D9" s="208" t="inlineStr">
        <is>
          <t>Размер индекса / норма сопутствующих затрат</t>
        </is>
      </c>
    </row>
    <row r="10" ht="15.6" customHeight="1" s="173">
      <c r="B10" s="208" t="n">
        <v>1</v>
      </c>
      <c r="C10" s="208" t="n">
        <v>2</v>
      </c>
      <c r="D10" s="208" t="n">
        <v>3</v>
      </c>
    </row>
    <row r="11" ht="31.2" customHeight="1" s="173">
      <c r="B11" s="208" t="inlineStr">
        <is>
          <t xml:space="preserve">Индекс изменения сметной стоимости на 1 квартал 2023 года. ОЗП </t>
        </is>
      </c>
      <c r="C11" s="208" t="inlineStr">
        <is>
          <t>Письмо Минстроя России от 30.03.2023г. №17106-ИФ/09  прил.1</t>
        </is>
      </c>
      <c r="D11" s="208" t="n">
        <v>44.29</v>
      </c>
    </row>
    <row r="12" ht="31.2" customHeight="1" s="173">
      <c r="B12" s="208" t="inlineStr">
        <is>
          <t>Индекс изменения сметной стоимости на 1 квартал 2023 года. ЭМ</t>
        </is>
      </c>
      <c r="C12" s="208" t="inlineStr">
        <is>
          <t>Письмо Минстроя России от 30.03.2023г. №17106-ИФ/09  прил.1</t>
        </is>
      </c>
      <c r="D12" s="208" t="n">
        <v>13.47</v>
      </c>
    </row>
    <row r="13" ht="31.2" customHeight="1" s="173">
      <c r="B13" s="208" t="inlineStr">
        <is>
          <t>Индекс изменения сметной стоимости на 1 квартал 2023 года. МАТ</t>
        </is>
      </c>
      <c r="C13" s="208" t="inlineStr">
        <is>
          <t>Письмо Минстроя России от 30.03.2023г. №17106-ИФ/09  прил.1</t>
        </is>
      </c>
      <c r="D13" s="208" t="n">
        <v>8.039999999999999</v>
      </c>
    </row>
    <row r="14" ht="31.2" customHeight="1" s="173">
      <c r="B14" s="208" t="inlineStr">
        <is>
          <t>Индекс изменения сметной стоимости на 1 квартал 2023 года. ОБ</t>
        </is>
      </c>
      <c r="C14" s="208" t="inlineStr">
        <is>
          <t>Письмо Минстроя России от 23.02.2023г. №9791-ИФ/09 прил.6</t>
        </is>
      </c>
      <c r="D14" s="208" t="n">
        <v>6.26</v>
      </c>
    </row>
    <row r="15" ht="78" customHeight="1" s="173">
      <c r="B15" s="208" t="inlineStr">
        <is>
          <t>Временные здания и сооружения</t>
        </is>
      </c>
      <c r="C15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3">
      <c r="B16" s="208" t="inlineStr">
        <is>
          <t>Дополнительные затраты при производстве строительно-монтажных работ в зимнее время</t>
        </is>
      </c>
      <c r="C16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3">
      <c r="B17" s="208" t="inlineStr">
        <is>
          <t>Пусконаладочные работы*</t>
        </is>
      </c>
      <c r="C17" s="208" t="n"/>
      <c r="D17" s="208" t="inlineStr">
        <is>
          <t>Расчет</t>
        </is>
      </c>
    </row>
    <row r="18" ht="31.2" customHeight="1" s="173">
      <c r="B18" s="208" t="inlineStr">
        <is>
          <t>Строительный контроль</t>
        </is>
      </c>
      <c r="C18" s="208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3">
      <c r="B19" s="208" t="inlineStr">
        <is>
          <t>Авторский надзор - 0,2%</t>
        </is>
      </c>
      <c r="C19" s="208" t="inlineStr">
        <is>
          <t>Приказ от 4.08.2020 № 421/пр п.173</t>
        </is>
      </c>
      <c r="D19" s="37" t="n">
        <v>0.002</v>
      </c>
    </row>
    <row r="20" ht="15.6" customHeight="1" s="173">
      <c r="B20" s="208" t="inlineStr">
        <is>
          <t>Непредвиденные расходы</t>
        </is>
      </c>
      <c r="C20" s="208" t="inlineStr">
        <is>
          <t>Приказ от 4.08.2020 № 421/пр п.179</t>
        </is>
      </c>
      <c r="D20" s="37" t="n">
        <v>0.03</v>
      </c>
    </row>
    <row r="21" ht="18" customHeight="1" s="173">
      <c r="B21" s="106" t="n"/>
    </row>
    <row r="22" ht="18" customHeight="1" s="173">
      <c r="B22" s="106" t="n"/>
    </row>
    <row r="23" ht="18" customHeight="1" s="173">
      <c r="B23" s="106" t="n"/>
    </row>
    <row r="24" ht="18" customHeight="1" s="173">
      <c r="B24" s="106" t="n"/>
    </row>
    <row r="26">
      <c r="B26" s="192" t="inlineStr">
        <is>
          <t>Составил ______________________    Д.А. Самуйленко</t>
        </is>
      </c>
    </row>
    <row r="27">
      <c r="B27" s="182" t="inlineStr">
        <is>
          <t xml:space="preserve">                         (подпись, инициалы, фамилия)</t>
        </is>
      </c>
      <c r="C27" s="180" t="n"/>
    </row>
    <row r="28">
      <c r="B28" s="179" t="n"/>
      <c r="C28" s="180" t="n"/>
    </row>
    <row r="29">
      <c r="B29" s="179" t="inlineStr">
        <is>
          <t>Проверил ______________________        А.В. Костянецкая</t>
        </is>
      </c>
      <c r="C29" s="180" t="n"/>
    </row>
    <row r="30">
      <c r="B30" s="182" t="inlineStr">
        <is>
          <t xml:space="preserve">                        (подпись, инициалы, фамилия)</t>
        </is>
      </c>
      <c r="C30" s="18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3" min="1" max="1"/>
    <col width="44.88671875" customWidth="1" style="173" min="2" max="2"/>
    <col width="13" customWidth="1" style="173" min="3" max="3"/>
    <col width="22.88671875" customWidth="1" style="173" min="4" max="4"/>
    <col width="21.5546875" customWidth="1" style="173" min="5" max="5"/>
    <col width="45.109375" bestFit="1" customWidth="1" style="173" min="6" max="6"/>
    <col width="9.109375" customWidth="1" style="173" min="7" max="7"/>
  </cols>
  <sheetData>
    <row r="2" ht="17.25" customHeight="1" s="173">
      <c r="A2" s="20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4" t="inlineStr">
        <is>
          <t>Составлен в уровне цен на 01.01.2023 г.</t>
        </is>
      </c>
      <c r="B4" s="176" t="n"/>
      <c r="C4" s="176" t="n"/>
      <c r="D4" s="176" t="n"/>
      <c r="E4" s="176" t="n"/>
      <c r="F4" s="176" t="n"/>
      <c r="G4" s="176" t="n"/>
    </row>
    <row r="5" ht="15.75" customHeight="1" s="17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6" t="n"/>
    </row>
    <row r="6" ht="15.75" customHeight="1" s="17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6" t="n"/>
    </row>
    <row r="7" ht="110.25" customHeight="1" s="17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8" t="inlineStr">
        <is>
          <t>С1ср</t>
        </is>
      </c>
      <c r="D7" s="208" t="inlineStr">
        <is>
          <t>-</t>
        </is>
      </c>
      <c r="E7" s="178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6" t="n"/>
    </row>
    <row r="8" ht="31.5" customHeight="1" s="17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8" t="inlineStr">
        <is>
          <t>tср</t>
        </is>
      </c>
      <c r="D8" s="208" t="inlineStr">
        <is>
          <t>1973ч/12мес.</t>
        </is>
      </c>
      <c r="E8" s="17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3">
      <c r="A9" s="27" t="inlineStr">
        <is>
          <t>1.3</t>
        </is>
      </c>
      <c r="B9" s="31" t="inlineStr">
        <is>
          <t>Коэффициент увеличения</t>
        </is>
      </c>
      <c r="C9" s="208" t="inlineStr">
        <is>
          <t>Кув</t>
        </is>
      </c>
      <c r="D9" s="208" t="inlineStr">
        <is>
          <t>-</t>
        </is>
      </c>
      <c r="E9" s="178" t="n">
        <v>1</v>
      </c>
      <c r="F9" s="31" t="n"/>
      <c r="G9" s="33" t="n"/>
    </row>
    <row r="10" ht="15.75" customHeight="1" s="173">
      <c r="A10" s="27" t="inlineStr">
        <is>
          <t>1.4</t>
        </is>
      </c>
      <c r="B10" s="31" t="inlineStr">
        <is>
          <t>Средний разряд работ</t>
        </is>
      </c>
      <c r="C10" s="208" t="n"/>
      <c r="D10" s="208" t="n"/>
      <c r="E10" s="262" t="n">
        <v>4</v>
      </c>
      <c r="F10" s="31" t="inlineStr">
        <is>
          <t>РТМ</t>
        </is>
      </c>
      <c r="G10" s="33" t="n"/>
    </row>
    <row r="11" ht="78.75" customHeight="1" s="17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8" t="inlineStr">
        <is>
          <t>КТ</t>
        </is>
      </c>
      <c r="D11" s="208" t="inlineStr">
        <is>
          <t>-</t>
        </is>
      </c>
      <c r="E11" s="263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6" t="n"/>
    </row>
    <row r="12" ht="78.75" customHeight="1" s="173">
      <c r="A12" s="193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64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3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2025-01-24T12:18:44Z</dcterms:modified>
  <cp:lastModifiedBy>user1</cp:lastModifiedBy>
</cp:coreProperties>
</file>