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8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8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5" fontId="4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8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B13" zoomScale="60" zoomScaleNormal="70" workbookViewId="0">
      <selection activeCell="C28" sqref="C28"/>
    </sheetView>
  </sheetViews>
  <sheetFormatPr baseColWidth="8" defaultColWidth="9.109375" defaultRowHeight="15.6"/>
  <cols>
    <col width="9.109375" customWidth="1" style="169" min="1" max="2"/>
    <col width="51.6640625" customWidth="1" style="169" min="3" max="3"/>
    <col width="47" customWidth="1" style="169" min="4" max="4"/>
    <col width="37.44140625" customWidth="1" style="169" min="5" max="5"/>
    <col width="9.109375" customWidth="1" style="169" min="6" max="6"/>
  </cols>
  <sheetData>
    <row r="3">
      <c r="B3" s="197" t="inlineStr">
        <is>
          <t>Приложение № 1</t>
        </is>
      </c>
    </row>
    <row r="4">
      <c r="B4" s="198" t="inlineStr">
        <is>
          <t>Сравнительная таблица отбора объекта-представителя</t>
        </is>
      </c>
    </row>
    <row r="5" ht="84.15000000000001" customHeight="1" s="166">
      <c r="B5" s="20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6">
      <c r="B6" s="104" t="n"/>
      <c r="C6" s="104" t="n"/>
      <c r="D6" s="104" t="n"/>
    </row>
    <row r="7" ht="36.75" customHeight="1" s="166">
      <c r="B7" s="199" t="inlineStr">
        <is>
          <t>Наименование разрабатываемого показателя УНЦ - Ячейка трансформатора малошумного энергоэффективного, двухобмоточного сухого 20 кВ, 630 кВА</t>
        </is>
      </c>
    </row>
    <row r="8">
      <c r="B8" s="199" t="inlineStr">
        <is>
          <t>Сопоставимый уровень цен: 4 квартал 2013 года</t>
        </is>
      </c>
    </row>
    <row r="9" ht="15.75" customHeight="1" s="166">
      <c r="B9" s="199" t="inlineStr">
        <is>
          <t>Единица измерения  — 1 ячейка</t>
        </is>
      </c>
    </row>
    <row r="10">
      <c r="B10" s="199" t="n"/>
    </row>
    <row r="11">
      <c r="B11" s="201" t="inlineStr">
        <is>
          <t>№ п/п</t>
        </is>
      </c>
      <c r="C11" s="201" t="inlineStr">
        <is>
          <t>Параметр</t>
        </is>
      </c>
      <c r="D11" s="201" t="inlineStr">
        <is>
          <t xml:space="preserve">Объект-представитель </t>
        </is>
      </c>
      <c r="E11" s="82" t="n"/>
    </row>
    <row r="12" ht="31.5" customHeight="1" s="166">
      <c r="B12" s="201" t="n">
        <v>1</v>
      </c>
      <c r="C12" s="209" t="inlineStr">
        <is>
          <t>Наименование объекта-представителя</t>
        </is>
      </c>
      <c r="D12" s="201" t="inlineStr">
        <is>
          <t>ПС 220 кВ Губернская (МЭС Западной Сибири)</t>
        </is>
      </c>
    </row>
    <row r="13">
      <c r="B13" s="201" t="n">
        <v>2</v>
      </c>
      <c r="C13" s="209" t="inlineStr">
        <is>
          <t>Наименование субъекта Российской Федерации</t>
        </is>
      </c>
      <c r="D13" s="201" t="inlineStr">
        <is>
          <t>Тюменская обл.</t>
        </is>
      </c>
    </row>
    <row r="14">
      <c r="B14" s="201" t="n">
        <v>3</v>
      </c>
      <c r="C14" s="209" t="inlineStr">
        <is>
          <t>Климатический район и подрайон</t>
        </is>
      </c>
      <c r="D14" s="182" t="inlineStr">
        <is>
          <t>IВ</t>
        </is>
      </c>
    </row>
    <row r="15">
      <c r="B15" s="201" t="n">
        <v>4</v>
      </c>
      <c r="C15" s="209" t="inlineStr">
        <is>
          <t>Мощность объекта</t>
        </is>
      </c>
      <c r="D15" s="201" t="n">
        <v>2</v>
      </c>
    </row>
    <row r="16" ht="63" customHeight="1" s="166">
      <c r="B16" s="201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1" t="inlineStr">
        <is>
          <t>Трансформатор ТСЗ 20 кВ 630 кВА</t>
        </is>
      </c>
    </row>
    <row r="17" ht="63" customHeight="1" s="166">
      <c r="B17" s="201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6">
        <f>D18+D19+D20+D21</f>
        <v/>
      </c>
      <c r="E17" s="103" t="n"/>
    </row>
    <row r="18">
      <c r="B18" s="81" t="inlineStr">
        <is>
          <t>6.1</t>
        </is>
      </c>
      <c r="C18" s="209" t="inlineStr">
        <is>
          <t>строительно-монтажные работы</t>
        </is>
      </c>
      <c r="D18" s="176" t="n">
        <v>1044.59</v>
      </c>
    </row>
    <row r="19" ht="15.75" customHeight="1" s="166">
      <c r="B19" s="81" t="inlineStr">
        <is>
          <t>6.2</t>
        </is>
      </c>
      <c r="C19" s="209" t="inlineStr">
        <is>
          <t>оборудование и инвентарь</t>
        </is>
      </c>
      <c r="D19" s="176" t="n">
        <v>622.0599999999999</v>
      </c>
    </row>
    <row r="20" ht="16.5" customHeight="1" s="166">
      <c r="B20" s="81" t="inlineStr">
        <is>
          <t>6.3</t>
        </is>
      </c>
      <c r="C20" s="209" t="inlineStr">
        <is>
          <t>пусконаладочные работы</t>
        </is>
      </c>
      <c r="D20" s="176" t="n"/>
    </row>
    <row r="21">
      <c r="B21" s="81" t="inlineStr">
        <is>
          <t>6.4</t>
        </is>
      </c>
      <c r="C21" s="80" t="inlineStr">
        <is>
          <t>прочие и лимитированные затраты</t>
        </is>
      </c>
      <c r="D21" s="176" t="n">
        <v>206.98</v>
      </c>
    </row>
    <row r="22">
      <c r="B22" s="201" t="n">
        <v>7</v>
      </c>
      <c r="C22" s="80" t="inlineStr">
        <is>
          <t>Сопоставимый уровень цен</t>
        </is>
      </c>
      <c r="D22" s="119" t="inlineStr">
        <is>
          <t>4 квартал 2013 года</t>
        </is>
      </c>
      <c r="E22" s="78" t="n"/>
    </row>
    <row r="23" ht="78.75" customHeight="1" s="166">
      <c r="B23" s="201" t="n">
        <v>8</v>
      </c>
      <c r="C23" s="7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6">
        <f>D17</f>
        <v/>
      </c>
      <c r="E23" s="103" t="n"/>
    </row>
    <row r="24" ht="31.5" customHeight="1" s="166">
      <c r="B24" s="201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76">
        <f>D23/D15</f>
        <v/>
      </c>
      <c r="E24" s="78" t="n"/>
    </row>
    <row r="25">
      <c r="B25" s="201" t="n">
        <v>10</v>
      </c>
      <c r="C25" s="209" t="inlineStr">
        <is>
          <t>Примечание</t>
        </is>
      </c>
      <c r="D25" s="201" t="n"/>
    </row>
    <row r="26">
      <c r="B26" s="76" t="n"/>
      <c r="C26" s="75" t="n"/>
      <c r="D26" s="75" t="n"/>
    </row>
    <row r="27" ht="37.5" customHeight="1" s="166">
      <c r="B27" s="74" t="n"/>
    </row>
    <row r="28">
      <c r="B28" s="169" t="inlineStr">
        <is>
          <t>Составил ______________________    Д.А. Самуйленко</t>
        </is>
      </c>
    </row>
    <row r="29">
      <c r="B29" s="74" t="inlineStr">
        <is>
          <t xml:space="preserve">                         (подпись, инициалы, фамилия)</t>
        </is>
      </c>
    </row>
    <row r="31">
      <c r="B31" s="169" t="inlineStr">
        <is>
          <t>Проверил ______________________        А.В. Костянецкая</t>
        </is>
      </c>
    </row>
    <row r="32">
      <c r="B32" s="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85" zoomScaleNormal="70" workbookViewId="0">
      <selection activeCell="C17" sqref="C17"/>
    </sheetView>
  </sheetViews>
  <sheetFormatPr baseColWidth="8" defaultColWidth="9.109375" defaultRowHeight="15.6"/>
  <cols>
    <col width="5.5546875" customWidth="1" style="169" min="1" max="1"/>
    <col width="9.109375" customWidth="1" style="169" min="2" max="2"/>
    <col width="35.33203125" customWidth="1" style="169" min="3" max="3"/>
    <col width="13.88671875" customWidth="1" style="169" min="4" max="4"/>
    <col width="24.88671875" customWidth="1" style="169" min="5" max="5"/>
    <col width="15.5546875" customWidth="1" style="169" min="6" max="6"/>
    <col width="14.88671875" customWidth="1" style="169" min="7" max="7"/>
    <col width="16.6640625" customWidth="1" style="169" min="8" max="8"/>
    <col width="13" customWidth="1" style="169" min="9" max="10"/>
    <col width="18" customWidth="1" style="169" min="11" max="11"/>
    <col width="9.109375" customWidth="1" style="169" min="12" max="12"/>
  </cols>
  <sheetData>
    <row r="3">
      <c r="B3" s="197" t="inlineStr">
        <is>
          <t>Приложение № 2</t>
        </is>
      </c>
      <c r="K3" s="74" t="n"/>
    </row>
    <row r="4">
      <c r="B4" s="198" t="inlineStr">
        <is>
          <t>Расчет стоимости основных видов работ для выбора объекта-представителя</t>
        </is>
      </c>
    </row>
    <row r="5">
      <c r="B5" s="213" t="n"/>
      <c r="C5" s="213" t="n"/>
      <c r="D5" s="213" t="n"/>
      <c r="E5" s="213" t="n"/>
      <c r="F5" s="213" t="n"/>
      <c r="G5" s="213" t="n"/>
      <c r="H5" s="213" t="n"/>
      <c r="I5" s="213" t="n"/>
      <c r="J5" s="213" t="n"/>
      <c r="K5" s="213" t="n"/>
    </row>
    <row r="6" ht="29.25" customHeight="1" s="166">
      <c r="B6" s="199">
        <f>'Прил.1 Сравнит табл'!B7:D7</f>
        <v/>
      </c>
    </row>
    <row r="7">
      <c r="B7" s="199">
        <f>'Прил.1 Сравнит табл'!B9:D9</f>
        <v/>
      </c>
    </row>
    <row r="8" ht="18.75" customHeight="1" s="166">
      <c r="B8" s="105" t="n"/>
    </row>
    <row r="9" ht="15.75" customHeight="1" s="166">
      <c r="B9" s="201" t="inlineStr">
        <is>
          <t>№ п/п</t>
        </is>
      </c>
      <c r="C9" s="20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1" t="inlineStr">
        <is>
          <t>Объект-представитель 1</t>
        </is>
      </c>
      <c r="E9" s="246" t="n"/>
      <c r="F9" s="246" t="n"/>
      <c r="G9" s="246" t="n"/>
      <c r="H9" s="246" t="n"/>
      <c r="I9" s="246" t="n"/>
      <c r="J9" s="247" t="n"/>
    </row>
    <row r="10" ht="15.75" customHeight="1" s="166">
      <c r="B10" s="248" t="n"/>
      <c r="C10" s="248" t="n"/>
      <c r="D10" s="201" t="inlineStr">
        <is>
          <t>Номер сметы</t>
        </is>
      </c>
      <c r="E10" s="201" t="inlineStr">
        <is>
          <t>Наименование сметы</t>
        </is>
      </c>
      <c r="F10" s="201" t="inlineStr">
        <is>
          <t>Сметная стоимость в уровне цен 4 кв. 2013 г., тыс. руб.</t>
        </is>
      </c>
      <c r="G10" s="246" t="n"/>
      <c r="H10" s="246" t="n"/>
      <c r="I10" s="246" t="n"/>
      <c r="J10" s="247" t="n"/>
    </row>
    <row r="11" ht="31.5" customHeight="1" s="166">
      <c r="B11" s="249" t="n"/>
      <c r="C11" s="249" t="n"/>
      <c r="D11" s="249" t="n"/>
      <c r="E11" s="249" t="n"/>
      <c r="F11" s="201" t="inlineStr">
        <is>
          <t>Строительные работы</t>
        </is>
      </c>
      <c r="G11" s="201" t="inlineStr">
        <is>
          <t>Монтажные работы</t>
        </is>
      </c>
      <c r="H11" s="201" t="inlineStr">
        <is>
          <t>Оборудование</t>
        </is>
      </c>
      <c r="I11" s="201" t="inlineStr">
        <is>
          <t>Прочее</t>
        </is>
      </c>
      <c r="J11" s="201" t="inlineStr">
        <is>
          <t>Всего</t>
        </is>
      </c>
    </row>
    <row r="12" ht="78.75" customHeight="1" s="166">
      <c r="B12" s="182" t="n">
        <v>1</v>
      </c>
      <c r="C12" s="201" t="inlineStr">
        <is>
          <t>Трансформатор ТСЗ 20 кВ 630 кВА</t>
        </is>
      </c>
      <c r="D12" s="182" t="inlineStr">
        <is>
          <t>02-18-11, изм.1 (Зам.)</t>
        </is>
      </c>
      <c r="E12" s="182" t="inlineStr">
        <is>
          <t xml:space="preserve">Трансформаторы Т1, Т2. Электротехнические решения. Установка оборудования </t>
        </is>
      </c>
      <c r="F12" s="183">
        <f>155677*6.71/1000</f>
        <v/>
      </c>
      <c r="G12" s="183" t="n"/>
      <c r="H12" s="183">
        <f>157883*3.94/1000</f>
        <v/>
      </c>
      <c r="I12" s="183">
        <f>26741*7.74/1000</f>
        <v/>
      </c>
      <c r="J12" s="183">
        <f>SUM(F12:I12)</f>
        <v/>
      </c>
    </row>
    <row r="13" ht="15" customHeight="1" s="166">
      <c r="B13" s="202" t="inlineStr">
        <is>
          <t>Всего по объекту:</t>
        </is>
      </c>
      <c r="C13" s="250" t="n"/>
      <c r="D13" s="250" t="n"/>
      <c r="E13" s="251" t="n"/>
      <c r="F13" s="184">
        <f>SUM(F12)</f>
        <v/>
      </c>
      <c r="G13" s="184" t="n"/>
      <c r="H13" s="184">
        <f>SUM(H12)</f>
        <v/>
      </c>
      <c r="I13" s="184">
        <f>SUM(I12)</f>
        <v/>
      </c>
      <c r="J13" s="184">
        <f>SUM(J12)</f>
        <v/>
      </c>
    </row>
    <row r="14" ht="15.75" customHeight="1" s="166">
      <c r="B14" s="203" t="inlineStr">
        <is>
          <t>Всего по объекту в сопоставимом уровне цен 4 кв. 2013 г:</t>
        </is>
      </c>
      <c r="C14" s="246" t="n"/>
      <c r="D14" s="246" t="n"/>
      <c r="E14" s="247" t="n"/>
      <c r="F14" s="185">
        <f>F13</f>
        <v/>
      </c>
      <c r="G14" s="185" t="n"/>
      <c r="H14" s="185">
        <f>H13</f>
        <v/>
      </c>
      <c r="I14" s="185">
        <f>I13</f>
        <v/>
      </c>
      <c r="J14" s="185">
        <f>J13</f>
        <v/>
      </c>
    </row>
    <row r="15" ht="15" customHeight="1" s="166"/>
    <row r="16" ht="15" customHeight="1" s="166"/>
    <row r="17" ht="15" customHeight="1" s="166"/>
    <row r="18" ht="15" customHeight="1" s="166">
      <c r="C18" s="172" t="inlineStr">
        <is>
          <t>Составил ______________________     Д.А. Самуйленко</t>
        </is>
      </c>
      <c r="D18" s="173" t="n"/>
      <c r="E18" s="173" t="n"/>
    </row>
    <row r="19" ht="15" customHeight="1" s="166">
      <c r="C19" s="175" t="inlineStr">
        <is>
          <t xml:space="preserve">                         (подпись, инициалы, фамилия)</t>
        </is>
      </c>
      <c r="D19" s="173" t="n"/>
      <c r="E19" s="173" t="n"/>
    </row>
    <row r="20" ht="15" customHeight="1" s="166">
      <c r="C20" s="172" t="n"/>
      <c r="D20" s="173" t="n"/>
      <c r="E20" s="173" t="n"/>
    </row>
    <row r="21" ht="15" customHeight="1" s="166">
      <c r="C21" s="172" t="inlineStr">
        <is>
          <t>Проверил ______________________        А.В. Костянецкая</t>
        </is>
      </c>
      <c r="D21" s="173" t="n"/>
      <c r="E21" s="173" t="n"/>
    </row>
    <row r="22" ht="15" customHeight="1" s="166">
      <c r="C22" s="175" t="inlineStr">
        <is>
          <t xml:space="preserve">                        (подпись, инициалы, фамилия)</t>
        </is>
      </c>
      <c r="D22" s="173" t="n"/>
      <c r="E22" s="173" t="n"/>
    </row>
    <row r="23" ht="15" customHeight="1" s="166"/>
    <row r="24" ht="15" customHeight="1" s="166"/>
    <row r="25" ht="15" customHeight="1" s="166"/>
    <row r="26" ht="15" customHeight="1" s="166"/>
    <row r="27" ht="15" customHeight="1" s="166"/>
    <row r="28" ht="15" customHeight="1" s="166"/>
  </sheetData>
  <mergeCells count="12">
    <mergeCell ref="B3:J3"/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3" zoomScale="85" workbookViewId="0">
      <selection activeCell="B61" sqref="B61"/>
    </sheetView>
  </sheetViews>
  <sheetFormatPr baseColWidth="8" defaultColWidth="9.109375" defaultRowHeight="15.6"/>
  <cols>
    <col width="9.109375" customWidth="1" style="169" min="1" max="1"/>
    <col width="12.5546875" customWidth="1" style="169" min="2" max="2"/>
    <col width="22.44140625" customWidth="1" style="169" min="3" max="3"/>
    <col width="49.6640625" customWidth="1" style="169" min="4" max="4"/>
    <col width="10.109375" customWidth="1" style="169" min="5" max="5"/>
    <col width="20.6640625" customWidth="1" style="169" min="6" max="6"/>
    <col width="20" customWidth="1" style="169" min="7" max="7"/>
    <col width="16.6640625" customWidth="1" style="169" min="8" max="8"/>
    <col width="9.109375" customWidth="1" style="169" min="9" max="10"/>
    <col width="15" customWidth="1" style="169" min="11" max="11"/>
    <col width="9.109375" customWidth="1" style="169" min="12" max="12"/>
  </cols>
  <sheetData>
    <row r="2">
      <c r="A2" s="197" t="inlineStr">
        <is>
          <t xml:space="preserve">Приложение № 3 </t>
        </is>
      </c>
    </row>
    <row r="3">
      <c r="A3" s="198" t="inlineStr">
        <is>
          <t>Объектная ресурсная ведомость</t>
        </is>
      </c>
    </row>
    <row r="4" ht="18.75" customHeight="1" s="166">
      <c r="A4" s="110" t="n"/>
      <c r="B4" s="110" t="n"/>
      <c r="C4" s="215" t="n"/>
    </row>
    <row r="5">
      <c r="A5" s="199" t="n"/>
    </row>
    <row r="6">
      <c r="A6" s="213" t="inlineStr">
        <is>
          <t>Наименование разрабатываемого показателя УНЦ -  Ячейка трансформатора малошумного энергоэффективного, двухобмоточного сухого 20 кВ, 630 кВА</t>
        </is>
      </c>
    </row>
    <row r="7">
      <c r="A7" s="84" t="n"/>
      <c r="B7" s="84" t="n"/>
      <c r="C7" s="84" t="n"/>
      <c r="D7" s="84" t="n"/>
      <c r="E7" s="84" t="n"/>
      <c r="F7" s="84" t="n"/>
      <c r="G7" s="84" t="n"/>
      <c r="H7" s="84" t="n"/>
    </row>
    <row r="8" ht="38.25" customHeight="1" s="166">
      <c r="A8" s="201" t="inlineStr">
        <is>
          <t>п/п</t>
        </is>
      </c>
      <c r="B8" s="201" t="inlineStr">
        <is>
          <t>№ЛСР</t>
        </is>
      </c>
      <c r="C8" s="201" t="inlineStr">
        <is>
          <t>Код ресурса</t>
        </is>
      </c>
      <c r="D8" s="201" t="inlineStr">
        <is>
          <t>Наименование ресурса</t>
        </is>
      </c>
      <c r="E8" s="201" t="inlineStr">
        <is>
          <t>Ед. изм.</t>
        </is>
      </c>
      <c r="F8" s="201" t="inlineStr">
        <is>
          <t>Кол-во единиц по данным объекта-представителя</t>
        </is>
      </c>
      <c r="G8" s="201" t="inlineStr">
        <is>
          <t>Сметная стоимость в ценах на 01.01.2000 (руб.)</t>
        </is>
      </c>
      <c r="H8" s="247" t="n"/>
    </row>
    <row r="9" ht="40.65" customHeight="1" s="166">
      <c r="A9" s="249" t="n"/>
      <c r="B9" s="249" t="n"/>
      <c r="C9" s="249" t="n"/>
      <c r="D9" s="249" t="n"/>
      <c r="E9" s="249" t="n"/>
      <c r="F9" s="249" t="n"/>
      <c r="G9" s="201" t="inlineStr">
        <is>
          <t>на ед.изм.</t>
        </is>
      </c>
      <c r="H9" s="201" t="inlineStr">
        <is>
          <t>общая</t>
        </is>
      </c>
    </row>
    <row r="10">
      <c r="A10" s="88" t="n">
        <v>1</v>
      </c>
      <c r="B10" s="88" t="n"/>
      <c r="C10" s="88" t="n">
        <v>2</v>
      </c>
      <c r="D10" s="88" t="inlineStr">
        <is>
          <t>З</t>
        </is>
      </c>
      <c r="E10" s="88" t="n">
        <v>4</v>
      </c>
      <c r="F10" s="88" t="n">
        <v>5</v>
      </c>
      <c r="G10" s="88" t="n">
        <v>6</v>
      </c>
      <c r="H10" s="88" t="n">
        <v>7</v>
      </c>
    </row>
    <row r="11" customFormat="1" s="167">
      <c r="A11" s="207" t="inlineStr">
        <is>
          <t>Затраты труда рабочих</t>
        </is>
      </c>
      <c r="B11" s="246" t="n"/>
      <c r="C11" s="246" t="n"/>
      <c r="D11" s="246" t="n"/>
      <c r="E11" s="247" t="n"/>
      <c r="F11" s="252">
        <f>SUM(F12:F12)</f>
        <v/>
      </c>
      <c r="G11" s="107" t="n"/>
      <c r="H11" s="252">
        <f>SUM(H12:H12)</f>
        <v/>
      </c>
    </row>
    <row r="12">
      <c r="A12" s="186" t="n">
        <v>1</v>
      </c>
      <c r="B12" s="125" t="n"/>
      <c r="C12" s="186" t="inlineStr">
        <is>
          <t>1-4-0</t>
        </is>
      </c>
      <c r="D12" s="219" t="inlineStr">
        <is>
          <t>Затраты труда рабочих (средний разряд работы 4,0)</t>
        </is>
      </c>
      <c r="E12" s="220" t="inlineStr">
        <is>
          <t>чел.-ч</t>
        </is>
      </c>
      <c r="F12" s="177" t="n">
        <v>32.378972378972</v>
      </c>
      <c r="G12" s="242" t="n">
        <v>9.619999999999999</v>
      </c>
      <c r="H12" s="154">
        <f>ROUND(F12*G12,2)</f>
        <v/>
      </c>
    </row>
    <row r="13" ht="15.75" customHeight="1" s="166">
      <c r="A13" s="214" t="inlineStr">
        <is>
          <t>Затраты труда машинистов</t>
        </is>
      </c>
      <c r="B13" s="246" t="n"/>
      <c r="C13" s="246" t="n"/>
      <c r="D13" s="246" t="n"/>
      <c r="E13" s="247" t="n"/>
      <c r="F13" s="87" t="n"/>
      <c r="G13" s="86" t="n"/>
      <c r="H13" s="252">
        <f>H14</f>
        <v/>
      </c>
    </row>
    <row r="14">
      <c r="A14" s="220" t="n">
        <v>2</v>
      </c>
      <c r="B14" s="208" t="n"/>
      <c r="C14" s="186" t="n">
        <v>2</v>
      </c>
      <c r="D14" s="219" t="inlineStr">
        <is>
          <t>Затраты труда машинистов</t>
        </is>
      </c>
      <c r="E14" s="220" t="inlineStr">
        <is>
          <t>чел.-ч</t>
        </is>
      </c>
      <c r="F14" s="177" t="n">
        <v>10.301098901099</v>
      </c>
      <c r="G14" s="154" t="n">
        <v>0</v>
      </c>
      <c r="H14" s="222" t="n">
        <v>128.86</v>
      </c>
    </row>
    <row r="15" customFormat="1" s="167">
      <c r="A15" s="207" t="inlineStr">
        <is>
          <t>Машины и механизмы</t>
        </is>
      </c>
      <c r="B15" s="246" t="n"/>
      <c r="C15" s="246" t="n"/>
      <c r="D15" s="246" t="n"/>
      <c r="E15" s="247" t="n"/>
      <c r="F15" s="87" t="n"/>
      <c r="G15" s="86" t="n"/>
      <c r="H15" s="252">
        <f>SUM(H16:H21)</f>
        <v/>
      </c>
    </row>
    <row r="16">
      <c r="A16" s="220" t="n">
        <v>3</v>
      </c>
      <c r="B16" s="208" t="n"/>
      <c r="C16" s="186" t="inlineStr">
        <is>
          <t>91.06.09-001</t>
        </is>
      </c>
      <c r="D16" s="219" t="inlineStr">
        <is>
          <t>Вышки телескопические 25 м</t>
        </is>
      </c>
      <c r="E16" s="220" t="inlineStr">
        <is>
          <t>маш.-ч</t>
        </is>
      </c>
      <c r="F16" s="253" t="n">
        <v>3.8769230769231</v>
      </c>
      <c r="G16" s="222" t="n">
        <v>142.7</v>
      </c>
      <c r="H16" s="222">
        <f>ROUND(F16*G16,2)</f>
        <v/>
      </c>
      <c r="I16" s="112" t="n"/>
      <c r="J16" s="111" t="n"/>
      <c r="L16" s="112" t="n"/>
    </row>
    <row r="17" ht="25.5" customFormat="1" customHeight="1" s="167">
      <c r="A17" s="220" t="n">
        <v>4</v>
      </c>
      <c r="B17" s="208" t="n"/>
      <c r="C17" s="186" t="inlineStr">
        <is>
          <t>91.05.05-014</t>
        </is>
      </c>
      <c r="D17" s="219" t="inlineStr">
        <is>
          <t>Краны на автомобильном ходу, грузоподъемность 10 т</t>
        </is>
      </c>
      <c r="E17" s="220" t="inlineStr">
        <is>
          <t>маш.-ч</t>
        </is>
      </c>
      <c r="F17" s="253" t="n">
        <v>2.6842197802198</v>
      </c>
      <c r="G17" s="222" t="n">
        <v>111.99</v>
      </c>
      <c r="H17" s="222">
        <f>ROUND(F17*G17,2)</f>
        <v/>
      </c>
      <c r="I17" s="112" t="n"/>
      <c r="L17" s="112" t="n"/>
    </row>
    <row r="18">
      <c r="A18" s="220" t="n">
        <v>5</v>
      </c>
      <c r="B18" s="208" t="n"/>
      <c r="C18" s="186" t="inlineStr">
        <is>
          <t>91.14.02-002</t>
        </is>
      </c>
      <c r="D18" s="219" t="inlineStr">
        <is>
          <t>Автомобили бортовые, грузоподъемность до 8 т</t>
        </is>
      </c>
      <c r="E18" s="220" t="inlineStr">
        <is>
          <t>маш.-ч</t>
        </is>
      </c>
      <c r="F18" s="253" t="n">
        <v>1.7347692307692</v>
      </c>
      <c r="G18" s="222" t="n">
        <v>85.84</v>
      </c>
      <c r="H18" s="222">
        <f>ROUND(F18*G18,2)</f>
        <v/>
      </c>
      <c r="I18" s="112" t="n"/>
      <c r="L18" s="112" t="n"/>
    </row>
    <row r="19">
      <c r="A19" s="220" t="n">
        <v>6</v>
      </c>
      <c r="B19" s="208" t="n"/>
      <c r="C19" s="186" t="inlineStr">
        <is>
          <t>91.21.22-491</t>
        </is>
      </c>
      <c r="D19" s="219" t="inlineStr">
        <is>
          <t>Шинотрубогибы</t>
        </is>
      </c>
      <c r="E19" s="220" t="inlineStr">
        <is>
          <t>маш.-ч</t>
        </is>
      </c>
      <c r="F19" s="253" t="n">
        <v>2.0043956043956</v>
      </c>
      <c r="G19" s="222" t="n">
        <v>15.24</v>
      </c>
      <c r="H19" s="222">
        <f>ROUND(F19*G19,2)</f>
        <v/>
      </c>
      <c r="I19" s="112" t="n"/>
      <c r="L19" s="112" t="n"/>
    </row>
    <row r="20" ht="25.5" customHeight="1" s="166">
      <c r="A20" s="220" t="n">
        <v>7</v>
      </c>
      <c r="B20" s="208" t="n"/>
      <c r="C20" s="186" t="inlineStr">
        <is>
          <t>91.17.04-233</t>
        </is>
      </c>
      <c r="D20" s="219" t="inlineStr">
        <is>
          <t>Установки для сварки ручной дуговой (постоянного тока)</t>
        </is>
      </c>
      <c r="E20" s="220" t="inlineStr">
        <is>
          <t>маш.-ч</t>
        </is>
      </c>
      <c r="F20" s="253" t="n">
        <v>1.7643956043956</v>
      </c>
      <c r="G20" s="222" t="n">
        <v>8.1</v>
      </c>
      <c r="H20" s="222">
        <f>ROUND(F20*G20,2)</f>
        <v/>
      </c>
      <c r="I20" s="112" t="n"/>
      <c r="L20" s="112" t="n"/>
    </row>
    <row r="21">
      <c r="A21" s="220" t="n">
        <v>8</v>
      </c>
      <c r="B21" s="208" t="n"/>
      <c r="C21" s="186" t="inlineStr">
        <is>
          <t>91.21.19-031</t>
        </is>
      </c>
      <c r="D21" s="219" t="inlineStr">
        <is>
          <t>Станок сверлильный</t>
        </is>
      </c>
      <c r="E21" s="220" t="inlineStr">
        <is>
          <t>маш.-ч</t>
        </is>
      </c>
      <c r="F21" s="253" t="n">
        <v>0.18567032967033</v>
      </c>
      <c r="G21" s="222" t="n">
        <v>2.36</v>
      </c>
      <c r="H21" s="222">
        <f>ROUND(F21*G21,2)</f>
        <v/>
      </c>
      <c r="I21" s="112" t="n"/>
      <c r="L21" s="112" t="n"/>
    </row>
    <row r="22" ht="15" customHeight="1" s="166">
      <c r="A22" s="214" t="inlineStr">
        <is>
          <t>Оборудование</t>
        </is>
      </c>
      <c r="B22" s="246" t="n"/>
      <c r="C22" s="246" t="n"/>
      <c r="D22" s="246" t="n"/>
      <c r="E22" s="247" t="n"/>
      <c r="F22" s="107" t="n"/>
      <c r="G22" s="107" t="n"/>
      <c r="H22" s="252">
        <f>SUM(H23:H23)</f>
        <v/>
      </c>
    </row>
    <row r="23" ht="38.25" customHeight="1" s="166">
      <c r="A23" s="126" t="n">
        <v>9</v>
      </c>
      <c r="B23" s="224" t="n"/>
      <c r="C23" s="186" t="inlineStr">
        <is>
          <t>Прайс из СД ОП</t>
        </is>
      </c>
      <c r="D23" s="219" t="inlineStr">
        <is>
          <t>Распределительный сухой трансформатор DTR-630-10/0.4 по опрсному листу П2200964-6012-041-ЭП.ОЛ1  22490*72,0/4,04=400811,88</t>
        </is>
      </c>
      <c r="E23" s="220" t="inlineStr">
        <is>
          <t>шт.</t>
        </is>
      </c>
      <c r="F23" s="220" t="n">
        <v>2</v>
      </c>
      <c r="G23" s="94" t="n">
        <v>400811.88</v>
      </c>
      <c r="H23" s="94" t="n">
        <v>801623.76</v>
      </c>
      <c r="I23" s="116" t="n"/>
    </row>
    <row r="24">
      <c r="A24" s="207" t="inlineStr">
        <is>
          <t>Материалы</t>
        </is>
      </c>
      <c r="B24" s="246" t="n"/>
      <c r="C24" s="246" t="n"/>
      <c r="D24" s="246" t="n"/>
      <c r="E24" s="247" t="n"/>
      <c r="F24" s="87" t="n"/>
      <c r="G24" s="86" t="n"/>
      <c r="H24" s="179">
        <f>SUM(H25:H45)</f>
        <v/>
      </c>
    </row>
    <row r="25">
      <c r="A25" s="126" t="n">
        <v>10</v>
      </c>
      <c r="B25" s="208" t="n"/>
      <c r="C25" s="186" t="inlineStr">
        <is>
          <t>20.5.03.03-0002</t>
        </is>
      </c>
      <c r="D25" s="219" t="inlineStr">
        <is>
          <t>Шины и ленты из цветных металлов</t>
        </is>
      </c>
      <c r="E25" s="220" t="inlineStr">
        <is>
          <t>т</t>
        </is>
      </c>
      <c r="F25" s="253" t="n">
        <v>0.50949450549451</v>
      </c>
      <c r="G25" s="154" t="n">
        <v>124900</v>
      </c>
      <c r="H25" s="154">
        <f>ROUND(F25*G25,2)</f>
        <v/>
      </c>
      <c r="I25" s="116" t="n"/>
      <c r="K25" s="112" t="n"/>
    </row>
    <row r="26" ht="25.5" customHeight="1" s="166">
      <c r="A26" s="126" t="n">
        <v>11</v>
      </c>
      <c r="B26" s="208" t="n"/>
      <c r="C26" s="186" t="inlineStr">
        <is>
          <t>25.1.01.04-0012</t>
        </is>
      </c>
      <c r="D26" s="219" t="inlineStr">
        <is>
          <t>Шпалы из древесины хвойных пород для колеи 600 мм, непропитанные, длина 1200 мм, тип II</t>
        </is>
      </c>
      <c r="E26" s="220" t="inlineStr">
        <is>
          <t>шт</t>
        </is>
      </c>
      <c r="F26" s="253" t="n">
        <v>6.5934065934066</v>
      </c>
      <c r="G26" s="154" t="n">
        <v>42.6</v>
      </c>
      <c r="H26" s="154">
        <f>ROUND(F26*G26,2)</f>
        <v/>
      </c>
      <c r="I26" s="116" t="n"/>
    </row>
    <row r="27" ht="38.25" customHeight="1" s="166">
      <c r="A27" s="126" t="n">
        <v>12</v>
      </c>
      <c r="B27" s="208" t="n"/>
      <c r="C27" s="186" t="inlineStr">
        <is>
          <t>Прайс из СД ОП</t>
        </is>
      </c>
      <c r="D27" s="219" t="inlineStr">
        <is>
          <t>Муфта концевая ПКВтп-150/240 термоусаживаемая (10кВ, 1х240 кв.мм сшит.ПЭ и ПВХ.из-я) (ПЗЭМИ, М3891)</t>
        </is>
      </c>
      <c r="E27" s="220" t="inlineStr">
        <is>
          <t>шт.</t>
        </is>
      </c>
      <c r="F27" s="253" t="n">
        <v>1.3186813186813</v>
      </c>
      <c r="G27" s="154" t="n">
        <v>107.67</v>
      </c>
      <c r="H27" s="154">
        <f>ROUND(F27*G27,2)</f>
        <v/>
      </c>
      <c r="I27" s="116" t="n"/>
    </row>
    <row r="28" ht="25.5" customHeight="1" s="166">
      <c r="A28" s="126" t="n">
        <v>13</v>
      </c>
      <c r="B28" s="208" t="n"/>
      <c r="C28" s="186" t="inlineStr">
        <is>
          <t>08.3.03.05-0017</t>
        </is>
      </c>
      <c r="D28" s="219" t="inlineStr">
        <is>
          <t>Проволока стальная низкоуглеродистая разного назначения оцинкованная, диаметр 3,0 мм</t>
        </is>
      </c>
      <c r="E28" s="220" t="inlineStr">
        <is>
          <t>т</t>
        </is>
      </c>
      <c r="F28" s="253" t="n">
        <v>0.0043956043956044</v>
      </c>
      <c r="G28" s="154" t="n">
        <v>12242</v>
      </c>
      <c r="H28" s="154">
        <f>ROUND(F28*G28,2)</f>
        <v/>
      </c>
      <c r="I28" s="116" t="n"/>
    </row>
    <row r="29" ht="25.5" customHeight="1" s="166">
      <c r="A29" s="126" t="n">
        <v>14</v>
      </c>
      <c r="B29" s="208" t="n"/>
      <c r="C29" s="186" t="inlineStr">
        <is>
          <t>20.2.10.01-0021</t>
        </is>
      </c>
      <c r="D29" s="219" t="inlineStr">
        <is>
          <t>Наконечники кабельные для электротехнических установок</t>
        </is>
      </c>
      <c r="E29" s="220" t="inlineStr">
        <is>
          <t>100 шт</t>
        </is>
      </c>
      <c r="F29" s="253" t="n">
        <v>0.013186813186813</v>
      </c>
      <c r="G29" s="154" t="n">
        <v>2550</v>
      </c>
      <c r="H29" s="154">
        <f>ROUND(F29*G29,2)</f>
        <v/>
      </c>
      <c r="I29" s="116" t="n"/>
    </row>
    <row r="30">
      <c r="A30" s="126" t="n">
        <v>15</v>
      </c>
      <c r="B30" s="208" t="n"/>
      <c r="C30" s="186" t="inlineStr">
        <is>
          <t>01.7.15.10-0053</t>
        </is>
      </c>
      <c r="D30" s="219" t="inlineStr">
        <is>
          <t>Скобы металлические</t>
        </is>
      </c>
      <c r="E30" s="220" t="inlineStr">
        <is>
          <t>кг</t>
        </is>
      </c>
      <c r="F30" s="253" t="n">
        <v>4.6153846153846</v>
      </c>
      <c r="G30" s="154" t="n">
        <v>6.4</v>
      </c>
      <c r="H30" s="154">
        <f>ROUND(F30*G30,2)</f>
        <v/>
      </c>
      <c r="I30" s="116" t="n"/>
    </row>
    <row r="31">
      <c r="A31" s="126" t="n">
        <v>16</v>
      </c>
      <c r="B31" s="208" t="n"/>
      <c r="C31" s="186" t="inlineStr">
        <is>
          <t>20.1.02.23-0091</t>
        </is>
      </c>
      <c r="D31" s="219" t="inlineStr">
        <is>
          <t>Плакат по ТБ</t>
        </is>
      </c>
      <c r="E31" s="220" t="inlineStr">
        <is>
          <t>100 шт</t>
        </is>
      </c>
      <c r="F31" s="253" t="n">
        <v>0.0043956043956044</v>
      </c>
      <c r="G31" s="154" t="n">
        <v>4000</v>
      </c>
      <c r="H31" s="154">
        <f>ROUND(F31*G31,2)</f>
        <v/>
      </c>
      <c r="I31" s="116" t="n"/>
    </row>
    <row r="32">
      <c r="A32" s="126" t="n">
        <v>17</v>
      </c>
      <c r="B32" s="208" t="n"/>
      <c r="C32" s="186" t="inlineStr">
        <is>
          <t>20.2.10.01-0020</t>
        </is>
      </c>
      <c r="D32" s="219" t="inlineStr">
        <is>
          <t>Наконечники кабельные алюминиевые ТА 240-20-20</t>
        </is>
      </c>
      <c r="E32" s="220" t="inlineStr">
        <is>
          <t>100 шт</t>
        </is>
      </c>
      <c r="F32" s="253" t="n">
        <v>0.013186813186813</v>
      </c>
      <c r="G32" s="154" t="n">
        <v>971.8200000000001</v>
      </c>
      <c r="H32" s="154">
        <f>ROUND(F32*G32,2)</f>
        <v/>
      </c>
      <c r="I32" s="116" t="n"/>
    </row>
    <row r="33">
      <c r="A33" s="126" t="n">
        <v>18</v>
      </c>
      <c r="B33" s="208" t="n"/>
      <c r="C33" s="186" t="inlineStr">
        <is>
          <t>14.4.02.09-0001</t>
        </is>
      </c>
      <c r="D33" s="219" t="inlineStr">
        <is>
          <t>Краска</t>
        </is>
      </c>
      <c r="E33" s="220" t="inlineStr">
        <is>
          <t>кг</t>
        </is>
      </c>
      <c r="F33" s="253" t="n">
        <v>0.38004395604396</v>
      </c>
      <c r="G33" s="154" t="n">
        <v>28.6</v>
      </c>
      <c r="H33" s="154">
        <f>ROUND(F33*G33,2)</f>
        <v/>
      </c>
      <c r="I33" s="116" t="n"/>
    </row>
    <row r="34" ht="38.25" customHeight="1" s="166">
      <c r="A34" s="126" t="n">
        <v>19</v>
      </c>
      <c r="B34" s="208" t="n"/>
      <c r="C34" s="186" t="inlineStr">
        <is>
          <t>10.1.02.04-0009</t>
        </is>
      </c>
      <c r="D34" s="21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20" t="inlineStr">
        <is>
          <t>т</t>
        </is>
      </c>
      <c r="F34" s="253" t="n">
        <v>0.00013494505494506</v>
      </c>
      <c r="G34" s="154" t="n">
        <v>55960.01</v>
      </c>
      <c r="H34" s="154">
        <f>ROUND(F34*G34,2)</f>
        <v/>
      </c>
      <c r="I34" s="116" t="n"/>
    </row>
    <row r="35" ht="25.5" customHeight="1" s="166">
      <c r="A35" s="126" t="n">
        <v>20</v>
      </c>
      <c r="B35" s="208" t="n"/>
      <c r="C35" s="186" t="inlineStr">
        <is>
          <t>999-9950</t>
        </is>
      </c>
      <c r="D35" s="219" t="inlineStr">
        <is>
          <t>Вспомогательные ненормируемые ресурсы (2% от Фонда оплаты труда)</t>
        </is>
      </c>
      <c r="E35" s="220" t="inlineStr">
        <is>
          <t>руб</t>
        </is>
      </c>
      <c r="F35" s="253" t="n">
        <v>6.7974505494506</v>
      </c>
      <c r="G35" s="154" t="n">
        <v>1</v>
      </c>
      <c r="H35" s="154">
        <f>ROUND(F35*G35,2)</f>
        <v/>
      </c>
      <c r="I35" s="116" t="n"/>
    </row>
    <row r="36">
      <c r="A36" s="126" t="n">
        <v>21</v>
      </c>
      <c r="B36" s="208" t="n"/>
      <c r="C36" s="186" t="inlineStr">
        <is>
          <t>01.7.15.03-0042</t>
        </is>
      </c>
      <c r="D36" s="219" t="inlineStr">
        <is>
          <t>Болты с гайками и шайбами строительные</t>
        </is>
      </c>
      <c r="E36" s="220" t="inlineStr">
        <is>
          <t>кг</t>
        </is>
      </c>
      <c r="F36" s="253" t="n">
        <v>0.73318681318681</v>
      </c>
      <c r="G36" s="154" t="n">
        <v>9.039999999999999</v>
      </c>
      <c r="H36" s="154">
        <f>ROUND(F36*G36,2)</f>
        <v/>
      </c>
      <c r="I36" s="116" t="n"/>
    </row>
    <row r="37">
      <c r="A37" s="126" t="n">
        <v>22</v>
      </c>
      <c r="B37" s="208" t="n"/>
      <c r="C37" s="186" t="inlineStr">
        <is>
          <t>10.2.02.10-0013</t>
        </is>
      </c>
      <c r="D37" s="219" t="inlineStr">
        <is>
          <t>Прутки медные, круглые, марка М3, диаметр 20 мм</t>
        </is>
      </c>
      <c r="E37" s="220" t="inlineStr">
        <is>
          <t>т</t>
        </is>
      </c>
      <c r="F37" s="253" t="n">
        <v>8.2197802197802e-05</v>
      </c>
      <c r="G37" s="154" t="n">
        <v>71640</v>
      </c>
      <c r="H37" s="154">
        <f>ROUND(F37*G37,2)</f>
        <v/>
      </c>
      <c r="I37" s="116" t="n"/>
    </row>
    <row r="38">
      <c r="A38" s="126" t="n">
        <v>23</v>
      </c>
      <c r="B38" s="208" t="n"/>
      <c r="C38" s="186" t="inlineStr">
        <is>
          <t>25.2.01.01-0015</t>
        </is>
      </c>
      <c r="D38" s="219" t="inlineStr">
        <is>
          <t>Бирки маркировочные</t>
        </is>
      </c>
      <c r="E38" s="220" t="inlineStr">
        <is>
          <t>100 шт</t>
        </is>
      </c>
      <c r="F38" s="253" t="n">
        <v>0.036413186813187</v>
      </c>
      <c r="G38" s="154" t="n">
        <v>142.5</v>
      </c>
      <c r="H38" s="154">
        <f>ROUND(F38*G38,2)</f>
        <v/>
      </c>
      <c r="I38" s="116" t="n"/>
    </row>
    <row r="39">
      <c r="A39" s="126" t="n">
        <v>24</v>
      </c>
      <c r="B39" s="208" t="n"/>
      <c r="C39" s="186" t="inlineStr">
        <is>
          <t>01.3.02.02-0001</t>
        </is>
      </c>
      <c r="D39" s="219" t="inlineStr">
        <is>
          <t>Аргон газообразный, сорт I</t>
        </is>
      </c>
      <c r="E39" s="220" t="inlineStr">
        <is>
          <t>м3</t>
        </is>
      </c>
      <c r="F39" s="253" t="n">
        <v>0.15006593406593</v>
      </c>
      <c r="G39" s="154" t="n">
        <v>17.86</v>
      </c>
      <c r="H39" s="154">
        <f>ROUND(F39*G39,2)</f>
        <v/>
      </c>
      <c r="I39" s="116" t="n"/>
    </row>
    <row r="40">
      <c r="A40" s="126" t="n">
        <v>25</v>
      </c>
      <c r="B40" s="208" t="n"/>
      <c r="C40" s="186" t="inlineStr">
        <is>
          <t>01.7.15.11-0061</t>
        </is>
      </c>
      <c r="D40" s="219" t="inlineStr">
        <is>
          <t>Шайбы пружинные</t>
        </is>
      </c>
      <c r="E40" s="220" t="inlineStr">
        <is>
          <t>т</t>
        </is>
      </c>
      <c r="F40" s="253" t="n">
        <v>2.7472527472527e-05</v>
      </c>
      <c r="G40" s="154" t="n">
        <v>31600</v>
      </c>
      <c r="H40" s="154">
        <f>ROUND(F40*G40,2)</f>
        <v/>
      </c>
      <c r="I40" s="116" t="n"/>
    </row>
    <row r="41">
      <c r="A41" s="126" t="n">
        <v>26</v>
      </c>
      <c r="B41" s="208" t="n"/>
      <c r="C41" s="186" t="inlineStr">
        <is>
          <t>01.3.01.01-0001</t>
        </is>
      </c>
      <c r="D41" s="219" t="inlineStr">
        <is>
          <t>Бензин авиационный Б-70</t>
        </is>
      </c>
      <c r="E41" s="220" t="inlineStr">
        <is>
          <t>т</t>
        </is>
      </c>
      <c r="F41" s="253" t="n">
        <v>0.00017582417582418</v>
      </c>
      <c r="G41" s="154" t="n">
        <v>4488.4</v>
      </c>
      <c r="H41" s="154">
        <f>ROUND(F41*G41,2)</f>
        <v/>
      </c>
      <c r="I41" s="116" t="n"/>
    </row>
    <row r="42">
      <c r="A42" s="126" t="n">
        <v>27</v>
      </c>
      <c r="B42" s="208" t="n"/>
      <c r="C42" s="186" t="inlineStr">
        <is>
          <t>01.7.06.07-0001</t>
        </is>
      </c>
      <c r="D42" s="219" t="inlineStr">
        <is>
          <t>Лента К226</t>
        </is>
      </c>
      <c r="E42" s="220" t="inlineStr">
        <is>
          <t>100 м</t>
        </is>
      </c>
      <c r="F42" s="253" t="n">
        <v>0.0010549450549451</v>
      </c>
      <c r="G42" s="154" t="n">
        <v>120</v>
      </c>
      <c r="H42" s="154">
        <f>ROUND(F42*G42,2)</f>
        <v/>
      </c>
      <c r="I42" s="116" t="n"/>
    </row>
    <row r="43">
      <c r="A43" s="126" t="n">
        <v>28</v>
      </c>
      <c r="B43" s="208" t="n"/>
      <c r="C43" s="186" t="inlineStr">
        <is>
          <t>01.7.11.07-0227</t>
        </is>
      </c>
      <c r="D43" s="219" t="inlineStr">
        <is>
          <t>Электроды УОНИ 13/45</t>
        </is>
      </c>
      <c r="E43" s="220" t="inlineStr">
        <is>
          <t>кг</t>
        </is>
      </c>
      <c r="F43" s="253" t="n">
        <v>0.003956043956044</v>
      </c>
      <c r="G43" s="154" t="n">
        <v>15.26</v>
      </c>
      <c r="H43" s="154">
        <f>ROUND(F43*G43,2)</f>
        <v/>
      </c>
      <c r="I43" s="116" t="n"/>
    </row>
    <row r="44">
      <c r="A44" s="126" t="n">
        <v>29</v>
      </c>
      <c r="B44" s="208" t="n"/>
      <c r="C44" s="186" t="inlineStr">
        <is>
          <t>01.3.01.05-0009</t>
        </is>
      </c>
      <c r="D44" s="219" t="inlineStr">
        <is>
          <t>Парафин нефтяной твердый Т-1</t>
        </is>
      </c>
      <c r="E44" s="220" t="inlineStr">
        <is>
          <t>т</t>
        </is>
      </c>
      <c r="F44" s="253" t="n">
        <v>4.3956043956044e-06</v>
      </c>
      <c r="G44" s="154" t="n">
        <v>8105.71</v>
      </c>
      <c r="H44" s="154">
        <f>ROUND(F44*G44,2)</f>
        <v/>
      </c>
      <c r="I44" s="116" t="n"/>
    </row>
    <row r="45">
      <c r="A45" s="126" t="n">
        <v>30</v>
      </c>
      <c r="B45" s="208" t="n"/>
      <c r="C45" s="186" t="inlineStr">
        <is>
          <t>20.2.08.03-0001</t>
        </is>
      </c>
      <c r="D45" s="219" t="inlineStr">
        <is>
          <t>Кнопки монтажные</t>
        </is>
      </c>
      <c r="E45" s="220" t="inlineStr">
        <is>
          <t>1000 шт</t>
        </is>
      </c>
      <c r="F45" s="253" t="n">
        <v>0.0008967032967032999</v>
      </c>
      <c r="G45" s="154" t="n">
        <v>19.5</v>
      </c>
      <c r="H45" s="154">
        <f>ROUND(F45*G45,2)</f>
        <v/>
      </c>
      <c r="I45" s="116" t="n"/>
    </row>
    <row r="48">
      <c r="B48" s="169" t="inlineStr">
        <is>
          <t>Составил ______________________    Д.А. Самуйленко</t>
        </is>
      </c>
    </row>
    <row r="49">
      <c r="B49" s="74" t="inlineStr">
        <is>
          <t xml:space="preserve">                         (подпись, инициалы, фамилия)</t>
        </is>
      </c>
    </row>
    <row r="51">
      <c r="B51" s="169" t="inlineStr">
        <is>
          <t>Проверил ______________________        А.В. Костянецкая</t>
        </is>
      </c>
    </row>
    <row r="52">
      <c r="B52" s="74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ColWidth="9.109375" defaultRowHeight="14.4"/>
  <cols>
    <col width="4.109375" customWidth="1" style="166" min="1" max="1"/>
    <col width="36.33203125" customWidth="1" style="166" min="2" max="2"/>
    <col width="18.88671875" customWidth="1" style="166" min="3" max="3"/>
    <col width="18.33203125" customWidth="1" style="166" min="4" max="4"/>
    <col width="18.88671875" customWidth="1" style="166" min="5" max="5"/>
    <col width="9.109375" customWidth="1" style="166" min="6" max="6"/>
    <col width="13.44140625" customWidth="1" style="166" min="7" max="7"/>
    <col width="9.109375" customWidth="1" style="166" min="8" max="11"/>
    <col width="13.5546875" customWidth="1" style="166" min="12" max="12"/>
    <col width="9.109375" customWidth="1" style="166" min="13" max="13"/>
  </cols>
  <sheetData>
    <row r="1">
      <c r="B1" s="172" t="n"/>
      <c r="C1" s="172" t="n"/>
      <c r="D1" s="172" t="n"/>
      <c r="E1" s="172" t="n"/>
    </row>
    <row r="2">
      <c r="B2" s="172" t="n"/>
      <c r="C2" s="172" t="n"/>
      <c r="D2" s="172" t="n"/>
      <c r="E2" s="237" t="inlineStr">
        <is>
          <t>Приложение № 4</t>
        </is>
      </c>
    </row>
    <row r="3">
      <c r="B3" s="172" t="n"/>
      <c r="C3" s="172" t="n"/>
      <c r="D3" s="172" t="n"/>
      <c r="E3" s="172" t="n"/>
    </row>
    <row r="4">
      <c r="B4" s="172" t="n"/>
      <c r="C4" s="172" t="n"/>
      <c r="D4" s="172" t="n"/>
      <c r="E4" s="172" t="n"/>
    </row>
    <row r="5">
      <c r="B5" s="216" t="inlineStr">
        <is>
          <t>Ресурсная модель</t>
        </is>
      </c>
    </row>
    <row r="6">
      <c r="B6" s="101" t="n"/>
      <c r="C6" s="172" t="n"/>
      <c r="D6" s="172" t="n"/>
      <c r="E6" s="172" t="n"/>
    </row>
    <row r="7" ht="25.5" customHeight="1" s="166">
      <c r="B7" s="217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630 кВА</t>
        </is>
      </c>
    </row>
    <row r="8">
      <c r="B8" s="218" t="inlineStr">
        <is>
          <t>Единица измерения  — 1 ячейка</t>
        </is>
      </c>
    </row>
    <row r="9">
      <c r="B9" s="101" t="n"/>
      <c r="C9" s="172" t="n"/>
      <c r="D9" s="172" t="n"/>
      <c r="E9" s="172" t="n"/>
    </row>
    <row r="10" ht="51" customHeight="1" s="166">
      <c r="B10" s="220" t="inlineStr">
        <is>
          <t>Наименование</t>
        </is>
      </c>
      <c r="C10" s="220" t="inlineStr">
        <is>
          <t>Сметная стоимость в ценах на 01.01.2023
 (руб.)</t>
        </is>
      </c>
      <c r="D10" s="220" t="inlineStr">
        <is>
          <t>Удельный вес, 
(в СМР)</t>
        </is>
      </c>
      <c r="E10" s="220" t="inlineStr">
        <is>
          <t>Удельный вес, % 
(от всего по РМ)</t>
        </is>
      </c>
    </row>
    <row r="11">
      <c r="B11" s="93" t="inlineStr">
        <is>
          <t>Оплата труда рабочих</t>
        </is>
      </c>
      <c r="C11" s="94">
        <f>'Прил.5 Расчет СМР и ОБ'!J15</f>
        <v/>
      </c>
      <c r="D11" s="95">
        <f>C11/$C$24</f>
        <v/>
      </c>
      <c r="E11" s="95">
        <f>C11/$C$40</f>
        <v/>
      </c>
    </row>
    <row r="12">
      <c r="B12" s="93" t="inlineStr">
        <is>
          <t>Эксплуатация машин основных</t>
        </is>
      </c>
      <c r="C12" s="94">
        <f>'Прил.5 Расчет СМР и ОБ'!J23</f>
        <v/>
      </c>
      <c r="D12" s="95">
        <f>C12/$C$24</f>
        <v/>
      </c>
      <c r="E12" s="95">
        <f>C12/$C$40</f>
        <v/>
      </c>
    </row>
    <row r="13">
      <c r="B13" s="93" t="inlineStr">
        <is>
          <t>Эксплуатация машин прочих</t>
        </is>
      </c>
      <c r="C13" s="94">
        <f>'Прил.5 Расчет СМР и ОБ'!J27</f>
        <v/>
      </c>
      <c r="D13" s="95">
        <f>C13/$C$24</f>
        <v/>
      </c>
      <c r="E13" s="95">
        <f>C13/$C$40</f>
        <v/>
      </c>
    </row>
    <row r="14">
      <c r="B14" s="93" t="inlineStr">
        <is>
          <t>ЭКСПЛУАТАЦИЯ МАШИН, ВСЕГО:</t>
        </is>
      </c>
      <c r="C14" s="94">
        <f>C13+C12</f>
        <v/>
      </c>
      <c r="D14" s="95">
        <f>C14/$C$24</f>
        <v/>
      </c>
      <c r="E14" s="95">
        <f>C14/$C$40</f>
        <v/>
      </c>
    </row>
    <row r="15">
      <c r="B15" s="93" t="inlineStr">
        <is>
          <t>в том числе зарплата машинистов</t>
        </is>
      </c>
      <c r="C15" s="94">
        <f>'Прил.5 Расчет СМР и ОБ'!J17</f>
        <v/>
      </c>
      <c r="D15" s="95">
        <f>C15/$C$24</f>
        <v/>
      </c>
      <c r="E15" s="95">
        <f>C15/$C$40</f>
        <v/>
      </c>
    </row>
    <row r="16">
      <c r="B16" s="93" t="inlineStr">
        <is>
          <t>Материалы основные</t>
        </is>
      </c>
      <c r="C16" s="94">
        <f>'Прил.5 Расчет СМР и ОБ'!J39</f>
        <v/>
      </c>
      <c r="D16" s="95">
        <f>C16/$C$24</f>
        <v/>
      </c>
      <c r="E16" s="95">
        <f>C16/$C$40</f>
        <v/>
      </c>
    </row>
    <row r="17">
      <c r="B17" s="93" t="inlineStr">
        <is>
          <t>Материалы прочие</t>
        </is>
      </c>
      <c r="C17" s="94">
        <f>'Прил.5 Расчет СМР и ОБ'!J60</f>
        <v/>
      </c>
      <c r="D17" s="95">
        <f>C17/$C$24</f>
        <v/>
      </c>
      <c r="E17" s="95">
        <f>C17/$C$40</f>
        <v/>
      </c>
      <c r="G17" s="254" t="n"/>
    </row>
    <row r="18">
      <c r="B18" s="93" t="inlineStr">
        <is>
          <t>МАТЕРИАЛЫ, ВСЕГО:</t>
        </is>
      </c>
      <c r="C18" s="94">
        <f>C17+C16</f>
        <v/>
      </c>
      <c r="D18" s="95">
        <f>C18/$C$24</f>
        <v/>
      </c>
      <c r="E18" s="95">
        <f>C18/$C$40</f>
        <v/>
      </c>
    </row>
    <row r="19">
      <c r="B19" s="93" t="inlineStr">
        <is>
          <t>ИТОГО</t>
        </is>
      </c>
      <c r="C19" s="94">
        <f>C18+C14+C11</f>
        <v/>
      </c>
      <c r="D19" s="95" t="n"/>
      <c r="E19" s="93" t="n"/>
    </row>
    <row r="20">
      <c r="B20" s="93" t="inlineStr">
        <is>
          <t>Сметная прибыль, руб.</t>
        </is>
      </c>
      <c r="C20" s="94">
        <f>ROUND(C21*(C11+C15),2)</f>
        <v/>
      </c>
      <c r="D20" s="95">
        <f>C20/$C$24</f>
        <v/>
      </c>
      <c r="E20" s="95">
        <f>C20/$C$40</f>
        <v/>
      </c>
    </row>
    <row r="21">
      <c r="B21" s="93" t="inlineStr">
        <is>
          <t>Сметная прибыль, %</t>
        </is>
      </c>
      <c r="C21" s="98">
        <f>'Прил.5 Расчет СМР и ОБ'!D64</f>
        <v/>
      </c>
      <c r="D21" s="95" t="n"/>
      <c r="E21" s="93" t="n"/>
    </row>
    <row r="22">
      <c r="B22" s="93" t="inlineStr">
        <is>
          <t>Накладные расходы, руб.</t>
        </is>
      </c>
      <c r="C22" s="94">
        <f>ROUND(C23*(C11+C15),2)</f>
        <v/>
      </c>
      <c r="D22" s="95">
        <f>C22/$C$24</f>
        <v/>
      </c>
      <c r="E22" s="95">
        <f>C22/$C$40</f>
        <v/>
      </c>
    </row>
    <row r="23">
      <c r="B23" s="93" t="inlineStr">
        <is>
          <t>Накладные расходы, %</t>
        </is>
      </c>
      <c r="C23" s="98">
        <f>'Прил.5 Расчет СМР и ОБ'!D63</f>
        <v/>
      </c>
      <c r="D23" s="95" t="n"/>
      <c r="E23" s="93" t="n"/>
    </row>
    <row r="24">
      <c r="B24" s="93" t="inlineStr">
        <is>
          <t>ВСЕГО СМР с НР и СП</t>
        </is>
      </c>
      <c r="C24" s="94">
        <f>C19+C20+C22</f>
        <v/>
      </c>
      <c r="D24" s="95">
        <f>C24/$C$24</f>
        <v/>
      </c>
      <c r="E24" s="95">
        <f>C24/$C$40</f>
        <v/>
      </c>
    </row>
    <row r="25" ht="25.5" customHeight="1" s="166">
      <c r="B25" s="93" t="inlineStr">
        <is>
          <t>ВСЕГО стоимость оборудования, в том числе</t>
        </is>
      </c>
      <c r="C25" s="94">
        <f>'Прил.5 Расчет СМР и ОБ'!J34</f>
        <v/>
      </c>
      <c r="D25" s="95" t="n"/>
      <c r="E25" s="95">
        <f>C25/$C$40</f>
        <v/>
      </c>
    </row>
    <row r="26" ht="25.5" customHeight="1" s="166">
      <c r="B26" s="93" t="inlineStr">
        <is>
          <t>стоимость оборудования технологического</t>
        </is>
      </c>
      <c r="C26" s="94">
        <f>'Прил.5 Расчет СМР и ОБ'!J35</f>
        <v/>
      </c>
      <c r="D26" s="95" t="n"/>
      <c r="E26" s="95">
        <f>C26/$C$40</f>
        <v/>
      </c>
    </row>
    <row r="27">
      <c r="B27" s="93" t="inlineStr">
        <is>
          <t>ИТОГО (СМР + ОБОРУДОВАНИЕ)</t>
        </is>
      </c>
      <c r="C27" s="97">
        <f>C24+C25</f>
        <v/>
      </c>
      <c r="D27" s="95" t="n"/>
      <c r="E27" s="95">
        <f>C27/$C$40</f>
        <v/>
      </c>
      <c r="G27" s="96" t="n"/>
    </row>
    <row r="28" ht="33" customHeight="1" s="166">
      <c r="B28" s="93" t="inlineStr">
        <is>
          <t>ПРОЧ. ЗАТР., УЧТЕННЫЕ ПОКАЗАТЕЛЕМ,  в том числе</t>
        </is>
      </c>
      <c r="C28" s="93" t="n"/>
      <c r="D28" s="93" t="n"/>
      <c r="E28" s="93" t="n"/>
    </row>
    <row r="29" ht="25.5" customHeight="1" s="166">
      <c r="B29" s="93" t="inlineStr">
        <is>
          <t>Временные здания и сооружения - 2,5%</t>
        </is>
      </c>
      <c r="C29" s="97">
        <f>ROUND(C24*2.5%,2)</f>
        <v/>
      </c>
      <c r="D29" s="93" t="n"/>
      <c r="E29" s="95">
        <f>C29/$C$40</f>
        <v/>
      </c>
    </row>
    <row r="30" ht="38.25" customHeight="1" s="166">
      <c r="B30" s="93" t="inlineStr">
        <is>
          <t>Дополнительные затраты при производстве строительно-монтажных работ в зимнее время - 2,1%</t>
        </is>
      </c>
      <c r="C30" s="97">
        <f>ROUND((C24+C29)*2.1%,2)</f>
        <v/>
      </c>
      <c r="D30" s="93" t="n"/>
      <c r="E30" s="95">
        <f>C30/$C$40</f>
        <v/>
      </c>
    </row>
    <row r="31">
      <c r="B31" s="93" t="inlineStr">
        <is>
          <t>Пусконаладочные работы</t>
        </is>
      </c>
      <c r="C31" s="97" t="n">
        <v>86797.88</v>
      </c>
      <c r="D31" s="93" t="n"/>
      <c r="E31" s="95">
        <f>C31/$C$40</f>
        <v/>
      </c>
    </row>
    <row r="32" ht="25.5" customHeight="1" s="166">
      <c r="B32" s="93" t="inlineStr">
        <is>
          <t>Затраты по перевозке работников к месту работы и обратно</t>
        </is>
      </c>
      <c r="C32" s="97" t="n">
        <v>0</v>
      </c>
      <c r="D32" s="93" t="n"/>
      <c r="E32" s="95">
        <f>C32/$C$40</f>
        <v/>
      </c>
    </row>
    <row r="33" ht="25.5" customHeight="1" s="166">
      <c r="B33" s="93" t="inlineStr">
        <is>
          <t>Затраты, связанные с осуществлением работ вахтовым методом</t>
        </is>
      </c>
      <c r="C33" s="97">
        <f>ROUND(C27*0%,2)</f>
        <v/>
      </c>
      <c r="D33" s="93" t="n"/>
      <c r="E33" s="95">
        <f>C33/$C$40</f>
        <v/>
      </c>
    </row>
    <row r="34" ht="51" customHeight="1" s="166">
      <c r="B34" s="9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7" t="n">
        <v>0</v>
      </c>
      <c r="D34" s="93" t="n"/>
      <c r="E34" s="95">
        <f>C34/$C$40</f>
        <v/>
      </c>
    </row>
    <row r="35" ht="76.5" customHeight="1" s="166">
      <c r="B35" s="9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7">
        <f>ROUND(C27*0%,2)</f>
        <v/>
      </c>
      <c r="D35" s="93" t="n"/>
      <c r="E35" s="95">
        <f>C35/$C$40</f>
        <v/>
      </c>
    </row>
    <row r="36" ht="25.5" customHeight="1" s="166">
      <c r="B36" s="93" t="inlineStr">
        <is>
          <t>Строительный контроль и содержание службы заказчика - 2,14%</t>
        </is>
      </c>
      <c r="C36" s="97">
        <f>ROUND((C27+C32+C33+C34+C35+C29+C31+C30)*2.14%,2)</f>
        <v/>
      </c>
      <c r="D36" s="93" t="n"/>
      <c r="E36" s="95">
        <f>C36/$C$40</f>
        <v/>
      </c>
      <c r="L36" s="96" t="n"/>
    </row>
    <row r="37">
      <c r="B37" s="93" t="inlineStr">
        <is>
          <t>Авторский надзор - 0,2%</t>
        </is>
      </c>
      <c r="C37" s="97">
        <f>ROUND((C27+C32+C33+C34+C35+C29+C31+C30)*0.2%,2)</f>
        <v/>
      </c>
      <c r="D37" s="93" t="n"/>
      <c r="E37" s="95">
        <f>C37/$C$40</f>
        <v/>
      </c>
      <c r="L37" s="96" t="n"/>
    </row>
    <row r="38" ht="38.25" customHeight="1" s="166">
      <c r="B38" s="93" t="inlineStr">
        <is>
          <t>ИТОГО (СМР+ОБОРУДОВАНИЕ+ПРОЧ. ЗАТР., УЧТЕННЫЕ ПОКАЗАТЕЛЕМ)</t>
        </is>
      </c>
      <c r="C38" s="94">
        <f>C27+C32+C33+C34+C35+C29+C31+C30+C36+C37</f>
        <v/>
      </c>
      <c r="D38" s="93" t="n"/>
      <c r="E38" s="95">
        <f>C38/$C$40</f>
        <v/>
      </c>
    </row>
    <row r="39" ht="13.65" customHeight="1" s="166">
      <c r="B39" s="93" t="inlineStr">
        <is>
          <t>Непредвиденные расходы</t>
        </is>
      </c>
      <c r="C39" s="94">
        <f>ROUND(C38*3%,2)</f>
        <v/>
      </c>
      <c r="D39" s="93" t="n"/>
      <c r="E39" s="95">
        <f>C39/$C$38</f>
        <v/>
      </c>
    </row>
    <row r="40">
      <c r="B40" s="93" t="inlineStr">
        <is>
          <t>ВСЕГО:</t>
        </is>
      </c>
      <c r="C40" s="94">
        <f>C39+C38</f>
        <v/>
      </c>
      <c r="D40" s="93" t="n"/>
      <c r="E40" s="95">
        <f>C40/$C$40</f>
        <v/>
      </c>
    </row>
    <row r="41">
      <c r="B41" s="93" t="inlineStr">
        <is>
          <t>ИТОГО ПОКАЗАТЕЛЬ НА ЕД. ИЗМ.</t>
        </is>
      </c>
      <c r="C41" s="94">
        <f>C40/'Прил.5 Расчет СМР и ОБ'!E67</f>
        <v/>
      </c>
      <c r="D41" s="93" t="n"/>
      <c r="E41" s="93" t="n"/>
    </row>
    <row r="42">
      <c r="B42" s="92" t="n"/>
      <c r="C42" s="172" t="n"/>
      <c r="D42" s="172" t="n"/>
      <c r="E42" s="172" t="n"/>
    </row>
    <row r="43">
      <c r="B43" s="92" t="inlineStr">
        <is>
          <t>Составил ____________________________  Д.А. Самуйленко</t>
        </is>
      </c>
      <c r="C43" s="172" t="n"/>
      <c r="D43" s="172" t="n"/>
      <c r="E43" s="172" t="n"/>
    </row>
    <row r="44">
      <c r="B44" s="92" t="inlineStr">
        <is>
          <t xml:space="preserve">(должность, подпись, инициалы, фамилия) </t>
        </is>
      </c>
      <c r="C44" s="172" t="n"/>
      <c r="D44" s="172" t="n"/>
      <c r="E44" s="172" t="n"/>
    </row>
    <row r="45">
      <c r="B45" s="92" t="n"/>
      <c r="C45" s="172" t="n"/>
      <c r="D45" s="172" t="n"/>
      <c r="E45" s="172" t="n"/>
    </row>
    <row r="46">
      <c r="B46" s="92" t="inlineStr">
        <is>
          <t>Проверил ____________________________ А.В. Костянецкая</t>
        </is>
      </c>
      <c r="C46" s="172" t="n"/>
      <c r="D46" s="172" t="n"/>
      <c r="E46" s="172" t="n"/>
    </row>
    <row r="47">
      <c r="B47" s="218" t="inlineStr">
        <is>
          <t>(должность, подпись, инициалы, фамилия)</t>
        </is>
      </c>
      <c r="D47" s="172" t="n"/>
      <c r="E47" s="172" t="n"/>
    </row>
    <row r="49">
      <c r="B49" s="172" t="n"/>
      <c r="C49" s="172" t="n"/>
      <c r="D49" s="172" t="n"/>
      <c r="E49" s="172" t="n"/>
    </row>
    <row r="50">
      <c r="B50" s="172" t="n"/>
      <c r="C50" s="172" t="n"/>
      <c r="D50" s="172" t="n"/>
      <c r="E50" s="172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56" zoomScale="85" workbookViewId="0">
      <selection activeCell="A78" sqref="A1:J78"/>
    </sheetView>
  </sheetViews>
  <sheetFormatPr baseColWidth="8" defaultColWidth="9.109375" defaultRowHeight="14.4" outlineLevelRow="1"/>
  <cols>
    <col width="5.6640625" customWidth="1" style="173" min="1" max="1"/>
    <col width="22.5546875" customWidth="1" style="173" min="2" max="2"/>
    <col width="39.109375" customWidth="1" style="173" min="3" max="3"/>
    <col width="13.5546875" customWidth="1" style="173" min="4" max="4"/>
    <col width="12.6640625" customWidth="1" style="173" min="5" max="5"/>
    <col width="14.5546875" customWidth="1" style="173" min="6" max="6"/>
    <col width="13.44140625" customWidth="1" style="173" min="7" max="7"/>
    <col width="12.6640625" customWidth="1" style="173" min="8" max="8"/>
    <col width="13.88671875" customWidth="1" style="173" min="9" max="9"/>
    <col width="17.5546875" customWidth="1" style="173" min="10" max="10"/>
    <col width="10.88671875" customWidth="1" style="173" min="11" max="11"/>
    <col width="13.88671875" customWidth="1" style="173" min="12" max="12"/>
    <col width="9.109375" customWidth="1" style="166" min="13" max="13"/>
  </cols>
  <sheetData>
    <row r="1" s="166">
      <c r="A1" s="173" t="n"/>
      <c r="B1" s="173" t="n"/>
      <c r="C1" s="173" t="n"/>
      <c r="D1" s="173" t="n"/>
      <c r="E1" s="173" t="n"/>
      <c r="F1" s="173" t="n"/>
      <c r="G1" s="173" t="n"/>
      <c r="H1" s="173" t="n"/>
      <c r="I1" s="173" t="n"/>
      <c r="J1" s="173" t="n"/>
      <c r="K1" s="173" t="n"/>
      <c r="L1" s="173" t="n"/>
      <c r="M1" s="173" t="n"/>
      <c r="N1" s="173" t="n"/>
    </row>
    <row r="2" ht="15.75" customHeight="1" s="166">
      <c r="A2" s="173" t="n"/>
      <c r="B2" s="173" t="n"/>
      <c r="C2" s="173" t="n"/>
      <c r="D2" s="173" t="n"/>
      <c r="E2" s="173" t="n"/>
      <c r="F2" s="173" t="n"/>
      <c r="G2" s="173" t="n"/>
      <c r="H2" s="231" t="inlineStr">
        <is>
          <t>Приложение №5</t>
        </is>
      </c>
      <c r="K2" s="173" t="n"/>
      <c r="L2" s="173" t="n"/>
      <c r="M2" s="173" t="n"/>
      <c r="N2" s="173" t="n"/>
    </row>
    <row r="3" s="166">
      <c r="A3" s="173" t="n"/>
      <c r="B3" s="173" t="n"/>
      <c r="C3" s="173" t="n"/>
      <c r="D3" s="173" t="n"/>
      <c r="E3" s="173" t="n"/>
      <c r="F3" s="173" t="n"/>
      <c r="G3" s="173" t="n"/>
      <c r="H3" s="173" t="n"/>
      <c r="I3" s="173" t="n"/>
      <c r="J3" s="173" t="n"/>
      <c r="K3" s="173" t="n"/>
      <c r="L3" s="173" t="n"/>
      <c r="M3" s="173" t="n"/>
      <c r="N3" s="173" t="n"/>
    </row>
    <row r="4" ht="12.75" customFormat="1" customHeight="1" s="172">
      <c r="A4" s="216" t="inlineStr">
        <is>
          <t>Расчет стоимости СМР и оборудования</t>
        </is>
      </c>
    </row>
    <row r="5" ht="12.75" customFormat="1" customHeight="1" s="172">
      <c r="A5" s="216" t="n"/>
      <c r="B5" s="216" t="n"/>
      <c r="C5" s="42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172">
      <c r="A6" s="69" t="inlineStr">
        <is>
          <t>Наименование разрабатываемого показателя УНЦ</t>
        </is>
      </c>
      <c r="B6" s="68" t="n"/>
      <c r="C6" s="68" t="n"/>
      <c r="D6" s="232" t="inlineStr">
        <is>
          <t>Ячейка трансформатора малошумного энергоэффективного, двухобмоточного сухого 20 кВ, 630 кВА</t>
        </is>
      </c>
    </row>
    <row r="7" ht="12.75" customFormat="1" customHeight="1" s="172">
      <c r="A7" s="232" t="inlineStr">
        <is>
          <t>Единица измерения  — 1 ячейка</t>
        </is>
      </c>
      <c r="I7" s="217" t="n"/>
      <c r="J7" s="217" t="n"/>
    </row>
    <row r="8" ht="13.65" customFormat="1" customHeight="1" s="172">
      <c r="A8" s="232" t="n"/>
    </row>
    <row r="9" ht="13.2" customFormat="1" customHeight="1" s="172"/>
    <row r="10" ht="27" customHeight="1" s="166">
      <c r="A10" s="220" t="inlineStr">
        <is>
          <t>№ пп.</t>
        </is>
      </c>
      <c r="B10" s="220" t="inlineStr">
        <is>
          <t>Код ресурса</t>
        </is>
      </c>
      <c r="C10" s="220" t="inlineStr">
        <is>
          <t>Наименование</t>
        </is>
      </c>
      <c r="D10" s="220" t="inlineStr">
        <is>
          <t>Ед. изм.</t>
        </is>
      </c>
      <c r="E10" s="220" t="inlineStr">
        <is>
          <t>Кол-во единиц по проектным данным</t>
        </is>
      </c>
      <c r="F10" s="220" t="inlineStr">
        <is>
          <t>Сметная стоимость в ценах на 01.01.2000 (руб.)</t>
        </is>
      </c>
      <c r="G10" s="247" t="n"/>
      <c r="H10" s="220" t="inlineStr">
        <is>
          <t>Удельный вес, %</t>
        </is>
      </c>
      <c r="I10" s="220" t="inlineStr">
        <is>
          <t>Сметная стоимость в ценах на 01.01.2023 (руб.)</t>
        </is>
      </c>
      <c r="J10" s="247" t="n"/>
      <c r="K10" s="173" t="n"/>
      <c r="L10" s="173" t="n"/>
      <c r="M10" s="173" t="n"/>
      <c r="N10" s="173" t="n"/>
    </row>
    <row r="11" ht="28.5" customHeight="1" s="166">
      <c r="A11" s="249" t="n"/>
      <c r="B11" s="249" t="n"/>
      <c r="C11" s="249" t="n"/>
      <c r="D11" s="249" t="n"/>
      <c r="E11" s="249" t="n"/>
      <c r="F11" s="220" t="inlineStr">
        <is>
          <t>на ед. изм.</t>
        </is>
      </c>
      <c r="G11" s="220" t="inlineStr">
        <is>
          <t>общая</t>
        </is>
      </c>
      <c r="H11" s="249" t="n"/>
      <c r="I11" s="220" t="inlineStr">
        <is>
          <t>на ед. изм.</t>
        </is>
      </c>
      <c r="J11" s="220" t="inlineStr">
        <is>
          <t>общая</t>
        </is>
      </c>
      <c r="K11" s="173" t="n"/>
      <c r="L11" s="173" t="n"/>
      <c r="M11" s="173" t="n"/>
      <c r="N11" s="173" t="n"/>
    </row>
    <row r="12" s="166">
      <c r="A12" s="220" t="n">
        <v>1</v>
      </c>
      <c r="B12" s="220" t="n">
        <v>2</v>
      </c>
      <c r="C12" s="220" t="n">
        <v>3</v>
      </c>
      <c r="D12" s="220" t="n">
        <v>4</v>
      </c>
      <c r="E12" s="220" t="n">
        <v>5</v>
      </c>
      <c r="F12" s="220" t="n">
        <v>6</v>
      </c>
      <c r="G12" s="220" t="n">
        <v>7</v>
      </c>
      <c r="H12" s="220" t="n">
        <v>8</v>
      </c>
      <c r="I12" s="235" t="n">
        <v>9</v>
      </c>
      <c r="J12" s="235" t="n">
        <v>10</v>
      </c>
      <c r="K12" s="173" t="n"/>
      <c r="L12" s="173" t="n"/>
      <c r="M12" s="173" t="n"/>
      <c r="N12" s="173" t="n"/>
    </row>
    <row r="13">
      <c r="A13" s="220" t="n"/>
      <c r="B13" s="224" t="inlineStr">
        <is>
          <t>Затраты труда рабочих-строителей</t>
        </is>
      </c>
      <c r="C13" s="246" t="n"/>
      <c r="D13" s="246" t="n"/>
      <c r="E13" s="246" t="n"/>
      <c r="F13" s="246" t="n"/>
      <c r="G13" s="246" t="n"/>
      <c r="H13" s="247" t="n"/>
      <c r="I13" s="59" t="n"/>
      <c r="J13" s="59" t="n"/>
    </row>
    <row r="14" ht="25.5" customHeight="1" s="166">
      <c r="A14" s="220" t="n">
        <v>1</v>
      </c>
      <c r="B14" s="186" t="inlineStr">
        <is>
          <t>1-4-0</t>
        </is>
      </c>
      <c r="C14" s="219" t="inlineStr">
        <is>
          <t>Затраты труда рабочих-строителей среднего разряда (4)</t>
        </is>
      </c>
      <c r="D14" s="220" t="inlineStr">
        <is>
          <t>чел.-ч.</t>
        </is>
      </c>
      <c r="E14" s="255" t="n">
        <v>32.378972378972</v>
      </c>
      <c r="F14" s="154" t="n">
        <v>9.619999999999999</v>
      </c>
      <c r="G14" s="154">
        <f>ROUND(E14*F14,2)</f>
        <v/>
      </c>
      <c r="H14" s="223">
        <f>G14/G15</f>
        <v/>
      </c>
      <c r="I14" s="154">
        <f>ФОТр.тек.!E13</f>
        <v/>
      </c>
      <c r="J14" s="154">
        <f>ROUND(I14*E14,2)</f>
        <v/>
      </c>
    </row>
    <row r="15" ht="25.5" customFormat="1" customHeight="1" s="173">
      <c r="A15" s="220" t="n"/>
      <c r="B15" s="220" t="n"/>
      <c r="C15" s="224" t="inlineStr">
        <is>
          <t>Итого по разделу "Затраты труда рабочих-строителей"</t>
        </is>
      </c>
      <c r="D15" s="220" t="inlineStr">
        <is>
          <t>чел.-ч.</t>
        </is>
      </c>
      <c r="E15" s="255">
        <f>SUM(E14:E14)</f>
        <v/>
      </c>
      <c r="F15" s="154" t="n"/>
      <c r="G15" s="154">
        <f>SUM(G14:G14)</f>
        <v/>
      </c>
      <c r="H15" s="225" t="n">
        <v>1</v>
      </c>
      <c r="I15" s="59" t="n"/>
      <c r="J15" s="154">
        <f>SUM(J14:J14)</f>
        <v/>
      </c>
    </row>
    <row r="16" ht="14.25" customFormat="1" customHeight="1" s="173">
      <c r="A16" s="220" t="n"/>
      <c r="B16" s="219" t="inlineStr">
        <is>
          <t>Затраты труда машинистов</t>
        </is>
      </c>
      <c r="C16" s="246" t="n"/>
      <c r="D16" s="246" t="n"/>
      <c r="E16" s="246" t="n"/>
      <c r="F16" s="246" t="n"/>
      <c r="G16" s="246" t="n"/>
      <c r="H16" s="247" t="n"/>
      <c r="I16" s="59" t="n"/>
      <c r="J16" s="59" t="n"/>
    </row>
    <row r="17" ht="14.25" customFormat="1" customHeight="1" s="173">
      <c r="A17" s="220" t="n">
        <v>2</v>
      </c>
      <c r="B17" s="220" t="n">
        <v>2</v>
      </c>
      <c r="C17" s="219" t="inlineStr">
        <is>
          <t>Затраты труда машинистов</t>
        </is>
      </c>
      <c r="D17" s="220" t="inlineStr">
        <is>
          <t>чел.-ч.</t>
        </is>
      </c>
      <c r="E17" s="256" t="n">
        <v>10.301098901099</v>
      </c>
      <c r="F17" s="154" t="n">
        <v>12.509707702155</v>
      </c>
      <c r="G17" s="154">
        <f>ROUND(E17*F17,2)</f>
        <v/>
      </c>
      <c r="H17" s="225" t="n">
        <v>1</v>
      </c>
      <c r="I17" s="154">
        <f>ROUND(F17*'Прил. 10'!$D$11,2)</f>
        <v/>
      </c>
      <c r="J17" s="154">
        <f>ROUND(I17*E17,2)</f>
        <v/>
      </c>
    </row>
    <row r="18" ht="14.25" customFormat="1" customHeight="1" s="173">
      <c r="A18" s="220" t="n"/>
      <c r="B18" s="224" t="inlineStr">
        <is>
          <t>Машины и механизмы</t>
        </is>
      </c>
      <c r="C18" s="246" t="n"/>
      <c r="D18" s="246" t="n"/>
      <c r="E18" s="246" t="n"/>
      <c r="F18" s="246" t="n"/>
      <c r="G18" s="246" t="n"/>
      <c r="H18" s="247" t="n"/>
      <c r="I18" s="59" t="n"/>
      <c r="J18" s="59" t="n"/>
    </row>
    <row r="19" ht="14.25" customFormat="1" customHeight="1" s="173">
      <c r="A19" s="220" t="n"/>
      <c r="B19" s="219" t="inlineStr">
        <is>
          <t>Основные машины и механизмы</t>
        </is>
      </c>
      <c r="C19" s="246" t="n"/>
      <c r="D19" s="246" t="n"/>
      <c r="E19" s="246" t="n"/>
      <c r="F19" s="246" t="n"/>
      <c r="G19" s="246" t="n"/>
      <c r="H19" s="247" t="n"/>
      <c r="I19" s="59" t="n"/>
      <c r="J19" s="59" t="n"/>
    </row>
    <row r="20" ht="14.25" customFormat="1" customHeight="1" s="173">
      <c r="A20" s="220" t="n">
        <v>3</v>
      </c>
      <c r="B20" s="186" t="inlineStr">
        <is>
          <t>91.06.09-001</t>
        </is>
      </c>
      <c r="C20" s="219" t="inlineStr">
        <is>
          <t>Вышки телескопические 25 м</t>
        </is>
      </c>
      <c r="D20" s="220" t="inlineStr">
        <is>
          <t>маш.-ч</t>
        </is>
      </c>
      <c r="E20" s="253" t="n">
        <v>3.8769230769231</v>
      </c>
      <c r="F20" s="222" t="n">
        <v>142.7</v>
      </c>
      <c r="G20" s="154">
        <f>ROUND(E20*F20,2)</f>
        <v/>
      </c>
      <c r="H20" s="223">
        <f>G20/$G$28</f>
        <v/>
      </c>
      <c r="I20" s="154">
        <f>ROUND(F20*'Прил. 10'!$D$12,2)</f>
        <v/>
      </c>
      <c r="J20" s="154">
        <f>ROUND(I20*E20,2)</f>
        <v/>
      </c>
    </row>
    <row r="21" ht="25.5" customFormat="1" customHeight="1" s="173">
      <c r="A21" s="220" t="n">
        <v>4</v>
      </c>
      <c r="B21" s="186" t="inlineStr">
        <is>
          <t>91.05.05-014</t>
        </is>
      </c>
      <c r="C21" s="219" t="inlineStr">
        <is>
          <t>Краны на автомобильном ходу, грузоподъемность 10 т</t>
        </is>
      </c>
      <c r="D21" s="220" t="inlineStr">
        <is>
          <t>маш.-ч</t>
        </is>
      </c>
      <c r="E21" s="253" t="n">
        <v>2.6842197802198</v>
      </c>
      <c r="F21" s="222" t="n">
        <v>111.99</v>
      </c>
      <c r="G21" s="154">
        <f>ROUND(E21*F21,2)</f>
        <v/>
      </c>
      <c r="H21" s="223">
        <f>G21/$G$28</f>
        <v/>
      </c>
      <c r="I21" s="154">
        <f>ROUND(F21*'Прил. 10'!$D$12,2)</f>
        <v/>
      </c>
      <c r="J21" s="154">
        <f>ROUND(I21*E21,2)</f>
        <v/>
      </c>
    </row>
    <row r="22" ht="30.15" customFormat="1" customHeight="1" s="173">
      <c r="A22" s="220" t="n">
        <v>5</v>
      </c>
      <c r="B22" s="186" t="inlineStr">
        <is>
          <t>91.14.02-002</t>
        </is>
      </c>
      <c r="C22" s="219" t="inlineStr">
        <is>
          <t>Автомобили бортовые, грузоподъемность до 8 т</t>
        </is>
      </c>
      <c r="D22" s="220" t="inlineStr">
        <is>
          <t>маш.-ч</t>
        </is>
      </c>
      <c r="E22" s="253" t="n">
        <v>1.7347692307692</v>
      </c>
      <c r="F22" s="222" t="n">
        <v>85.84</v>
      </c>
      <c r="G22" s="154">
        <f>ROUND(E22*F22,2)</f>
        <v/>
      </c>
      <c r="H22" s="223">
        <f>G22/$G$28</f>
        <v/>
      </c>
      <c r="I22" s="154">
        <f>ROUND(F22*'Прил. 10'!$D$12,2)</f>
        <v/>
      </c>
      <c r="J22" s="154">
        <f>ROUND(I22*E22,2)</f>
        <v/>
      </c>
    </row>
    <row r="23" ht="14.25" customFormat="1" customHeight="1" s="173">
      <c r="A23" s="220" t="n"/>
      <c r="B23" s="108" t="n"/>
      <c r="C23" s="109" t="inlineStr">
        <is>
          <t>Итого основные машины и механизмы</t>
        </is>
      </c>
      <c r="D23" s="220" t="n"/>
      <c r="E23" s="253" t="n"/>
      <c r="F23" s="242" t="n"/>
      <c r="G23" s="154">
        <f>SUM(G20:G22)</f>
        <v/>
      </c>
      <c r="H23" s="223">
        <f>G23/G28</f>
        <v/>
      </c>
      <c r="I23" s="154" t="n"/>
      <c r="J23" s="154">
        <f>SUM(J20:J22)</f>
        <v/>
      </c>
    </row>
    <row r="24" outlineLevel="1" ht="14.25" customFormat="1" customHeight="1" s="173">
      <c r="A24" s="220" t="n">
        <v>6</v>
      </c>
      <c r="B24" s="186" t="inlineStr">
        <is>
          <t>91.21.22-491</t>
        </is>
      </c>
      <c r="C24" s="219" t="inlineStr">
        <is>
          <t>Шинотрубогибы</t>
        </is>
      </c>
      <c r="D24" s="220" t="inlineStr">
        <is>
          <t>маш.-ч</t>
        </is>
      </c>
      <c r="E24" s="253" t="n">
        <v>2.0043956043956</v>
      </c>
      <c r="F24" s="222" t="n">
        <v>15.24</v>
      </c>
      <c r="G24" s="154">
        <f>ROUND(E24*F24,2)</f>
        <v/>
      </c>
      <c r="H24" s="223">
        <f>G24/$G$28</f>
        <v/>
      </c>
      <c r="I24" s="154">
        <f>ROUND(F24*'Прил. 10'!$D$12,2)</f>
        <v/>
      </c>
      <c r="J24" s="154">
        <f>ROUND(I24*E24,2)</f>
        <v/>
      </c>
    </row>
    <row r="25" outlineLevel="1" ht="25.5" customFormat="1" customHeight="1" s="173">
      <c r="A25" s="220" t="n">
        <v>7</v>
      </c>
      <c r="B25" s="186" t="inlineStr">
        <is>
          <t>91.17.04-233</t>
        </is>
      </c>
      <c r="C25" s="219" t="inlineStr">
        <is>
          <t>Установки для сварки ручной дуговой (постоянного тока)</t>
        </is>
      </c>
      <c r="D25" s="220" t="inlineStr">
        <is>
          <t>маш.-ч</t>
        </is>
      </c>
      <c r="E25" s="253" t="n">
        <v>1.7643956043956</v>
      </c>
      <c r="F25" s="222" t="n">
        <v>8.1</v>
      </c>
      <c r="G25" s="154">
        <f>ROUND(E25*F25,2)</f>
        <v/>
      </c>
      <c r="H25" s="223">
        <f>G25/$G$28</f>
        <v/>
      </c>
      <c r="I25" s="154">
        <f>ROUND(F25*'Прил. 10'!$D$12,2)</f>
        <v/>
      </c>
      <c r="J25" s="154">
        <f>ROUND(I25*E25,2)</f>
        <v/>
      </c>
    </row>
    <row r="26" outlineLevel="1" ht="14.25" customFormat="1" customHeight="1" s="173">
      <c r="A26" s="220" t="n">
        <v>8</v>
      </c>
      <c r="B26" s="186" t="inlineStr">
        <is>
          <t>91.21.19-031</t>
        </is>
      </c>
      <c r="C26" s="219" t="inlineStr">
        <is>
          <t>Станок сверлильный</t>
        </is>
      </c>
      <c r="D26" s="220" t="inlineStr">
        <is>
          <t>маш.-ч</t>
        </is>
      </c>
      <c r="E26" s="253" t="n">
        <v>0.18567032967033</v>
      </c>
      <c r="F26" s="222" t="n">
        <v>2.36</v>
      </c>
      <c r="G26" s="154">
        <f>ROUND(E26*F26,2)</f>
        <v/>
      </c>
      <c r="H26" s="223">
        <f>G26/$G$28</f>
        <v/>
      </c>
      <c r="I26" s="154">
        <f>ROUND(F26*'Прил. 10'!$D$12,2)</f>
        <v/>
      </c>
      <c r="J26" s="154">
        <f>ROUND(I26*E26,2)</f>
        <v/>
      </c>
    </row>
    <row r="27" ht="14.25" customFormat="1" customHeight="1" s="173">
      <c r="A27" s="220" t="n"/>
      <c r="B27" s="220" t="n"/>
      <c r="C27" s="219" t="inlineStr">
        <is>
          <t>Итого прочие машины и механизмы</t>
        </is>
      </c>
      <c r="D27" s="220" t="n"/>
      <c r="E27" s="221" t="n"/>
      <c r="F27" s="154" t="n"/>
      <c r="G27" s="60">
        <f>SUM(G24:G26)</f>
        <v/>
      </c>
      <c r="H27" s="223">
        <f>G27/G28</f>
        <v/>
      </c>
      <c r="I27" s="154" t="n"/>
      <c r="J27" s="60">
        <f>SUM(J24:J26)</f>
        <v/>
      </c>
    </row>
    <row r="28" ht="25.5" customFormat="1" customHeight="1" s="173">
      <c r="A28" s="220" t="n"/>
      <c r="B28" s="220" t="n"/>
      <c r="C28" s="224" t="inlineStr">
        <is>
          <t>Итого по разделу «Машины и механизмы»</t>
        </is>
      </c>
      <c r="D28" s="220" t="n"/>
      <c r="E28" s="221" t="n"/>
      <c r="F28" s="154" t="n"/>
      <c r="G28" s="154">
        <f>G27+G23</f>
        <v/>
      </c>
      <c r="H28" s="56">
        <f>H23+H27</f>
        <v/>
      </c>
      <c r="I28" s="57" t="n"/>
      <c r="J28" s="154">
        <f>J27+J23</f>
        <v/>
      </c>
    </row>
    <row r="29" ht="14.25" customFormat="1" customHeight="1" s="173">
      <c r="A29" s="220" t="n"/>
      <c r="B29" s="224" t="inlineStr">
        <is>
          <t>Оборудование</t>
        </is>
      </c>
      <c r="C29" s="246" t="n"/>
      <c r="D29" s="246" t="n"/>
      <c r="E29" s="246" t="n"/>
      <c r="F29" s="246" t="n"/>
      <c r="G29" s="246" t="n"/>
      <c r="H29" s="247" t="n"/>
      <c r="I29" s="59" t="n"/>
      <c r="J29" s="59" t="n"/>
    </row>
    <row r="30">
      <c r="A30" s="220" t="n"/>
      <c r="B30" s="219" t="inlineStr">
        <is>
          <t>Основное оборудование</t>
        </is>
      </c>
      <c r="C30" s="246" t="n"/>
      <c r="D30" s="246" t="n"/>
      <c r="E30" s="246" t="n"/>
      <c r="F30" s="246" t="n"/>
      <c r="G30" s="246" t="n"/>
      <c r="H30" s="247" t="n"/>
      <c r="I30" s="59" t="n"/>
      <c r="J30" s="59" t="n"/>
      <c r="L30" s="173" t="n"/>
    </row>
    <row r="31" ht="38.25" customHeight="1" s="166">
      <c r="A31" s="220" t="n">
        <v>9</v>
      </c>
      <c r="B31" s="186" t="inlineStr">
        <is>
          <t>БЦ.7_1.34</t>
        </is>
      </c>
      <c r="C31" s="219" t="inlineStr">
        <is>
          <t>Трансформатор малошумный энергоэффективный, двухобмоточный сухой 20 кВ, 630 кВА</t>
        </is>
      </c>
      <c r="D31" s="220" t="inlineStr">
        <is>
          <t>шт.</t>
        </is>
      </c>
      <c r="E31" s="255" t="n">
        <v>2</v>
      </c>
      <c r="F31" s="154">
        <f>ROUND(I31/'Прил. 10'!D14,2)</f>
        <v/>
      </c>
      <c r="G31" s="154">
        <f>ROUND(E31*F31,2)</f>
        <v/>
      </c>
      <c r="H31" s="223">
        <f>G31/$G$34</f>
        <v/>
      </c>
      <c r="I31" s="154" t="n">
        <v>4833694.5</v>
      </c>
      <c r="J31" s="154">
        <f>ROUND(I31*E31,2)</f>
        <v/>
      </c>
      <c r="K31" s="173" t="n"/>
      <c r="L31" s="173" t="n"/>
      <c r="M31" s="173" t="n"/>
      <c r="N31" s="173" t="n"/>
    </row>
    <row r="32">
      <c r="A32" s="220" t="n"/>
      <c r="B32" s="220" t="n"/>
      <c r="C32" s="219" t="inlineStr">
        <is>
          <t>Итого основное оборудование</t>
        </is>
      </c>
      <c r="D32" s="220" t="n"/>
      <c r="E32" s="255" t="n"/>
      <c r="F32" s="222" t="n"/>
      <c r="G32" s="154">
        <f>G31</f>
        <v/>
      </c>
      <c r="H32" s="225">
        <f>H31</f>
        <v/>
      </c>
      <c r="I32" s="60" t="n"/>
      <c r="J32" s="154">
        <f>J31</f>
        <v/>
      </c>
      <c r="L32" s="173" t="n"/>
    </row>
    <row r="33">
      <c r="A33" s="235" t="n"/>
      <c r="B33" s="220" t="n"/>
      <c r="C33" s="219" t="inlineStr">
        <is>
          <t>Итого прочее оборудование</t>
        </is>
      </c>
      <c r="D33" s="220" t="n"/>
      <c r="E33" s="253" t="n"/>
      <c r="F33" s="222" t="n"/>
      <c r="G33" s="154" t="n">
        <v>0</v>
      </c>
      <c r="H33" s="223">
        <f>G33/$G$35</f>
        <v/>
      </c>
      <c r="I33" s="134" t="n"/>
      <c r="J33" s="133" t="n">
        <v>0</v>
      </c>
      <c r="L33" s="173" t="n"/>
    </row>
    <row r="34">
      <c r="A34" s="235" t="n"/>
      <c r="B34" s="235" t="n"/>
      <c r="C34" s="130" t="inlineStr">
        <is>
          <t>Итого по разделу «Оборудование»</t>
        </is>
      </c>
      <c r="D34" s="235" t="n"/>
      <c r="E34" s="131" t="n"/>
      <c r="F34" s="132" t="n"/>
      <c r="G34" s="133">
        <f>G32+G33</f>
        <v/>
      </c>
      <c r="H34" s="120">
        <f>H32+H33</f>
        <v/>
      </c>
      <c r="I34" s="134" t="n"/>
      <c r="J34" s="133">
        <f>J32+J33</f>
        <v/>
      </c>
      <c r="L34" s="173" t="n"/>
    </row>
    <row r="35" ht="25.5" customHeight="1" s="166">
      <c r="A35" s="220" t="n"/>
      <c r="B35" s="220" t="n"/>
      <c r="C35" s="219" t="inlineStr">
        <is>
          <t>в том числе технологическое оборудование</t>
        </is>
      </c>
      <c r="D35" s="220" t="n"/>
      <c r="E35" s="253" t="n"/>
      <c r="F35" s="222" t="n"/>
      <c r="G35" s="154">
        <f>'Прил.6 Расчет ОБ'!G13</f>
        <v/>
      </c>
      <c r="H35" s="223" t="n"/>
      <c r="I35" s="154" t="n"/>
      <c r="J35" s="154">
        <f>J34</f>
        <v/>
      </c>
      <c r="L35" s="173" t="n"/>
    </row>
    <row r="36" ht="14.25" customFormat="1" customHeight="1" s="173">
      <c r="A36" s="220" t="n"/>
      <c r="B36" s="224" t="inlineStr">
        <is>
          <t>Материалы</t>
        </is>
      </c>
      <c r="C36" s="246" t="n"/>
      <c r="D36" s="246" t="n"/>
      <c r="E36" s="246" t="n"/>
      <c r="F36" s="246" t="n"/>
      <c r="G36" s="246" t="n"/>
      <c r="H36" s="247" t="n"/>
      <c r="I36" s="59" t="n"/>
      <c r="J36" s="59" t="n"/>
    </row>
    <row r="37" ht="14.25" customFormat="1" customHeight="1" s="173">
      <c r="A37" s="220" t="n"/>
      <c r="B37" s="219" t="inlineStr">
        <is>
          <t>Основные материалы</t>
        </is>
      </c>
      <c r="C37" s="246" t="n"/>
      <c r="D37" s="246" t="n"/>
      <c r="E37" s="246" t="n"/>
      <c r="F37" s="246" t="n"/>
      <c r="G37" s="246" t="n"/>
      <c r="H37" s="247" t="n"/>
      <c r="I37" s="59" t="n"/>
      <c r="J37" s="59" t="n"/>
    </row>
    <row r="38" ht="14.25" customFormat="1" customHeight="1" s="173">
      <c r="A38" s="220" t="n">
        <v>10</v>
      </c>
      <c r="B38" s="186" t="inlineStr">
        <is>
          <t>20.5.03.03-0002</t>
        </is>
      </c>
      <c r="C38" s="219" t="inlineStr">
        <is>
          <t>Шины и ленты из цветных металлов</t>
        </is>
      </c>
      <c r="D38" s="220" t="inlineStr">
        <is>
          <t>т</t>
        </is>
      </c>
      <c r="E38" s="253" t="n">
        <v>0.50949450549451</v>
      </c>
      <c r="F38" s="222" t="n">
        <v>124900</v>
      </c>
      <c r="G38" s="154">
        <f>ROUND(E38*F38,2)</f>
        <v/>
      </c>
      <c r="H38" s="223">
        <f>G38/$G$61</f>
        <v/>
      </c>
      <c r="I38" s="147">
        <f>ROUND(F38*'Прил. 10'!$D$13,2)</f>
        <v/>
      </c>
      <c r="J38" s="147">
        <f>ROUND(I38*E38,2)</f>
        <v/>
      </c>
    </row>
    <row r="39" ht="14.25" customFormat="1" customHeight="1" s="173">
      <c r="A39" s="220" t="n"/>
      <c r="B39" s="186" t="n"/>
      <c r="C39" s="219" t="inlineStr">
        <is>
          <t>Итого основные материалы</t>
        </is>
      </c>
      <c r="D39" s="220" t="n"/>
      <c r="E39" s="253" t="n"/>
      <c r="F39" s="242" t="n"/>
      <c r="G39" s="154">
        <f>SUM(G38)</f>
        <v/>
      </c>
      <c r="H39" s="223">
        <f>G39/$G$61</f>
        <v/>
      </c>
      <c r="I39" s="148" t="n"/>
      <c r="J39" s="154">
        <f>SUM(J38:J38)</f>
        <v/>
      </c>
    </row>
    <row r="40" outlineLevel="1" ht="38.25" customFormat="1" customHeight="1" s="173">
      <c r="A40" s="220" t="n">
        <v>11</v>
      </c>
      <c r="B40" s="186" t="inlineStr">
        <is>
          <t>25.1.01.04-0012</t>
        </is>
      </c>
      <c r="C40" s="219" t="inlineStr">
        <is>
          <t>Шпалы из древесины хвойных пород для колеи 600 мм, непропитанные, длина 1200 мм, тип II</t>
        </is>
      </c>
      <c r="D40" s="220" t="inlineStr">
        <is>
          <t>шт</t>
        </is>
      </c>
      <c r="E40" s="253" t="n">
        <v>6.5934065934066</v>
      </c>
      <c r="F40" s="222" t="n">
        <v>42.6</v>
      </c>
      <c r="G40" s="154">
        <f>ROUND(E40*F40,2)</f>
        <v/>
      </c>
      <c r="H40" s="223">
        <f>G40/$G$61</f>
        <v/>
      </c>
      <c r="I40" s="147">
        <f>ROUND(F40*'Прил. 10'!$D$13,2)</f>
        <v/>
      </c>
      <c r="J40" s="147">
        <f>ROUND(I40*E40,2)</f>
        <v/>
      </c>
    </row>
    <row r="41" outlineLevel="1" ht="38.25" customFormat="1" customHeight="1" s="173">
      <c r="A41" s="220" t="n">
        <v>12</v>
      </c>
      <c r="B41" s="186" t="inlineStr">
        <is>
          <t>Прайс из СД ОП</t>
        </is>
      </c>
      <c r="C41" s="219" t="inlineStr">
        <is>
          <t>Муфта концевая ПКВтп-150/240 термоусаживаемая (10кВ, 1х240 кв.мм сшит.ПЭ и ПВХ.из-я) (ПЗЭМИ, М3891)</t>
        </is>
      </c>
      <c r="D41" s="220" t="inlineStr">
        <is>
          <t>шт.</t>
        </is>
      </c>
      <c r="E41" s="253" t="n">
        <v>1.3186813186813</v>
      </c>
      <c r="F41" s="222" t="n">
        <v>107.67</v>
      </c>
      <c r="G41" s="154">
        <f>ROUND(E41*F41,2)</f>
        <v/>
      </c>
      <c r="H41" s="223">
        <f>G41/$G$61</f>
        <v/>
      </c>
      <c r="I41" s="147">
        <f>ROUND(F41*'Прил. 10'!$D$13,2)</f>
        <v/>
      </c>
      <c r="J41" s="147">
        <f>ROUND(I41*E41,2)</f>
        <v/>
      </c>
    </row>
    <row r="42" outlineLevel="1" ht="38.25" customFormat="1" customHeight="1" s="173">
      <c r="A42" s="220" t="n">
        <v>13</v>
      </c>
      <c r="B42" s="186" t="inlineStr">
        <is>
          <t>08.3.03.05-0017</t>
        </is>
      </c>
      <c r="C42" s="219" t="inlineStr">
        <is>
          <t>Проволока стальная низкоуглеродистая разного назначения оцинкованная, диаметр 3,0 мм</t>
        </is>
      </c>
      <c r="D42" s="220" t="inlineStr">
        <is>
          <t>т</t>
        </is>
      </c>
      <c r="E42" s="253" t="n">
        <v>0.0043956043956044</v>
      </c>
      <c r="F42" s="222" t="n">
        <v>12242</v>
      </c>
      <c r="G42" s="154">
        <f>ROUND(E42*F42,2)</f>
        <v/>
      </c>
      <c r="H42" s="223">
        <f>G42/$G$61</f>
        <v/>
      </c>
      <c r="I42" s="147">
        <f>ROUND(F42*'Прил. 10'!$D$13,2)</f>
        <v/>
      </c>
      <c r="J42" s="147">
        <f>ROUND(I42*E42,2)</f>
        <v/>
      </c>
    </row>
    <row r="43" outlineLevel="1" ht="25.5" customFormat="1" customHeight="1" s="173">
      <c r="A43" s="220" t="n">
        <v>14</v>
      </c>
      <c r="B43" s="186" t="inlineStr">
        <is>
          <t>20.2.10.01-0021</t>
        </is>
      </c>
      <c r="C43" s="219" t="inlineStr">
        <is>
          <t>Наконечники кабельные для электротехнических установок</t>
        </is>
      </c>
      <c r="D43" s="220" t="inlineStr">
        <is>
          <t>100 шт</t>
        </is>
      </c>
      <c r="E43" s="253" t="n">
        <v>0.013186813186813</v>
      </c>
      <c r="F43" s="222" t="n">
        <v>2550</v>
      </c>
      <c r="G43" s="154">
        <f>ROUND(E43*F43,2)</f>
        <v/>
      </c>
      <c r="H43" s="223">
        <f>G43/$G$61</f>
        <v/>
      </c>
      <c r="I43" s="147">
        <f>ROUND(F43*'Прил. 10'!$D$13,2)</f>
        <v/>
      </c>
      <c r="J43" s="147">
        <f>ROUND(I43*E43,2)</f>
        <v/>
      </c>
    </row>
    <row r="44" outlineLevel="1" ht="14.25" customFormat="1" customHeight="1" s="173">
      <c r="A44" s="220" t="n">
        <v>15</v>
      </c>
      <c r="B44" s="186" t="inlineStr">
        <is>
          <t>01.7.15.10-0053</t>
        </is>
      </c>
      <c r="C44" s="219" t="inlineStr">
        <is>
          <t>Скобы металлические</t>
        </is>
      </c>
      <c r="D44" s="220" t="inlineStr">
        <is>
          <t>кг</t>
        </is>
      </c>
      <c r="E44" s="253" t="n">
        <v>4.6153846153846</v>
      </c>
      <c r="F44" s="222" t="n">
        <v>6.4</v>
      </c>
      <c r="G44" s="154">
        <f>ROUND(E44*F44,2)</f>
        <v/>
      </c>
      <c r="H44" s="223">
        <f>G44/$G$61</f>
        <v/>
      </c>
      <c r="I44" s="147">
        <f>ROUND(F44*'Прил. 10'!$D$13,2)</f>
        <v/>
      </c>
      <c r="J44" s="147">
        <f>ROUND(I44*E44,2)</f>
        <v/>
      </c>
    </row>
    <row r="45" outlineLevel="1" ht="14.25" customFormat="1" customHeight="1" s="173">
      <c r="A45" s="220" t="n">
        <v>16</v>
      </c>
      <c r="B45" s="186" t="inlineStr">
        <is>
          <t>20.1.02.23-0091</t>
        </is>
      </c>
      <c r="C45" s="219" t="inlineStr">
        <is>
          <t>Плакат по ТБ</t>
        </is>
      </c>
      <c r="D45" s="220" t="inlineStr">
        <is>
          <t>100 шт</t>
        </is>
      </c>
      <c r="E45" s="253" t="n">
        <v>0.0043956043956044</v>
      </c>
      <c r="F45" s="222" t="n">
        <v>4000</v>
      </c>
      <c r="G45" s="154">
        <f>ROUND(E45*F45,2)</f>
        <v/>
      </c>
      <c r="H45" s="223">
        <f>G45/$G$61</f>
        <v/>
      </c>
      <c r="I45" s="147">
        <f>ROUND(F45*'Прил. 10'!$D$13,2)</f>
        <v/>
      </c>
      <c r="J45" s="147">
        <f>ROUND(I45*E45,2)</f>
        <v/>
      </c>
    </row>
    <row r="46" outlineLevel="1" ht="25.5" customFormat="1" customHeight="1" s="173">
      <c r="A46" s="220" t="n">
        <v>17</v>
      </c>
      <c r="B46" s="186" t="inlineStr">
        <is>
          <t>20.2.10.01-0020</t>
        </is>
      </c>
      <c r="C46" s="219" t="inlineStr">
        <is>
          <t>Наконечники кабельные алюминиевые ТА 240-20-20</t>
        </is>
      </c>
      <c r="D46" s="220" t="inlineStr">
        <is>
          <t>100 шт</t>
        </is>
      </c>
      <c r="E46" s="253" t="n">
        <v>0.013186813186813</v>
      </c>
      <c r="F46" s="222" t="n">
        <v>971.8200000000001</v>
      </c>
      <c r="G46" s="154">
        <f>ROUND(E46*F46,2)</f>
        <v/>
      </c>
      <c r="H46" s="223">
        <f>G46/$G$61</f>
        <v/>
      </c>
      <c r="I46" s="147">
        <f>ROUND(F46*'Прил. 10'!$D$13,2)</f>
        <v/>
      </c>
      <c r="J46" s="147">
        <f>ROUND(I46*E46,2)</f>
        <v/>
      </c>
    </row>
    <row r="47" outlineLevel="1" ht="14.25" customFormat="1" customHeight="1" s="173">
      <c r="A47" s="220" t="n">
        <v>18</v>
      </c>
      <c r="B47" s="186" t="inlineStr">
        <is>
          <t>14.4.02.09-0001</t>
        </is>
      </c>
      <c r="C47" s="219" t="inlineStr">
        <is>
          <t>Краска</t>
        </is>
      </c>
      <c r="D47" s="220" t="inlineStr">
        <is>
          <t>кг</t>
        </is>
      </c>
      <c r="E47" s="253" t="n">
        <v>0.38004395604396</v>
      </c>
      <c r="F47" s="222" t="n">
        <v>28.6</v>
      </c>
      <c r="G47" s="154">
        <f>ROUND(E47*F47,2)</f>
        <v/>
      </c>
      <c r="H47" s="223">
        <f>G47/$G$61</f>
        <v/>
      </c>
      <c r="I47" s="147">
        <f>ROUND(F47*'Прил. 10'!$D$13,2)</f>
        <v/>
      </c>
      <c r="J47" s="147">
        <f>ROUND(I47*E47,2)</f>
        <v/>
      </c>
    </row>
    <row r="48" outlineLevel="1" ht="51" customFormat="1" customHeight="1" s="173">
      <c r="A48" s="220" t="n">
        <v>19</v>
      </c>
      <c r="B48" s="186" t="inlineStr">
        <is>
          <t>10.1.02.04-0009</t>
        </is>
      </c>
      <c r="C48" s="21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20" t="inlineStr">
        <is>
          <t>т</t>
        </is>
      </c>
      <c r="E48" s="253" t="n">
        <v>0.00013494505494506</v>
      </c>
      <c r="F48" s="222" t="n">
        <v>55960.01</v>
      </c>
      <c r="G48" s="154">
        <f>ROUND(E48*F48,2)</f>
        <v/>
      </c>
      <c r="H48" s="223">
        <f>G48/$G$61</f>
        <v/>
      </c>
      <c r="I48" s="147">
        <f>ROUND(F48*'Прил. 10'!$D$13,2)</f>
        <v/>
      </c>
      <c r="J48" s="147">
        <f>ROUND(I48*E48,2)</f>
        <v/>
      </c>
    </row>
    <row r="49" outlineLevel="1" ht="25.5" customFormat="1" customHeight="1" s="173">
      <c r="A49" s="220" t="n">
        <v>20</v>
      </c>
      <c r="B49" s="186" t="inlineStr">
        <is>
          <t>999-9950</t>
        </is>
      </c>
      <c r="C49" s="219" t="inlineStr">
        <is>
          <t>Вспомогательные ненормируемые ресурсы (2% от Фонда оплаты труда)</t>
        </is>
      </c>
      <c r="D49" s="220" t="inlineStr">
        <is>
          <t>руб</t>
        </is>
      </c>
      <c r="E49" s="253" t="n">
        <v>6.7974505494506</v>
      </c>
      <c r="F49" s="222" t="n">
        <v>1</v>
      </c>
      <c r="G49" s="154">
        <f>ROUND(E49*F49,2)</f>
        <v/>
      </c>
      <c r="H49" s="223">
        <f>G49/$G$61</f>
        <v/>
      </c>
      <c r="I49" s="147">
        <f>ROUND(F49*'Прил. 10'!$D$13,2)</f>
        <v/>
      </c>
      <c r="J49" s="147">
        <f>ROUND(I49*E49,2)</f>
        <v/>
      </c>
    </row>
    <row r="50" outlineLevel="1" ht="14.25" customFormat="1" customHeight="1" s="173">
      <c r="A50" s="220" t="n">
        <v>21</v>
      </c>
      <c r="B50" s="186" t="inlineStr">
        <is>
          <t>01.7.15.03-0042</t>
        </is>
      </c>
      <c r="C50" s="219" t="inlineStr">
        <is>
          <t>Болты с гайками и шайбами строительные</t>
        </is>
      </c>
      <c r="D50" s="220" t="inlineStr">
        <is>
          <t>кг</t>
        </is>
      </c>
      <c r="E50" s="253" t="n">
        <v>0.73318681318681</v>
      </c>
      <c r="F50" s="222" t="n">
        <v>9.039999999999999</v>
      </c>
      <c r="G50" s="154">
        <f>ROUND(E50*F50,2)</f>
        <v/>
      </c>
      <c r="H50" s="223">
        <f>G50/$G$61</f>
        <v/>
      </c>
      <c r="I50" s="147">
        <f>ROUND(F50*'Прил. 10'!$D$13,2)</f>
        <v/>
      </c>
      <c r="J50" s="147">
        <f>ROUND(I50*E50,2)</f>
        <v/>
      </c>
    </row>
    <row r="51" outlineLevel="1" ht="25.5" customFormat="1" customHeight="1" s="173">
      <c r="A51" s="220" t="n">
        <v>22</v>
      </c>
      <c r="B51" s="186" t="inlineStr">
        <is>
          <t>10.2.02.10-0013</t>
        </is>
      </c>
      <c r="C51" s="219" t="inlineStr">
        <is>
          <t>Прутки медные, круглые, марка М3, диаметр 20 мм</t>
        </is>
      </c>
      <c r="D51" s="220" t="inlineStr">
        <is>
          <t>т</t>
        </is>
      </c>
      <c r="E51" s="253" t="n">
        <v>8.2197802197802e-05</v>
      </c>
      <c r="F51" s="222" t="n">
        <v>71640</v>
      </c>
      <c r="G51" s="154">
        <f>ROUND(E51*F51,2)</f>
        <v/>
      </c>
      <c r="H51" s="223">
        <f>G51/$G$61</f>
        <v/>
      </c>
      <c r="I51" s="147">
        <f>ROUND(F51*'Прил. 10'!$D$13,2)</f>
        <v/>
      </c>
      <c r="J51" s="147">
        <f>ROUND(I51*E51,2)</f>
        <v/>
      </c>
    </row>
    <row r="52" outlineLevel="1" ht="14.25" customFormat="1" customHeight="1" s="173">
      <c r="A52" s="220" t="n">
        <v>23</v>
      </c>
      <c r="B52" s="186" t="inlineStr">
        <is>
          <t>25.2.01.01-0015</t>
        </is>
      </c>
      <c r="C52" s="219" t="inlineStr">
        <is>
          <t>Бирки маркировочные</t>
        </is>
      </c>
      <c r="D52" s="220" t="inlineStr">
        <is>
          <t>100 шт</t>
        </is>
      </c>
      <c r="E52" s="253" t="n">
        <v>0.036413186813187</v>
      </c>
      <c r="F52" s="222" t="n">
        <v>142.5</v>
      </c>
      <c r="G52" s="154">
        <f>ROUND(E52*F52,2)</f>
        <v/>
      </c>
      <c r="H52" s="223">
        <f>G52/$G$61</f>
        <v/>
      </c>
      <c r="I52" s="147">
        <f>ROUND(F52*'Прил. 10'!$D$13,2)</f>
        <v/>
      </c>
      <c r="J52" s="147">
        <f>ROUND(I52*E52,2)</f>
        <v/>
      </c>
    </row>
    <row r="53" outlineLevel="1" ht="14.25" customFormat="1" customHeight="1" s="173">
      <c r="A53" s="220" t="n">
        <v>24</v>
      </c>
      <c r="B53" s="186" t="inlineStr">
        <is>
          <t>01.3.02.02-0001</t>
        </is>
      </c>
      <c r="C53" s="219" t="inlineStr">
        <is>
          <t>Аргон газообразный, сорт I</t>
        </is>
      </c>
      <c r="D53" s="220" t="inlineStr">
        <is>
          <t>м3</t>
        </is>
      </c>
      <c r="E53" s="253" t="n">
        <v>0.15006593406593</v>
      </c>
      <c r="F53" s="222" t="n">
        <v>17.86</v>
      </c>
      <c r="G53" s="154">
        <f>ROUND(E53*F53,2)</f>
        <v/>
      </c>
      <c r="H53" s="223">
        <f>G53/$G$61</f>
        <v/>
      </c>
      <c r="I53" s="147">
        <f>ROUND(F53*'Прил. 10'!$D$13,2)</f>
        <v/>
      </c>
      <c r="J53" s="147">
        <f>ROUND(I53*E53,2)</f>
        <v/>
      </c>
    </row>
    <row r="54" outlineLevel="1" ht="14.25" customFormat="1" customHeight="1" s="173">
      <c r="A54" s="220" t="n">
        <v>25</v>
      </c>
      <c r="B54" s="186" t="inlineStr">
        <is>
          <t>01.7.15.11-0061</t>
        </is>
      </c>
      <c r="C54" s="219" t="inlineStr">
        <is>
          <t>Шайбы пружинные</t>
        </is>
      </c>
      <c r="D54" s="220" t="inlineStr">
        <is>
          <t>т</t>
        </is>
      </c>
      <c r="E54" s="253" t="n">
        <v>2.7472527472527e-05</v>
      </c>
      <c r="F54" s="222" t="n">
        <v>31600</v>
      </c>
      <c r="G54" s="154">
        <f>ROUND(E54*F54,2)</f>
        <v/>
      </c>
      <c r="H54" s="223">
        <f>G54/$G$61</f>
        <v/>
      </c>
      <c r="I54" s="147">
        <f>ROUND(F54*'Прил. 10'!$D$13,2)</f>
        <v/>
      </c>
      <c r="J54" s="147">
        <f>ROUND(I54*E54,2)</f>
        <v/>
      </c>
    </row>
    <row r="55" outlineLevel="1" ht="14.25" customFormat="1" customHeight="1" s="173">
      <c r="A55" s="220" t="n">
        <v>26</v>
      </c>
      <c r="B55" s="186" t="inlineStr">
        <is>
          <t>01.3.01.01-0001</t>
        </is>
      </c>
      <c r="C55" s="219" t="inlineStr">
        <is>
          <t>Бензин авиационный Б-70</t>
        </is>
      </c>
      <c r="D55" s="220" t="inlineStr">
        <is>
          <t>т</t>
        </is>
      </c>
      <c r="E55" s="253" t="n">
        <v>0.00017582417582418</v>
      </c>
      <c r="F55" s="222" t="n">
        <v>4488.4</v>
      </c>
      <c r="G55" s="154">
        <f>ROUND(E55*F55,2)</f>
        <v/>
      </c>
      <c r="H55" s="223">
        <f>G55/$G$61</f>
        <v/>
      </c>
      <c r="I55" s="147">
        <f>ROUND(F55*'Прил. 10'!$D$13,2)</f>
        <v/>
      </c>
      <c r="J55" s="147">
        <f>ROUND(I55*E55,2)</f>
        <v/>
      </c>
    </row>
    <row r="56" outlineLevel="1" ht="14.25" customFormat="1" customHeight="1" s="173">
      <c r="A56" s="220" t="n">
        <v>27</v>
      </c>
      <c r="B56" s="186" t="inlineStr">
        <is>
          <t>01.7.06.07-0001</t>
        </is>
      </c>
      <c r="C56" s="219" t="inlineStr">
        <is>
          <t>Лента К226</t>
        </is>
      </c>
      <c r="D56" s="220" t="inlineStr">
        <is>
          <t>100 м</t>
        </is>
      </c>
      <c r="E56" s="253" t="n">
        <v>0.0010549450549451</v>
      </c>
      <c r="F56" s="222" t="n">
        <v>120</v>
      </c>
      <c r="G56" s="154">
        <f>ROUND(E56*F56,2)</f>
        <v/>
      </c>
      <c r="H56" s="223">
        <f>G56/$G$61</f>
        <v/>
      </c>
      <c r="I56" s="147">
        <f>ROUND(F56*'Прил. 10'!$D$13,2)</f>
        <v/>
      </c>
      <c r="J56" s="147">
        <f>ROUND(I56*E56,2)</f>
        <v/>
      </c>
    </row>
    <row r="57" outlineLevel="1" ht="14.25" customFormat="1" customHeight="1" s="173">
      <c r="A57" s="220" t="n">
        <v>28</v>
      </c>
      <c r="B57" s="186" t="inlineStr">
        <is>
          <t>01.7.11.07-0227</t>
        </is>
      </c>
      <c r="C57" s="219" t="inlineStr">
        <is>
          <t>Электроды УОНИ 13/45</t>
        </is>
      </c>
      <c r="D57" s="220" t="inlineStr">
        <is>
          <t>кг</t>
        </is>
      </c>
      <c r="E57" s="253" t="n">
        <v>0.003956043956044</v>
      </c>
      <c r="F57" s="222" t="n">
        <v>15.26</v>
      </c>
      <c r="G57" s="154">
        <f>ROUND(E57*F57,2)</f>
        <v/>
      </c>
      <c r="H57" s="223">
        <f>G57/$G$61</f>
        <v/>
      </c>
      <c r="I57" s="147">
        <f>ROUND(F57*'Прил. 10'!$D$13,2)</f>
        <v/>
      </c>
      <c r="J57" s="147">
        <f>ROUND(I57*E57,2)</f>
        <v/>
      </c>
    </row>
    <row r="58" outlineLevel="1" ht="14.25" customFormat="1" customHeight="1" s="173">
      <c r="A58" s="220" t="n">
        <v>29</v>
      </c>
      <c r="B58" s="186" t="inlineStr">
        <is>
          <t>01.3.01.05-0009</t>
        </is>
      </c>
      <c r="C58" s="219" t="inlineStr">
        <is>
          <t>Парафин нефтяной твердый Т-1</t>
        </is>
      </c>
      <c r="D58" s="220" t="inlineStr">
        <is>
          <t>т</t>
        </is>
      </c>
      <c r="E58" s="253" t="n">
        <v>4.3956043956044e-06</v>
      </c>
      <c r="F58" s="222" t="n">
        <v>8105.71</v>
      </c>
      <c r="G58" s="154">
        <f>ROUND(E58*F58,2)</f>
        <v/>
      </c>
      <c r="H58" s="223">
        <f>G58/$G$61</f>
        <v/>
      </c>
      <c r="I58" s="147">
        <f>ROUND(F58*'Прил. 10'!$D$13,2)</f>
        <v/>
      </c>
      <c r="J58" s="147">
        <f>ROUND(I58*E58,2)</f>
        <v/>
      </c>
    </row>
    <row r="59" outlineLevel="1" ht="14.25" customFormat="1" customHeight="1" s="173">
      <c r="A59" s="220" t="n">
        <v>30</v>
      </c>
      <c r="B59" s="186" t="inlineStr">
        <is>
          <t>20.2.08.03-0001</t>
        </is>
      </c>
      <c r="C59" s="219" t="inlineStr">
        <is>
          <t>Кнопки монтажные</t>
        </is>
      </c>
      <c r="D59" s="220" t="inlineStr">
        <is>
          <t>1000 шт</t>
        </is>
      </c>
      <c r="E59" s="253" t="n">
        <v>0.0008967032967032999</v>
      </c>
      <c r="F59" s="222" t="n">
        <v>19.5</v>
      </c>
      <c r="G59" s="154">
        <f>ROUND(E59*F59,2)</f>
        <v/>
      </c>
      <c r="H59" s="223">
        <f>G59/$G$61</f>
        <v/>
      </c>
      <c r="I59" s="147">
        <f>ROUND(F59*'Прил. 10'!$D$13,2)</f>
        <v/>
      </c>
      <c r="J59" s="147">
        <f>ROUND(I59*E59,2)</f>
        <v/>
      </c>
    </row>
    <row r="60" ht="14.25" customFormat="1" customHeight="1" s="173">
      <c r="A60" s="220" t="n"/>
      <c r="B60" s="220" t="n"/>
      <c r="C60" s="219" t="inlineStr">
        <is>
          <t>Итого прочие материалы</t>
        </is>
      </c>
      <c r="D60" s="220" t="n"/>
      <c r="E60" s="221" t="n"/>
      <c r="F60" s="222" t="n"/>
      <c r="G60" s="70">
        <f>SUM(G40:G59)</f>
        <v/>
      </c>
      <c r="H60" s="223">
        <f>G60/$G$61</f>
        <v/>
      </c>
      <c r="I60" s="154" t="n"/>
      <c r="J60" s="70">
        <f>SUM(J40:J59)</f>
        <v/>
      </c>
    </row>
    <row r="61" ht="14.25" customFormat="1" customHeight="1" s="173">
      <c r="A61" s="220" t="n"/>
      <c r="B61" s="220" t="n"/>
      <c r="C61" s="224" t="inlineStr">
        <is>
          <t>Итого по разделу «Материалы»</t>
        </is>
      </c>
      <c r="D61" s="220" t="n"/>
      <c r="E61" s="221" t="n"/>
      <c r="F61" s="222" t="n"/>
      <c r="G61" s="154">
        <f>G39+G60</f>
        <v/>
      </c>
      <c r="H61" s="223">
        <f>G61/$G$61</f>
        <v/>
      </c>
      <c r="I61" s="154" t="n"/>
      <c r="J61" s="154">
        <f>J39+J60</f>
        <v/>
      </c>
    </row>
    <row r="62" ht="14.25" customFormat="1" customHeight="1" s="173">
      <c r="A62" s="220" t="n"/>
      <c r="B62" s="220" t="n"/>
      <c r="C62" s="219" t="inlineStr">
        <is>
          <t>ИТОГО ПО РМ</t>
        </is>
      </c>
      <c r="D62" s="220" t="n"/>
      <c r="E62" s="221" t="n"/>
      <c r="F62" s="222" t="n"/>
      <c r="G62" s="154">
        <f>G15+G28+G61</f>
        <v/>
      </c>
      <c r="H62" s="225" t="n"/>
      <c r="I62" s="154" t="n"/>
      <c r="J62" s="154">
        <f>J15+J28+J61</f>
        <v/>
      </c>
    </row>
    <row r="63" ht="14.25" customFormat="1" customHeight="1" s="173">
      <c r="A63" s="220" t="n"/>
      <c r="B63" s="220" t="n"/>
      <c r="C63" s="219" t="inlineStr">
        <is>
          <t>Накладные расходы</t>
        </is>
      </c>
      <c r="D63" s="61" t="n">
        <v>1</v>
      </c>
      <c r="E63" s="221" t="n"/>
      <c r="F63" s="222" t="n"/>
      <c r="G63" s="154">
        <f>D63*($G$15+$G$17)</f>
        <v/>
      </c>
      <c r="H63" s="225" t="n"/>
      <c r="I63" s="154" t="n"/>
      <c r="J63" s="154">
        <f>ROUND(D63*(J15+J17),2)</f>
        <v/>
      </c>
    </row>
    <row r="64" ht="14.25" customFormat="1" customHeight="1" s="173">
      <c r="A64" s="220" t="n"/>
      <c r="B64" s="220" t="n"/>
      <c r="C64" s="219" t="inlineStr">
        <is>
          <t>Сметная прибыль</t>
        </is>
      </c>
      <c r="D64" s="61" t="n">
        <v>0.6899999999999999</v>
      </c>
      <c r="E64" s="221" t="n"/>
      <c r="F64" s="222" t="n"/>
      <c r="G64" s="154">
        <f>D64*($G$15+$G$17)</f>
        <v/>
      </c>
      <c r="H64" s="225" t="n"/>
      <c r="I64" s="154" t="n"/>
      <c r="J64" s="154">
        <f>ROUND(D64*(J15+J17),2)</f>
        <v/>
      </c>
    </row>
    <row r="65" ht="14.25" customFormat="1" customHeight="1" s="173">
      <c r="A65" s="220" t="n"/>
      <c r="B65" s="220" t="n"/>
      <c r="C65" s="219" t="inlineStr">
        <is>
          <t>Итого СМР (с НР и СП)</t>
        </is>
      </c>
      <c r="D65" s="220" t="n"/>
      <c r="E65" s="221" t="n"/>
      <c r="F65" s="222" t="n"/>
      <c r="G65" s="154">
        <f>ROUND((G15+G28+G61+G63+G64),2)</f>
        <v/>
      </c>
      <c r="H65" s="225" t="n"/>
      <c r="I65" s="154" t="n"/>
      <c r="J65" s="154">
        <f>ROUND((J15+J28+J61+J63+J64),2)</f>
        <v/>
      </c>
    </row>
    <row r="66" ht="14.25" customFormat="1" customHeight="1" s="173">
      <c r="A66" s="220" t="n"/>
      <c r="B66" s="220" t="n"/>
      <c r="C66" s="219" t="inlineStr">
        <is>
          <t>ВСЕГО СМР + ОБОРУДОВАНИЕ</t>
        </is>
      </c>
      <c r="D66" s="220" t="n"/>
      <c r="E66" s="221" t="n"/>
      <c r="F66" s="222" t="n"/>
      <c r="G66" s="154">
        <f>G65+G34</f>
        <v/>
      </c>
      <c r="H66" s="225" t="n"/>
      <c r="I66" s="154" t="n"/>
      <c r="J66" s="154">
        <f>J65+J34</f>
        <v/>
      </c>
    </row>
    <row r="67" ht="34.5" customFormat="1" customHeight="1" s="173">
      <c r="A67" s="220" t="n"/>
      <c r="B67" s="220" t="n"/>
      <c r="C67" s="219" t="inlineStr">
        <is>
          <t>ИТОГО ПОКАЗАТЕЛЬ НА ЕД. ИЗМ.</t>
        </is>
      </c>
      <c r="D67" s="220" t="inlineStr">
        <is>
          <t>ячейка</t>
        </is>
      </c>
      <c r="E67" s="221" t="n">
        <v>2</v>
      </c>
      <c r="F67" s="222" t="n"/>
      <c r="G67" s="154">
        <f>G66/E67</f>
        <v/>
      </c>
      <c r="H67" s="225" t="n"/>
      <c r="I67" s="154" t="n"/>
      <c r="J67" s="154">
        <f>J66/E67</f>
        <v/>
      </c>
    </row>
    <row r="69" ht="14.25" customFormat="1" customHeight="1" s="173">
      <c r="A69" s="172" t="inlineStr">
        <is>
          <t>Составил ______________________     Д.А. Самуйленко</t>
        </is>
      </c>
    </row>
    <row r="70" ht="14.25" customFormat="1" customHeight="1" s="173">
      <c r="A70" s="175" t="inlineStr">
        <is>
          <t xml:space="preserve">                         (подпись, инициалы, фамилия)</t>
        </is>
      </c>
    </row>
    <row r="71" ht="14.25" customFormat="1" customHeight="1" s="173">
      <c r="A71" s="172" t="n"/>
    </row>
    <row r="72" ht="14.25" customFormat="1" customHeight="1" s="173">
      <c r="A72" s="172" t="inlineStr">
        <is>
          <t>Проверил ______________________        А.В. Костянецкая</t>
        </is>
      </c>
    </row>
    <row r="73" ht="14.25" customFormat="1" customHeight="1" s="173">
      <c r="A73" s="175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3" workbookViewId="0">
      <selection activeCell="B15" sqref="B15"/>
    </sheetView>
  </sheetViews>
  <sheetFormatPr baseColWidth="8" defaultRowHeight="14.4"/>
  <cols>
    <col width="5.6640625" customWidth="1" style="166" min="1" max="1"/>
    <col width="17.5546875" customWidth="1" style="166" min="2" max="2"/>
    <col width="39.109375" customWidth="1" style="166" min="3" max="3"/>
    <col width="10.6640625" customWidth="1" style="166" min="4" max="4"/>
    <col width="13.88671875" customWidth="1" style="166" min="5" max="5"/>
    <col width="13.33203125" customWidth="1" style="166" min="6" max="6"/>
    <col width="14.109375" customWidth="1" style="166" min="7" max="7"/>
  </cols>
  <sheetData>
    <row r="1">
      <c r="A1" s="237" t="inlineStr">
        <is>
          <t>Приложение №6</t>
        </is>
      </c>
    </row>
    <row r="2" ht="21.75" customHeight="1" s="166">
      <c r="A2" s="237" t="n"/>
      <c r="B2" s="237" t="n"/>
      <c r="C2" s="237" t="n"/>
      <c r="D2" s="237" t="n"/>
      <c r="E2" s="237" t="n"/>
      <c r="F2" s="237" t="n"/>
      <c r="G2" s="237" t="n"/>
    </row>
    <row r="3">
      <c r="A3" s="216" t="inlineStr">
        <is>
          <t>Расчет стоимости оборудования</t>
        </is>
      </c>
    </row>
    <row r="4">
      <c r="A4" s="238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630 кВА</t>
        </is>
      </c>
    </row>
    <row r="5">
      <c r="A5" s="172" t="n"/>
      <c r="B5" s="172" t="n"/>
      <c r="C5" s="172" t="n"/>
      <c r="D5" s="172" t="n"/>
      <c r="E5" s="172" t="n"/>
      <c r="F5" s="172" t="n"/>
      <c r="G5" s="172" t="n"/>
    </row>
    <row r="6" ht="30.15" customHeight="1" s="166">
      <c r="A6" s="220" t="inlineStr">
        <is>
          <t>№ пп.</t>
        </is>
      </c>
      <c r="B6" s="220" t="inlineStr">
        <is>
          <t>Код ресурса</t>
        </is>
      </c>
      <c r="C6" s="220" t="inlineStr">
        <is>
          <t>Наименование</t>
        </is>
      </c>
      <c r="D6" s="220" t="inlineStr">
        <is>
          <t>Ед. изм.</t>
        </is>
      </c>
      <c r="E6" s="220" t="inlineStr">
        <is>
          <t>Кол-во единиц по проектным данным</t>
        </is>
      </c>
      <c r="F6" s="243" t="inlineStr">
        <is>
          <t>Сметная стоимость в ценах на 01.01.2000 (руб.)</t>
        </is>
      </c>
      <c r="G6" s="247" t="n"/>
    </row>
    <row r="7">
      <c r="A7" s="249" t="n"/>
      <c r="B7" s="249" t="n"/>
      <c r="C7" s="249" t="n"/>
      <c r="D7" s="249" t="n"/>
      <c r="E7" s="249" t="n"/>
      <c r="F7" s="220" t="inlineStr">
        <is>
          <t>на ед. изм.</t>
        </is>
      </c>
      <c r="G7" s="220" t="inlineStr">
        <is>
          <t>общая</t>
        </is>
      </c>
    </row>
    <row r="8">
      <c r="A8" s="220" t="n">
        <v>1</v>
      </c>
      <c r="B8" s="220" t="n">
        <v>2</v>
      </c>
      <c r="C8" s="220" t="n">
        <v>3</v>
      </c>
      <c r="D8" s="220" t="n">
        <v>4</v>
      </c>
      <c r="E8" s="220" t="n">
        <v>5</v>
      </c>
      <c r="F8" s="220" t="n">
        <v>6</v>
      </c>
      <c r="G8" s="220" t="n">
        <v>7</v>
      </c>
    </row>
    <row r="9" ht="15" customHeight="1" s="166">
      <c r="A9" s="93" t="n"/>
      <c r="B9" s="219" t="inlineStr">
        <is>
          <t>ИНЖЕНЕРНОЕ ОБОРУДОВАНИЕ</t>
        </is>
      </c>
      <c r="C9" s="246" t="n"/>
      <c r="D9" s="246" t="n"/>
      <c r="E9" s="246" t="n"/>
      <c r="F9" s="246" t="n"/>
      <c r="G9" s="247" t="n"/>
    </row>
    <row r="10" ht="27" customHeight="1" s="166">
      <c r="A10" s="220" t="n"/>
      <c r="B10" s="224" t="n"/>
      <c r="C10" s="219" t="inlineStr">
        <is>
          <t>ИТОГО ИНЖЕНЕРНОЕ ОБОРУДОВАНИЕ</t>
        </is>
      </c>
      <c r="D10" s="224" t="n"/>
      <c r="E10" s="15" t="n"/>
      <c r="F10" s="222" t="n"/>
      <c r="G10" s="222" t="n">
        <v>0</v>
      </c>
    </row>
    <row r="11">
      <c r="A11" s="220" t="n"/>
      <c r="B11" s="219" t="inlineStr">
        <is>
          <t>ТЕХНОЛОГИЧЕСКОЕ ОБОРУДОВАНИЕ</t>
        </is>
      </c>
      <c r="C11" s="246" t="n"/>
      <c r="D11" s="246" t="n"/>
      <c r="E11" s="246" t="n"/>
      <c r="F11" s="246" t="n"/>
      <c r="G11" s="247" t="n"/>
    </row>
    <row r="12" ht="25.5" customHeight="1" s="166">
      <c r="A12" s="220" t="n">
        <v>1</v>
      </c>
      <c r="B12" s="186">
        <f>'Прил.5 Расчет СМР и ОБ'!B31</f>
        <v/>
      </c>
      <c r="C12" s="219">
        <f>'Прил.5 Расчет СМР и ОБ'!C31</f>
        <v/>
      </c>
      <c r="D12" s="220">
        <f>'Прил.5 Расчет СМР и ОБ'!D31</f>
        <v/>
      </c>
      <c r="E12" s="178">
        <f>'Прил.5 Расчет СМР и ОБ'!E31</f>
        <v/>
      </c>
      <c r="F12" s="154">
        <f>'Прил.5 Расчет СМР и ОБ'!F31</f>
        <v/>
      </c>
      <c r="G12" s="154">
        <f>ROUND(E12*F12,2)</f>
        <v/>
      </c>
    </row>
    <row r="13" ht="25.5" customHeight="1" s="166">
      <c r="A13" s="220" t="n"/>
      <c r="B13" s="219" t="n"/>
      <c r="C13" s="219" t="inlineStr">
        <is>
          <t>ИТОГО ТЕХНОЛОГИЧЕСКОЕ ОБОРУДОВАНИЕ</t>
        </is>
      </c>
      <c r="D13" s="219" t="n"/>
      <c r="E13" s="242" t="n"/>
      <c r="F13" s="154" t="n"/>
      <c r="G13" s="154">
        <f>SUM(G12:G12)</f>
        <v/>
      </c>
    </row>
    <row r="14" ht="19.5" customHeight="1" s="166">
      <c r="A14" s="220" t="n"/>
      <c r="B14" s="219" t="n"/>
      <c r="C14" s="219" t="inlineStr">
        <is>
          <t>Всего по разделу «Оборудование»</t>
        </is>
      </c>
      <c r="D14" s="219" t="n"/>
      <c r="E14" s="242" t="n"/>
      <c r="F14" s="154" t="n"/>
      <c r="G14" s="154">
        <f>G10+G13</f>
        <v/>
      </c>
    </row>
    <row r="15">
      <c r="A15" s="174" t="n"/>
      <c r="B15" s="18" t="n"/>
      <c r="C15" s="174" t="n"/>
      <c r="D15" s="174" t="n"/>
      <c r="E15" s="174" t="n"/>
      <c r="F15" s="174" t="n"/>
      <c r="G15" s="174" t="n"/>
    </row>
    <row r="16">
      <c r="A16" s="172" t="inlineStr">
        <is>
          <t>Составил ______________________    Д.А. Самуйленко</t>
        </is>
      </c>
      <c r="B16" s="173" t="n"/>
      <c r="C16" s="173" t="n"/>
      <c r="D16" s="174" t="n"/>
      <c r="E16" s="174" t="n"/>
      <c r="F16" s="174" t="n"/>
      <c r="G16" s="174" t="n"/>
    </row>
    <row r="17">
      <c r="A17" s="175" t="inlineStr">
        <is>
          <t xml:space="preserve">                         (подпись, инициалы, фамилия)</t>
        </is>
      </c>
      <c r="B17" s="173" t="n"/>
      <c r="C17" s="173" t="n"/>
      <c r="D17" s="174" t="n"/>
      <c r="E17" s="174" t="n"/>
      <c r="F17" s="174" t="n"/>
      <c r="G17" s="174" t="n"/>
    </row>
    <row r="18">
      <c r="A18" s="172" t="n"/>
      <c r="B18" s="173" t="n"/>
      <c r="C18" s="173" t="n"/>
      <c r="D18" s="174" t="n"/>
      <c r="E18" s="174" t="n"/>
      <c r="F18" s="174" t="n"/>
      <c r="G18" s="174" t="n"/>
    </row>
    <row r="19">
      <c r="A19" s="172" t="inlineStr">
        <is>
          <t>Проверил ______________________        А.В. Костянецкая</t>
        </is>
      </c>
      <c r="B19" s="173" t="n"/>
      <c r="C19" s="173" t="n"/>
      <c r="D19" s="174" t="n"/>
      <c r="E19" s="174" t="n"/>
      <c r="F19" s="174" t="n"/>
      <c r="G19" s="174" t="n"/>
    </row>
    <row r="20">
      <c r="A20" s="175" t="inlineStr">
        <is>
          <t xml:space="preserve">                        (подпись, инициалы, фамилия)</t>
        </is>
      </c>
      <c r="B20" s="173" t="n"/>
      <c r="C20" s="173" t="n"/>
      <c r="D20" s="174" t="n"/>
      <c r="E20" s="174" t="n"/>
      <c r="F20" s="174" t="n"/>
      <c r="G20" s="17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66" min="1" max="1"/>
    <col width="16.44140625" customWidth="1" style="166" min="2" max="2"/>
    <col width="37.109375" customWidth="1" style="166" min="3" max="3"/>
    <col width="49" customWidth="1" style="166" min="4" max="4"/>
    <col width="9.109375" customWidth="1" style="166" min="5" max="5"/>
  </cols>
  <sheetData>
    <row r="1" ht="15.75" customHeight="1" s="166">
      <c r="A1" s="169" t="n"/>
      <c r="B1" s="169" t="n"/>
      <c r="C1" s="169" t="n"/>
      <c r="D1" s="169" t="inlineStr">
        <is>
          <t>Приложение №7</t>
        </is>
      </c>
    </row>
    <row r="2" ht="15.75" customHeight="1" s="166">
      <c r="A2" s="169" t="n"/>
      <c r="B2" s="169" t="n"/>
      <c r="C2" s="169" t="n"/>
      <c r="D2" s="169" t="n"/>
    </row>
    <row r="3" ht="15.75" customHeight="1" s="166">
      <c r="A3" s="169" t="n"/>
      <c r="B3" s="167" t="inlineStr">
        <is>
          <t>Расчет показателя УНЦ</t>
        </is>
      </c>
      <c r="C3" s="169" t="n"/>
      <c r="D3" s="169" t="n"/>
    </row>
    <row r="4" ht="15.75" customHeight="1" s="166">
      <c r="A4" s="169" t="n"/>
      <c r="B4" s="169" t="n"/>
      <c r="C4" s="169" t="n"/>
      <c r="D4" s="169" t="n"/>
    </row>
    <row r="5" ht="47.25" customHeight="1" s="166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ОБ'!D6:J6</f>
        <v/>
      </c>
    </row>
    <row r="6" ht="15.75" customHeight="1" s="166">
      <c r="A6" s="169" t="inlineStr">
        <is>
          <t>Единица измерения  — 1 ячейка</t>
        </is>
      </c>
      <c r="B6" s="169" t="n"/>
      <c r="C6" s="169" t="n"/>
      <c r="D6" s="169" t="n"/>
    </row>
    <row r="7" ht="15.75" customHeight="1" s="166">
      <c r="A7" s="169" t="n"/>
      <c r="B7" s="169" t="n"/>
      <c r="C7" s="169" t="n"/>
      <c r="D7" s="169" t="n"/>
    </row>
    <row r="8">
      <c r="A8" s="201" t="inlineStr">
        <is>
          <t>Код показателя</t>
        </is>
      </c>
      <c r="B8" s="201" t="inlineStr">
        <is>
          <t>Наименование показателя</t>
        </is>
      </c>
      <c r="C8" s="201" t="inlineStr">
        <is>
          <t>Наименование РМ, входящих в состав показателя</t>
        </is>
      </c>
      <c r="D8" s="201" t="inlineStr">
        <is>
          <t>Норматив цены на 01.01.2023, тыс.руб.</t>
        </is>
      </c>
    </row>
    <row r="9">
      <c r="A9" s="249" t="n"/>
      <c r="B9" s="249" t="n"/>
      <c r="C9" s="249" t="n"/>
      <c r="D9" s="249" t="n"/>
    </row>
    <row r="10" ht="15.75" customHeight="1" s="166">
      <c r="A10" s="201" t="n">
        <v>1</v>
      </c>
      <c r="B10" s="201" t="n">
        <v>2</v>
      </c>
      <c r="C10" s="201" t="n">
        <v>3</v>
      </c>
      <c r="D10" s="201" t="n">
        <v>4</v>
      </c>
    </row>
    <row r="11" ht="63" customHeight="1" s="166">
      <c r="A11" s="201" t="inlineStr">
        <is>
          <t>Т5.2-09-4</t>
        </is>
      </c>
      <c r="B11" s="201" t="inlineStr">
        <is>
          <t xml:space="preserve">УНЦ ячейки трансформатора 6 - 35 кВ </t>
        </is>
      </c>
      <c r="C11" s="176">
        <f>D5</f>
        <v/>
      </c>
      <c r="D11" s="171">
        <f>'Прил.4 РМ'!C41/1000</f>
        <v/>
      </c>
    </row>
    <row r="13">
      <c r="A13" s="172" t="inlineStr">
        <is>
          <t>Составил ______________________    Д.А. Самуйленко</t>
        </is>
      </c>
      <c r="B13" s="173" t="n"/>
      <c r="C13" s="173" t="n"/>
      <c r="D13" s="174" t="n"/>
    </row>
    <row r="14">
      <c r="A14" s="175" t="inlineStr">
        <is>
          <t xml:space="preserve">                         (подпись, инициалы, фамилия)</t>
        </is>
      </c>
      <c r="B14" s="173" t="n"/>
      <c r="C14" s="173" t="n"/>
      <c r="D14" s="174" t="n"/>
    </row>
    <row r="15">
      <c r="A15" s="172" t="n"/>
      <c r="B15" s="173" t="n"/>
      <c r="C15" s="173" t="n"/>
      <c r="D15" s="174" t="n"/>
    </row>
    <row r="16">
      <c r="A16" s="172" t="inlineStr">
        <is>
          <t>Проверил ______________________        А.В. Костянецкая</t>
        </is>
      </c>
      <c r="B16" s="173" t="n"/>
      <c r="C16" s="173" t="n"/>
      <c r="D16" s="174" t="n"/>
    </row>
    <row r="17" ht="20.25" customHeight="1" s="166">
      <c r="A17" s="175" t="inlineStr">
        <is>
          <t xml:space="preserve">                        (подпись, инициалы, фамилия)</t>
        </is>
      </c>
      <c r="B17" s="173" t="n"/>
      <c r="C17" s="173" t="n"/>
      <c r="D17" s="174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topLeftCell="A18" zoomScale="60" zoomScaleNormal="85" workbookViewId="0">
      <selection activeCell="H62" sqref="H62"/>
    </sheetView>
  </sheetViews>
  <sheetFormatPr baseColWidth="8" defaultColWidth="9.109375" defaultRowHeight="14.4"/>
  <cols>
    <col width="9.109375" customWidth="1" style="166" min="1" max="1"/>
    <col width="40.6640625" customWidth="1" style="166" min="2" max="2"/>
    <col width="38.5546875" customWidth="1" style="166" min="3" max="3"/>
    <col width="32" customWidth="1" style="166" min="4" max="4"/>
    <col width="9.109375" customWidth="1" style="166" min="5" max="5"/>
  </cols>
  <sheetData>
    <row r="4" ht="15.6" customHeight="1" s="166">
      <c r="B4" s="197" t="inlineStr">
        <is>
          <t>Приложение № 10</t>
        </is>
      </c>
    </row>
    <row r="5" ht="18" customHeight="1" s="166">
      <c r="B5" s="34" t="n"/>
    </row>
    <row r="6" ht="15.6" customHeight="1" s="166">
      <c r="B6" s="198" t="inlineStr">
        <is>
          <t>Используемые индексы изменений сметной стоимости и нормы сопутствующих затрат</t>
        </is>
      </c>
    </row>
    <row r="7">
      <c r="B7" s="245" t="n"/>
    </row>
    <row r="8">
      <c r="B8" s="245" t="n"/>
      <c r="C8" s="245" t="n"/>
      <c r="D8" s="245" t="n"/>
      <c r="E8" s="245" t="n"/>
    </row>
    <row r="9" ht="31.2" customHeight="1" s="166">
      <c r="B9" s="201" t="inlineStr">
        <is>
          <t>Наименование индекса / норм сопутствующих затрат</t>
        </is>
      </c>
      <c r="C9" s="201" t="inlineStr">
        <is>
          <t>Дата применения и обоснование индекса / норм сопутствующих затрат</t>
        </is>
      </c>
      <c r="D9" s="201" t="inlineStr">
        <is>
          <t>Размер индекса / норма сопутствующих затрат</t>
        </is>
      </c>
    </row>
    <row r="10" ht="15.6" customHeight="1" s="166">
      <c r="B10" s="201" t="n">
        <v>1</v>
      </c>
      <c r="C10" s="201" t="n">
        <v>2</v>
      </c>
      <c r="D10" s="201" t="n">
        <v>3</v>
      </c>
    </row>
    <row r="11" ht="31.2" customHeight="1" s="166">
      <c r="B11" s="201" t="inlineStr">
        <is>
          <t xml:space="preserve">Индекс изменения сметной стоимости на 1 квартал 2023 года. ОЗП </t>
        </is>
      </c>
      <c r="C11" s="201" t="inlineStr">
        <is>
          <t>Письмо Минстроя России от 30.03.2023г. №17106-ИФ/09  прил.1</t>
        </is>
      </c>
      <c r="D11" s="201" t="n">
        <v>44.29</v>
      </c>
    </row>
    <row r="12" ht="31.2" customHeight="1" s="166">
      <c r="B12" s="201" t="inlineStr">
        <is>
          <t>Индекс изменения сметной стоимости на 1 квартал 2023 года. ЭМ</t>
        </is>
      </c>
      <c r="C12" s="201" t="inlineStr">
        <is>
          <t>Письмо Минстроя России от 30.03.2023г. №17106-ИФ/09  прил.1</t>
        </is>
      </c>
      <c r="D12" s="201" t="n">
        <v>13.47</v>
      </c>
    </row>
    <row r="13" ht="31.2" customHeight="1" s="166">
      <c r="B13" s="201" t="inlineStr">
        <is>
          <t>Индекс изменения сметной стоимости на 1 квартал 2023 года. МАТ</t>
        </is>
      </c>
      <c r="C13" s="201" t="inlineStr">
        <is>
          <t>Письмо Минстроя России от 30.03.2023г. №17106-ИФ/09  прил.1</t>
        </is>
      </c>
      <c r="D13" s="201" t="n">
        <v>8.039999999999999</v>
      </c>
    </row>
    <row r="14" ht="31.2" customHeight="1" s="166">
      <c r="B14" s="201" t="inlineStr">
        <is>
          <t>Индекс изменения сметной стоимости на 1 квартал 2023 года. ОБ</t>
        </is>
      </c>
      <c r="C14" s="22" t="inlineStr">
        <is>
          <t>Письмо Минстроя России от 23.02.2023г. №9791-ИФ/09 прил.6</t>
        </is>
      </c>
      <c r="D14" s="201" t="n">
        <v>6.26</v>
      </c>
    </row>
    <row r="15" ht="78" customHeight="1" s="166">
      <c r="B15" s="201" t="inlineStr">
        <is>
          <t>Временные здания и сооружения</t>
        </is>
      </c>
      <c r="C15" s="20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66">
      <c r="B16" s="201" t="inlineStr">
        <is>
          <t>Дополнительные затраты при производстве строительно-монтажных работ в зимнее время</t>
        </is>
      </c>
      <c r="C16" s="20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66">
      <c r="B17" s="201" t="inlineStr">
        <is>
          <t>Пусконаладочные работы*</t>
        </is>
      </c>
      <c r="C17" s="201" t="n"/>
      <c r="D17" s="201" t="inlineStr">
        <is>
          <t>Расчет</t>
        </is>
      </c>
    </row>
    <row r="18" ht="31.2" customHeight="1" s="166">
      <c r="B18" s="201" t="inlineStr">
        <is>
          <t>Строительный контроль</t>
        </is>
      </c>
      <c r="C18" s="201" t="inlineStr">
        <is>
          <t>Постановление Правительства РФ от 21.06.10 г. № 468</t>
        </is>
      </c>
      <c r="D18" s="37" t="n">
        <v>0.0214</v>
      </c>
    </row>
    <row r="19" ht="15.6" customHeight="1" s="166">
      <c r="B19" s="201" t="inlineStr">
        <is>
          <t>Авторский надзор - 0,2%</t>
        </is>
      </c>
      <c r="C19" s="201" t="inlineStr">
        <is>
          <t>Приказ от 4.08.2020 № 421/пр п.173</t>
        </is>
      </c>
      <c r="D19" s="37" t="n">
        <v>0.002</v>
      </c>
    </row>
    <row r="20" ht="15.6" customHeight="1" s="166">
      <c r="B20" s="201" t="inlineStr">
        <is>
          <t>Непредвиденные расходы</t>
        </is>
      </c>
      <c r="C20" s="201" t="inlineStr">
        <is>
          <t>Приказ от 4.08.2020 № 421/пр п.179</t>
        </is>
      </c>
      <c r="D20" s="37" t="n">
        <v>0.03</v>
      </c>
    </row>
    <row r="21" ht="18" customHeight="1" s="166">
      <c r="B21" s="105" t="n"/>
    </row>
    <row r="22" ht="18" customHeight="1" s="166">
      <c r="B22" s="105" t="n"/>
    </row>
    <row r="23" ht="18" customHeight="1" s="166">
      <c r="B23" s="105" t="n"/>
    </row>
    <row r="24" ht="18" customHeight="1" s="166">
      <c r="B24" s="105" t="n"/>
    </row>
    <row r="26">
      <c r="B26" s="187" t="inlineStr">
        <is>
          <t>Составил ______________________    Д.А. Самуйленко</t>
        </is>
      </c>
    </row>
    <row r="27">
      <c r="B27" s="175" t="inlineStr">
        <is>
          <t xml:space="preserve">                         (подпись, инициалы, фамилия)</t>
        </is>
      </c>
      <c r="C27" s="173" t="n"/>
    </row>
    <row r="28">
      <c r="B28" s="172" t="n"/>
      <c r="C28" s="173" t="n"/>
    </row>
    <row r="29">
      <c r="B29" s="172" t="inlineStr">
        <is>
          <t>Проверил ______________________        А.В. Костянецкая</t>
        </is>
      </c>
      <c r="C29" s="173" t="n"/>
    </row>
    <row r="30">
      <c r="B30" s="175" t="inlineStr">
        <is>
          <t xml:space="preserve">                        (подпись, инициалы, фамилия)</t>
        </is>
      </c>
      <c r="C30" s="173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E12" sqref="E12"/>
    </sheetView>
  </sheetViews>
  <sheetFormatPr baseColWidth="8" defaultColWidth="9.109375" defaultRowHeight="14.4"/>
  <cols>
    <col width="9.109375" customWidth="1" style="166" min="1" max="1"/>
    <col width="44.88671875" customWidth="1" style="166" min="2" max="2"/>
    <col width="13" customWidth="1" style="166" min="3" max="3"/>
    <col width="22.88671875" customWidth="1" style="166" min="4" max="4"/>
    <col width="21.5546875" customWidth="1" style="166" min="5" max="5"/>
    <col width="45.109375" bestFit="1" customWidth="1" style="166" min="6" max="6"/>
    <col width="9.109375" customWidth="1" style="166" min="7" max="7"/>
  </cols>
  <sheetData>
    <row r="2" ht="17.25" customHeight="1" s="166">
      <c r="A2" s="19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6">
      <c r="A4" s="24" t="inlineStr">
        <is>
          <t>Составлен в уровне цен на 01.01.2023 г.</t>
        </is>
      </c>
      <c r="B4" s="169" t="n"/>
      <c r="C4" s="169" t="n"/>
      <c r="D4" s="169" t="n"/>
      <c r="E4" s="169" t="n"/>
      <c r="F4" s="169" t="n"/>
      <c r="G4" s="169" t="n"/>
    </row>
    <row r="5" ht="15.75" customHeight="1" s="166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69" t="n"/>
    </row>
    <row r="6" ht="15.75" customHeight="1" s="166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69" t="n"/>
    </row>
    <row r="7" ht="110.25" customHeight="1" s="166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1" t="inlineStr">
        <is>
          <t>С1ср</t>
        </is>
      </c>
      <c r="D7" s="201" t="inlineStr">
        <is>
          <t>-</t>
        </is>
      </c>
      <c r="E7" s="171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69" t="n"/>
    </row>
    <row r="8" ht="31.5" customHeight="1" s="166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1" t="inlineStr">
        <is>
          <t>tср</t>
        </is>
      </c>
      <c r="D8" s="201" t="inlineStr">
        <is>
          <t>1973ч/12мес.</t>
        </is>
      </c>
      <c r="E8" s="171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66">
      <c r="A9" s="27" t="inlineStr">
        <is>
          <t>1.3</t>
        </is>
      </c>
      <c r="B9" s="31" t="inlineStr">
        <is>
          <t>Коэффициент увеличения</t>
        </is>
      </c>
      <c r="C9" s="201" t="inlineStr">
        <is>
          <t>Кув</t>
        </is>
      </c>
      <c r="D9" s="201" t="inlineStr">
        <is>
          <t>-</t>
        </is>
      </c>
      <c r="E9" s="171" t="n">
        <v>1</v>
      </c>
      <c r="F9" s="31" t="n"/>
      <c r="G9" s="33" t="n"/>
    </row>
    <row r="10" ht="15.75" customHeight="1" s="166">
      <c r="A10" s="27" t="inlineStr">
        <is>
          <t>1.4</t>
        </is>
      </c>
      <c r="B10" s="31" t="inlineStr">
        <is>
          <t>Средний разряд работ</t>
        </is>
      </c>
      <c r="C10" s="201" t="n"/>
      <c r="D10" s="201" t="n"/>
      <c r="E10" s="257" t="n">
        <v>4</v>
      </c>
      <c r="F10" s="31" t="inlineStr">
        <is>
          <t>РТМ</t>
        </is>
      </c>
      <c r="G10" s="33" t="n"/>
    </row>
    <row r="11" ht="78.75" customHeight="1" s="166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1" t="inlineStr">
        <is>
          <t>КТ</t>
        </is>
      </c>
      <c r="D11" s="201" t="inlineStr">
        <is>
          <t>-</t>
        </is>
      </c>
      <c r="E11" s="258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69" t="n"/>
    </row>
    <row r="12" ht="78.75" customHeight="1" s="166">
      <c r="A12" s="188" t="inlineStr">
        <is>
          <t>1.6</t>
        </is>
      </c>
      <c r="B12" s="189" t="inlineStr">
        <is>
          <t>Коэффициент инфляции, определяемый поквартально</t>
        </is>
      </c>
      <c r="C12" s="88" t="inlineStr">
        <is>
          <t>Кинф</t>
        </is>
      </c>
      <c r="D12" s="88" t="inlineStr">
        <is>
          <t>-</t>
        </is>
      </c>
      <c r="E12" s="259" t="n">
        <v>1.139</v>
      </c>
      <c r="F12" s="19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66">
      <c r="A13" s="192" t="inlineStr">
        <is>
          <t>1.7</t>
        </is>
      </c>
      <c r="B13" s="193" t="inlineStr">
        <is>
          <t>Размер средств на оплату труда рабочих-строителей в текущем уровне цен (ФОТр.тек.), руб/чел.-ч</t>
        </is>
      </c>
      <c r="C13" s="194" t="inlineStr">
        <is>
          <t>ФОТр.тек.</t>
        </is>
      </c>
      <c r="D13" s="194" t="inlineStr">
        <is>
          <t>(С1ср/tср*КТ*Т*Кув)*Кинф</t>
        </is>
      </c>
      <c r="E13" s="195">
        <f>((E7*E9/E8)*E11)*E12</f>
        <v/>
      </c>
      <c r="F13" s="19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69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2025-01-24T12:18:50Z</dcterms:modified>
  <cp:lastModifiedBy>user1</cp:lastModifiedBy>
</cp:coreProperties>
</file>