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ОБ'!$A$1:$J$149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wrapText="1"/>
    </xf>
    <xf numFmtId="0" fontId="1" fillId="4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4" fontId="18" fillId="0" borderId="1" applyAlignment="1" pivotButton="0" quotePrefix="0" xfId="0">
      <alignment vertical="center"/>
    </xf>
    <xf numFmtId="0" fontId="1" fillId="4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wrapText="1"/>
    </xf>
    <xf numFmtId="167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0" fontId="16" fillId="0" borderId="0" pivotButton="0" quotePrefix="0" xfId="0"/>
    <xf numFmtId="165" fontId="1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/>
    </xf>
    <xf numFmtId="4" fontId="18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center" wrapText="1"/>
    </xf>
    <xf numFmtId="165" fontId="1" fillId="0" borderId="5" applyAlignment="1" pivotButton="0" quotePrefix="0" xfId="0">
      <alignment vertical="center" wrapText="1"/>
    </xf>
    <xf numFmtId="165" fontId="1" fillId="0" borderId="1" applyAlignment="1" pivotButton="0" quotePrefix="0" xfId="0">
      <alignment vertical="center" wrapText="1"/>
    </xf>
    <xf numFmtId="165" fontId="1" fillId="0" borderId="4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5" fontId="16" fillId="0" borderId="1" applyAlignment="1" pivotButton="0" quotePrefix="0" xfId="0">
      <alignment vertical="center" wrapText="1"/>
    </xf>
    <xf numFmtId="170" fontId="16" fillId="0" borderId="0" pivotButton="0" quotePrefix="0" xfId="0"/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0" fontId="16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="115" zoomScaleNormal="55" workbookViewId="0">
      <selection activeCell="D28" sqref="D28"/>
    </sheetView>
  </sheetViews>
  <sheetFormatPr baseColWidth="8" defaultColWidth="9.140625" defaultRowHeight="15.75"/>
  <cols>
    <col width="9.140625" customWidth="1" style="343" min="1" max="2"/>
    <col width="51.7109375" customWidth="1" style="343" min="3" max="3"/>
    <col width="47" customWidth="1" style="343" min="4" max="4"/>
    <col width="37.28515625" customWidth="1" style="343" min="5" max="5"/>
    <col width="9.140625" customWidth="1" style="343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.2" customHeight="1" s="314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4">
      <c r="B6" s="263" t="n"/>
      <c r="C6" s="263" t="n"/>
      <c r="D6" s="263" t="n"/>
    </row>
    <row r="7" ht="64.5" customHeight="1" s="314">
      <c r="B7" s="371" t="inlineStr">
        <is>
          <t>Наименование разрабатываемого показателя УНЦ - УПГ</t>
        </is>
      </c>
    </row>
    <row r="8" ht="31.7" customHeight="1" s="314">
      <c r="B8" s="371" t="inlineStr">
        <is>
          <t>Сопоставимый уровень цен: 4 кв. 2012</t>
        </is>
      </c>
    </row>
    <row r="9" ht="15.75" customHeight="1" s="314">
      <c r="B9" s="371" t="inlineStr">
        <is>
          <t>Единица измерения  — 1 ед.</t>
        </is>
      </c>
    </row>
    <row r="10">
      <c r="B10" s="371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42" t="n"/>
    </row>
    <row r="12" ht="96.75" customHeight="1" s="314">
      <c r="B12" s="375" t="n">
        <v>1</v>
      </c>
      <c r="C12" s="361" t="inlineStr">
        <is>
          <t>Наименование объекта-представителя</t>
        </is>
      </c>
      <c r="D12" s="375" t="inlineStr">
        <is>
          <t>ПС 330 кВ Кисловодск с заходами ВЛ 330 кВ (МЭС Юга)</t>
        </is>
      </c>
    </row>
    <row r="13">
      <c r="B13" s="375" t="n">
        <v>2</v>
      </c>
      <c r="C13" s="361" t="inlineStr">
        <is>
          <t>Наименование субъекта Российской Федерации</t>
        </is>
      </c>
      <c r="D13" s="375" t="inlineStr">
        <is>
          <t>Ставропольский край</t>
        </is>
      </c>
    </row>
    <row r="14">
      <c r="B14" s="375" t="n">
        <v>3</v>
      </c>
      <c r="C14" s="361" t="inlineStr">
        <is>
          <t>Климатический район и подрайон</t>
        </is>
      </c>
      <c r="D14" s="375" t="inlineStr">
        <is>
          <t>IIIВ</t>
        </is>
      </c>
    </row>
    <row r="15">
      <c r="B15" s="375" t="n">
        <v>4</v>
      </c>
      <c r="C15" s="361" t="inlineStr">
        <is>
          <t>Мощность объекта</t>
        </is>
      </c>
      <c r="D15" s="375" t="n">
        <v>1</v>
      </c>
    </row>
    <row r="16" ht="116.45" customHeight="1" s="314">
      <c r="B16" s="375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Управляемый выпрямитель U=14кВ,пределы регулирования тока  100-1600А,Ud=2,5-14 кВ контейнерного исполнения ВУПГ-14/1600</t>
        </is>
      </c>
    </row>
    <row r="17" ht="79.5" customHeight="1" s="314">
      <c r="B17" s="375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4">
        <f>SUM(D18:D21)</f>
        <v/>
      </c>
      <c r="E17" s="262" t="n"/>
    </row>
    <row r="18">
      <c r="B18" s="360" t="inlineStr">
        <is>
          <t>6.1</t>
        </is>
      </c>
      <c r="C18" s="361" t="inlineStr">
        <is>
          <t>строительно-монтажные работы</t>
        </is>
      </c>
      <c r="D18" s="354">
        <f>19905.3585+1070.06102</f>
        <v/>
      </c>
    </row>
    <row r="19" ht="15.75" customHeight="1" s="314">
      <c r="B19" s="360" t="inlineStr">
        <is>
          <t>6.2</t>
        </is>
      </c>
      <c r="C19" s="361" t="inlineStr">
        <is>
          <t>оборудование и инвентарь</t>
        </is>
      </c>
      <c r="D19" s="354" t="n">
        <v>15322.75344</v>
      </c>
    </row>
    <row r="20" ht="16.5" customHeight="1" s="314">
      <c r="B20" s="360" t="inlineStr">
        <is>
          <t>6.3</t>
        </is>
      </c>
      <c r="C20" s="361" t="inlineStr">
        <is>
          <t>пусконаладочные работы</t>
        </is>
      </c>
      <c r="D20" s="354" t="n"/>
    </row>
    <row r="21" ht="35.45" customHeight="1" s="314">
      <c r="B21" s="360" t="inlineStr">
        <is>
          <t>6.4</t>
        </is>
      </c>
      <c r="C21" s="240" t="inlineStr">
        <is>
          <t>прочие и лимитированные затраты</t>
        </is>
      </c>
      <c r="D21" s="354">
        <f>D18*3.9%+(D18+D18*3.9%)*0.6%*1.2</f>
        <v/>
      </c>
    </row>
    <row r="22">
      <c r="B22" s="375" t="n">
        <v>7</v>
      </c>
      <c r="C22" s="240" t="inlineStr">
        <is>
          <t>Сопоставимый уровень цен</t>
        </is>
      </c>
      <c r="D22" s="359" t="inlineStr">
        <is>
          <t>4 кв. 2012</t>
        </is>
      </c>
      <c r="E22" s="238" t="n"/>
    </row>
    <row r="23" ht="123" customHeight="1" s="314">
      <c r="B23" s="375" t="n">
        <v>8</v>
      </c>
      <c r="C23" s="23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4">
        <f>D17</f>
        <v/>
      </c>
      <c r="E23" s="262" t="n"/>
    </row>
    <row r="24" ht="60.75" customHeight="1" s="314">
      <c r="B24" s="375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4">
        <f>D23/D15</f>
        <v/>
      </c>
      <c r="E24" s="238" t="n"/>
    </row>
    <row r="25" ht="48.2" customHeight="1" s="314">
      <c r="B25" s="375" t="n">
        <v>10</v>
      </c>
      <c r="C25" s="361" t="inlineStr">
        <is>
          <t>Примечание</t>
        </is>
      </c>
      <c r="D25" s="375" t="n"/>
    </row>
    <row r="26">
      <c r="B26" s="236" t="n"/>
      <c r="C26" s="235" t="n"/>
      <c r="D26" s="235" t="n"/>
    </row>
    <row r="27" ht="37.5" customHeight="1" s="314">
      <c r="B27" s="234" t="n"/>
    </row>
    <row r="28">
      <c r="B28" s="343" t="inlineStr">
        <is>
          <t>Составил ______________________    Д.Ю. Нефедова</t>
        </is>
      </c>
    </row>
    <row r="29">
      <c r="B29" s="234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3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3"/>
  <sheetViews>
    <sheetView view="pageBreakPreview" zoomScaleNormal="70" workbookViewId="0">
      <selection activeCell="E17" sqref="E17"/>
    </sheetView>
  </sheetViews>
  <sheetFormatPr baseColWidth="8" defaultColWidth="9.140625" defaultRowHeight="15.75"/>
  <cols>
    <col width="5.710937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7109375" customWidth="1" style="343" min="6" max="6"/>
    <col width="14.85546875" customWidth="1" style="343" min="7" max="7"/>
    <col width="16.7109375" customWidth="1" style="343" min="8" max="8"/>
    <col width="13" customWidth="1" style="343" min="9" max="10"/>
    <col width="18" customWidth="1" style="343" min="11" max="11"/>
    <col width="9.140625" customWidth="1" style="343" min="12" max="12"/>
  </cols>
  <sheetData>
    <row r="3">
      <c r="B3" s="369" t="inlineStr">
        <is>
          <t>Приложение № 2</t>
        </is>
      </c>
      <c r="K3" s="234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43" t="n"/>
      <c r="C5" s="243" t="n"/>
      <c r="D5" s="243" t="n"/>
      <c r="E5" s="243" t="n"/>
      <c r="F5" s="243" t="n"/>
      <c r="G5" s="243" t="n"/>
      <c r="H5" s="243" t="n"/>
      <c r="I5" s="243" t="n"/>
      <c r="J5" s="243" t="n"/>
      <c r="K5" s="243" t="n"/>
    </row>
    <row r="6" ht="29.25" customHeight="1" s="314">
      <c r="B6" s="371">
        <f>'Прил.1 Сравнит табл'!B7:D7</f>
        <v/>
      </c>
    </row>
    <row r="7">
      <c r="B7" s="371">
        <f>'Прил.1 Сравнит табл'!B9:D9</f>
        <v/>
      </c>
    </row>
    <row r="8" ht="18.75" customHeight="1" s="314">
      <c r="B8" s="264" t="n"/>
    </row>
    <row r="9" ht="15.75" customFormat="1" customHeight="1" s="343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Format="1" customHeight="1" s="343">
      <c r="B10" s="457" t="n"/>
      <c r="C10" s="45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4 кв. 2012 г., тыс. руб.</t>
        </is>
      </c>
      <c r="G10" s="455" t="n"/>
      <c r="H10" s="455" t="n"/>
      <c r="I10" s="455" t="n"/>
      <c r="J10" s="456" t="n"/>
    </row>
    <row r="11" ht="31.5" customFormat="1" customHeight="1" s="343">
      <c r="B11" s="458" t="n"/>
      <c r="C11" s="458" t="n"/>
      <c r="D11" s="458" t="n"/>
      <c r="E11" s="458" t="n"/>
      <c r="F11" s="375" t="inlineStr">
        <is>
          <t>Строительные работы</t>
        </is>
      </c>
      <c r="G11" s="375" t="inlineStr">
        <is>
          <t>Монтажные работы</t>
        </is>
      </c>
      <c r="H11" s="375" t="inlineStr">
        <is>
          <t>Оборудование</t>
        </is>
      </c>
      <c r="I11" s="375" t="inlineStr">
        <is>
          <t>Прочее</t>
        </is>
      </c>
      <c r="J11" s="375" t="inlineStr">
        <is>
          <t>Всего</t>
        </is>
      </c>
    </row>
    <row r="12" ht="46.9" customFormat="1" customHeight="1" s="343">
      <c r="B12" s="375" t="n">
        <v>1</v>
      </c>
      <c r="C12" s="375" t="inlineStr">
        <is>
          <t>Управляемый выпрямитель U=14кВ,пределы регулирования тока  100-1600А,Ud=2,5-14 кВ контейнерного исполнения ВУПГ-14/1600</t>
        </is>
      </c>
      <c r="D12" s="360" t="inlineStr">
        <is>
          <t>02-13-01</t>
        </is>
      </c>
      <c r="E12" s="361" t="inlineStr">
        <is>
          <t>Строительные работы. Узел установки плавки гололеда.</t>
        </is>
      </c>
      <c r="F12" s="355">
        <f>2948435/1000*6.75</f>
        <v/>
      </c>
      <c r="G12" s="355" t="n"/>
      <c r="H12" s="355" t="n"/>
      <c r="I12" s="355" t="n"/>
      <c r="J12" s="355">
        <f>SUM(F12:I12)</f>
        <v/>
      </c>
      <c r="K12" s="459" t="n"/>
      <c r="L12" s="459" t="n"/>
      <c r="M12" s="459" t="n"/>
    </row>
    <row r="13" ht="93.59999999999999" customFormat="1" customHeight="1" s="343">
      <c r="B13" s="458" t="n"/>
      <c r="C13" s="458" t="n"/>
      <c r="D13" s="360" t="inlineStr">
        <is>
          <t>02-13-02</t>
        </is>
      </c>
      <c r="E13" s="361" t="inlineStr">
        <is>
          <t>Установка оборудования плавки гололеда. Электромонтажные работы., ПС 330 кВ Кисловодск</t>
        </is>
      </c>
      <c r="F13" s="355">
        <f>507/1000*6.75</f>
        <v/>
      </c>
      <c r="G13" s="355">
        <f>141169/1000*7.58</f>
        <v/>
      </c>
      <c r="H13" s="355">
        <f>4011192/1000*3.82</f>
        <v/>
      </c>
      <c r="I13" s="355" t="n"/>
      <c r="J13" s="355">
        <f>SUM(F13:I13)</f>
        <v/>
      </c>
      <c r="K13" s="459" t="n"/>
      <c r="L13" s="459" t="n"/>
      <c r="M13" s="459" t="n"/>
    </row>
    <row r="14" ht="15.6" customFormat="1" customHeight="1" s="343">
      <c r="B14" s="373" t="inlineStr">
        <is>
          <t>Всего по объекту:</t>
        </is>
      </c>
      <c r="C14" s="460" t="n"/>
      <c r="D14" s="460" t="n"/>
      <c r="E14" s="461" t="n"/>
      <c r="F14" s="357">
        <f>SUM(F12:F13)</f>
        <v/>
      </c>
      <c r="G14" s="357">
        <f>SUM(G12:G13)</f>
        <v/>
      </c>
      <c r="H14" s="357">
        <f>SUM(H12:H13)</f>
        <v/>
      </c>
      <c r="I14" s="357">
        <f>SUM(I12:I12)</f>
        <v/>
      </c>
      <c r="J14" s="357">
        <f>SUM(F14:I14)</f>
        <v/>
      </c>
    </row>
    <row r="15" ht="28.5" customFormat="1" customHeight="1" s="343">
      <c r="B15" s="374" t="inlineStr">
        <is>
          <t>Всего по объекту в сопоставимом уровне цен 4 кв. 2012 г:</t>
        </is>
      </c>
      <c r="C15" s="455" t="n"/>
      <c r="D15" s="455" t="n"/>
      <c r="E15" s="456" t="n"/>
      <c r="F15" s="358">
        <f>F14</f>
        <v/>
      </c>
      <c r="G15" s="358">
        <f>G14</f>
        <v/>
      </c>
      <c r="H15" s="358">
        <f>H14</f>
        <v/>
      </c>
      <c r="I15" s="358">
        <f>I14</f>
        <v/>
      </c>
      <c r="J15" s="358">
        <f>SUM(F15:I15)</f>
        <v/>
      </c>
    </row>
    <row r="16" ht="15.6" customFormat="1" customHeight="1" s="343">
      <c r="B16" s="371" t="n"/>
    </row>
    <row r="17" ht="15.6" customFormat="1" customHeight="1" s="343"/>
    <row r="18" ht="15.6" customFormat="1" customHeight="1" s="343"/>
    <row r="19" ht="15.6" customFormat="1" customHeight="1" s="343">
      <c r="C19" s="343" t="inlineStr">
        <is>
          <t>Составил ______________________         Д.Ю. Нефедова</t>
        </is>
      </c>
    </row>
    <row r="20" ht="15.6" customFormat="1" customHeight="1" s="343">
      <c r="C20" s="234" t="inlineStr">
        <is>
          <t xml:space="preserve">                         (подпись, инициалы, фамилия)</t>
        </is>
      </c>
    </row>
    <row r="21" ht="15.6" customFormat="1" customHeight="1" s="343"/>
    <row r="22" ht="15.6" customFormat="1" customHeight="1" s="343">
      <c r="C22" s="343" t="inlineStr">
        <is>
          <t>Проверил ______________________         А.В. Костянецкая</t>
        </is>
      </c>
    </row>
    <row r="23" ht="15.6" customFormat="1" customHeight="1" s="343">
      <c r="C23" s="234" t="inlineStr">
        <is>
          <t xml:space="preserve">                        (подпись, инициалы, фамилия)</t>
        </is>
      </c>
    </row>
    <row r="24" ht="15.6" customFormat="1" customHeight="1" s="343"/>
    <row r="25" ht="14.45" customHeight="1" s="314"/>
    <row r="26" ht="14.45" customHeight="1" s="314"/>
    <row r="27" ht="14.45" customHeight="1" s="314"/>
    <row r="28" ht="14.45" customHeight="1" s="314"/>
    <row r="29" ht="14.45" customHeight="1" s="314"/>
    <row r="30" ht="14.45" customHeight="1" s="314"/>
    <row r="31" ht="14.45" customHeight="1" s="314"/>
    <row r="32" ht="14.45" customHeight="1" s="314"/>
    <row r="33" ht="14.45" customHeight="1" s="314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Q139"/>
  <sheetViews>
    <sheetView view="pageBreakPreview" topLeftCell="A71" zoomScale="55" zoomScaleSheetLayoutView="55" workbookViewId="0">
      <selection activeCell="E136" sqref="E136"/>
    </sheetView>
  </sheetViews>
  <sheetFormatPr baseColWidth="8" defaultColWidth="9.140625" defaultRowHeight="15.75"/>
  <cols>
    <col width="9.140625" customWidth="1" style="343" min="1" max="1"/>
    <col width="12.7109375" customWidth="1" style="343" min="2" max="2"/>
    <col width="22.28515625" customWidth="1" style="343" min="3" max="3"/>
    <col width="49.7109375" customWidth="1" style="343" min="4" max="4"/>
    <col width="10.140625" customWidth="1" style="243" min="5" max="5"/>
    <col width="20.7109375" customWidth="1" style="243" min="6" max="6"/>
    <col width="20" customWidth="1" style="234" min="7" max="7"/>
    <col width="16.7109375" customWidth="1" style="234" min="8" max="8"/>
    <col width="15" customWidth="1" style="314" min="11" max="11"/>
    <col width="9.140625" customWidth="1" style="343" min="17" max="17"/>
  </cols>
  <sheetData>
    <row r="2" s="314">
      <c r="A2" s="343" t="n"/>
      <c r="B2" s="343" t="n"/>
      <c r="C2" s="343" t="n"/>
      <c r="D2" s="343" t="n"/>
      <c r="E2" s="243" t="n"/>
      <c r="F2" s="243" t="n"/>
      <c r="G2" s="234" t="n"/>
      <c r="H2" s="234" t="n"/>
      <c r="Q2" s="343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8.75" customHeight="1" s="314">
      <c r="A5" s="270" t="n"/>
      <c r="B5" s="270" t="n"/>
      <c r="C5" s="38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1" t="n"/>
    </row>
    <row r="7">
      <c r="A7" s="381" t="inlineStr">
        <is>
          <t>Наименование разрабатываемого показателя УНЦ -  УПГ</t>
        </is>
      </c>
    </row>
    <row r="8">
      <c r="A8" s="381" t="n"/>
      <c r="B8" s="381" t="n"/>
      <c r="C8" s="381" t="n"/>
      <c r="D8" s="381" t="n"/>
      <c r="G8" s="381" t="n"/>
      <c r="H8" s="381" t="n"/>
    </row>
    <row r="9" ht="38.25" customHeight="1" s="314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56" t="n"/>
    </row>
    <row r="10" ht="40.7" customHeight="1" s="314">
      <c r="A10" s="458" t="n"/>
      <c r="B10" s="458" t="n"/>
      <c r="C10" s="458" t="n"/>
      <c r="D10" s="458" t="n"/>
      <c r="E10" s="458" t="n"/>
      <c r="F10" s="45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46">
      <c r="A12" s="378" t="inlineStr">
        <is>
          <t>Затраты труда рабочих</t>
        </is>
      </c>
      <c r="B12" s="455" t="n"/>
      <c r="C12" s="455" t="n"/>
      <c r="D12" s="455" t="n"/>
      <c r="E12" s="456" t="n"/>
      <c r="F12" s="293">
        <f>SUM(F13:F23)</f>
        <v/>
      </c>
      <c r="G12" s="341" t="n"/>
      <c r="H12" s="342">
        <f>SUM(H13:H23)</f>
        <v/>
      </c>
    </row>
    <row r="13">
      <c r="A13" s="409" t="n">
        <v>1</v>
      </c>
      <c r="B13" s="247" t="n"/>
      <c r="C13" s="273" t="inlineStr">
        <is>
          <t>1-4-0</t>
        </is>
      </c>
      <c r="D13" s="396" t="inlineStr">
        <is>
          <t>Затраты труда рабочих (средний разряд работы 4,0)</t>
        </is>
      </c>
      <c r="E13" s="388" t="inlineStr">
        <is>
          <t>чел.-ч</t>
        </is>
      </c>
      <c r="F13" s="273" t="n">
        <v>649.025</v>
      </c>
      <c r="G13" s="281" t="n">
        <v>9.619999999999999</v>
      </c>
      <c r="H13" s="318">
        <f>ROUND(F13*G13,2)</f>
        <v/>
      </c>
    </row>
    <row r="14">
      <c r="A14" s="409" t="n">
        <v>2</v>
      </c>
      <c r="B14" s="247" t="n"/>
      <c r="C14" s="273" t="inlineStr">
        <is>
          <t>1-4-3</t>
        </is>
      </c>
      <c r="D14" s="396" t="inlineStr">
        <is>
          <t>Затраты труда рабочих (средний разряд работы 4,3)</t>
        </is>
      </c>
      <c r="E14" s="388" t="inlineStr">
        <is>
          <t>чел.-ч</t>
        </is>
      </c>
      <c r="F14" s="273" t="n">
        <v>415.84946</v>
      </c>
      <c r="G14" s="281" t="n">
        <v>10.06</v>
      </c>
      <c r="H14" s="318">
        <f>ROUND(F14*G14,2)</f>
        <v/>
      </c>
    </row>
    <row r="15">
      <c r="A15" s="409" t="n">
        <v>3</v>
      </c>
      <c r="B15" s="247" t="n"/>
      <c r="C15" s="273" t="inlineStr">
        <is>
          <t>1-2-0</t>
        </is>
      </c>
      <c r="D15" s="396" t="inlineStr">
        <is>
          <t>Затраты труда рабочих (средний разряд работы 2,0)</t>
        </is>
      </c>
      <c r="E15" s="388" t="inlineStr">
        <is>
          <t>чел.-ч</t>
        </is>
      </c>
      <c r="F15" s="273" t="n">
        <v>525.45285</v>
      </c>
      <c r="G15" s="281" t="n">
        <v>7.8</v>
      </c>
      <c r="H15" s="318">
        <f>ROUND(F15*G15,2)</f>
        <v/>
      </c>
    </row>
    <row r="16">
      <c r="A16" s="409" t="n">
        <v>4</v>
      </c>
      <c r="B16" s="247" t="n"/>
      <c r="C16" s="273" t="inlineStr">
        <is>
          <t>1-2-5</t>
        </is>
      </c>
      <c r="D16" s="396" t="inlineStr">
        <is>
          <t>Затраты труда рабочих (средний разряд работы 2,5)</t>
        </is>
      </c>
      <c r="E16" s="388" t="inlineStr">
        <is>
          <t>чел.-ч</t>
        </is>
      </c>
      <c r="F16" s="273" t="n">
        <v>432.48</v>
      </c>
      <c r="G16" s="281" t="n">
        <v>8.17</v>
      </c>
      <c r="H16" s="318">
        <f>ROUND(F16*G16,2)</f>
        <v/>
      </c>
    </row>
    <row r="17">
      <c r="A17" s="409" t="n">
        <v>5</v>
      </c>
      <c r="B17" s="247" t="n"/>
      <c r="C17" s="273" t="inlineStr">
        <is>
          <t>1-1-5</t>
        </is>
      </c>
      <c r="D17" s="396" t="inlineStr">
        <is>
          <t>Затраты труда рабочих (средний разряд работы 1,5)</t>
        </is>
      </c>
      <c r="E17" s="388" t="inlineStr">
        <is>
          <t>чел.-ч</t>
        </is>
      </c>
      <c r="F17" s="273" t="n">
        <v>372.1122</v>
      </c>
      <c r="G17" s="281" t="n">
        <v>7.5</v>
      </c>
      <c r="H17" s="318">
        <f>ROUND(F17*G17,2)</f>
        <v/>
      </c>
    </row>
    <row r="18">
      <c r="A18" s="409" t="n">
        <v>6</v>
      </c>
      <c r="B18" s="247" t="n"/>
      <c r="C18" s="273" t="inlineStr">
        <is>
          <t>1-3-0</t>
        </is>
      </c>
      <c r="D18" s="396" t="inlineStr">
        <is>
          <t>Затраты труда рабочих (средний разряд работы 3,0)</t>
        </is>
      </c>
      <c r="E18" s="388" t="inlineStr">
        <is>
          <t>чел.-ч</t>
        </is>
      </c>
      <c r="F18" s="273" t="n">
        <v>275.34873</v>
      </c>
      <c r="G18" s="281" t="n">
        <v>8.529999999999999</v>
      </c>
      <c r="H18" s="318">
        <f>ROUND(F18*G18,2)</f>
        <v/>
      </c>
    </row>
    <row r="19">
      <c r="A19" s="409" t="n">
        <v>7</v>
      </c>
      <c r="B19" s="247" t="n"/>
      <c r="C19" s="273" t="inlineStr">
        <is>
          <t>1-4-2</t>
        </is>
      </c>
      <c r="D19" s="396" t="inlineStr">
        <is>
          <t>Затраты труда рабочих (средний разряд работы 4,2)</t>
        </is>
      </c>
      <c r="E19" s="388" t="inlineStr">
        <is>
          <t>чел.-ч</t>
        </is>
      </c>
      <c r="F19" s="273" t="n">
        <v>204.94496</v>
      </c>
      <c r="G19" s="281" t="n">
        <v>9.92</v>
      </c>
      <c r="H19" s="318">
        <f>ROUND(F19*G19,2)</f>
        <v/>
      </c>
    </row>
    <row r="20">
      <c r="A20" s="409" t="n">
        <v>8</v>
      </c>
      <c r="B20" s="247" t="n"/>
      <c r="C20" s="273" t="inlineStr">
        <is>
          <t>1-3-8</t>
        </is>
      </c>
      <c r="D20" s="396" t="inlineStr">
        <is>
          <t>Затраты труда рабочих (средний разряд работы 3,8)</t>
        </is>
      </c>
      <c r="E20" s="388" t="inlineStr">
        <is>
          <t>чел.-ч</t>
        </is>
      </c>
      <c r="F20" s="273" t="n">
        <v>175</v>
      </c>
      <c r="G20" s="281" t="n">
        <v>9.4</v>
      </c>
      <c r="H20" s="318">
        <f>ROUND(F20*G20,2)</f>
        <v/>
      </c>
    </row>
    <row r="21">
      <c r="A21" s="409" t="n">
        <v>9</v>
      </c>
      <c r="B21" s="247" t="n"/>
      <c r="C21" s="273" t="inlineStr">
        <is>
          <t>1-2-2</t>
        </is>
      </c>
      <c r="D21" s="396" t="inlineStr">
        <is>
          <t>Затраты труда рабочих (средний разряд работы 2,2)</t>
        </is>
      </c>
      <c r="E21" s="388" t="inlineStr">
        <is>
          <t>чел.-ч</t>
        </is>
      </c>
      <c r="F21" s="273" t="n">
        <v>17.38464</v>
      </c>
      <c r="G21" s="281" t="n">
        <v>7.94</v>
      </c>
      <c r="H21" s="318">
        <f>ROUND(F21*G21,2)</f>
        <v/>
      </c>
    </row>
    <row r="22">
      <c r="A22" s="409" t="n">
        <v>10</v>
      </c>
      <c r="B22" s="247" t="n"/>
      <c r="C22" s="273" t="inlineStr">
        <is>
          <t>1-3-5</t>
        </is>
      </c>
      <c r="D22" s="396" t="inlineStr">
        <is>
          <t>Затраты труда рабочих (средний разряд работы 3,5)</t>
        </is>
      </c>
      <c r="E22" s="388" t="inlineStr">
        <is>
          <t>чел.-ч</t>
        </is>
      </c>
      <c r="F22" s="273" t="n">
        <v>9.491300000000001</v>
      </c>
      <c r="G22" s="281" t="n">
        <v>9.07</v>
      </c>
      <c r="H22" s="318">
        <f>ROUND(F22*G22,2)</f>
        <v/>
      </c>
    </row>
    <row r="23">
      <c r="A23" s="409" t="n">
        <v>11</v>
      </c>
      <c r="B23" s="247" t="n"/>
      <c r="C23" s="273" t="inlineStr">
        <is>
          <t>1-4-1</t>
        </is>
      </c>
      <c r="D23" s="396" t="inlineStr">
        <is>
          <t>Затраты труда рабочих (средний разряд работы 4,1)</t>
        </is>
      </c>
      <c r="E23" s="388" t="inlineStr">
        <is>
          <t>чел.-ч</t>
        </is>
      </c>
      <c r="F23" s="273" t="n">
        <v>7.61685</v>
      </c>
      <c r="G23" s="281" t="n">
        <v>9.76</v>
      </c>
      <c r="H23" s="318">
        <f>ROUND(F23*G23,2)</f>
        <v/>
      </c>
    </row>
    <row r="24">
      <c r="A24" s="377" t="inlineStr">
        <is>
          <t>Затраты труда машинистов</t>
        </is>
      </c>
      <c r="B24" s="455" t="n"/>
      <c r="C24" s="455" t="n"/>
      <c r="D24" s="455" t="n"/>
      <c r="E24" s="456" t="n"/>
      <c r="F24" s="345" t="n"/>
      <c r="G24" s="346" t="n"/>
      <c r="H24" s="342">
        <f>H25</f>
        <v/>
      </c>
    </row>
    <row r="25">
      <c r="A25" s="409" t="n">
        <v>12</v>
      </c>
      <c r="B25" s="379" t="n"/>
      <c r="C25" s="336" t="n">
        <v>2</v>
      </c>
      <c r="D25" s="276" t="inlineStr">
        <is>
          <t>Затраты труда машинистов(справочно)</t>
        </is>
      </c>
      <c r="E25" s="388" t="inlineStr">
        <is>
          <t>чел.-ч</t>
        </is>
      </c>
      <c r="F25" s="388" t="n">
        <v>676.36</v>
      </c>
      <c r="G25" s="318" t="n"/>
      <c r="H25" s="398" t="n">
        <v>8183.33</v>
      </c>
    </row>
    <row r="26" customFormat="1" s="246">
      <c r="A26" s="378" t="inlineStr">
        <is>
          <t>Машины и механизмы</t>
        </is>
      </c>
      <c r="B26" s="455" t="n"/>
      <c r="C26" s="455" t="n"/>
      <c r="D26" s="455" t="n"/>
      <c r="E26" s="456" t="n"/>
      <c r="F26" s="345" t="n"/>
      <c r="G26" s="346" t="n"/>
      <c r="H26" s="342">
        <f>SUM(H27:H58)</f>
        <v/>
      </c>
    </row>
    <row r="27">
      <c r="A27" s="409" t="n">
        <v>13</v>
      </c>
      <c r="B27" s="379" t="n"/>
      <c r="C27" s="273" t="inlineStr">
        <is>
          <t>91.10.01-002</t>
        </is>
      </c>
      <c r="D27" s="396" t="inlineStr">
        <is>
          <t>Агрегаты наполнительно-опрессовочные до 300 м3/ч</t>
        </is>
      </c>
      <c r="E27" s="388" t="inlineStr">
        <is>
          <t>маш.-ч</t>
        </is>
      </c>
      <c r="F27" s="273" t="n">
        <v>61.5</v>
      </c>
      <c r="G27" s="398" t="n">
        <v>287.99</v>
      </c>
      <c r="H27" s="318">
        <f>ROUND(F27*G27,2)</f>
        <v/>
      </c>
    </row>
    <row r="28" ht="25.5" customFormat="1" customHeight="1" s="246">
      <c r="A28" s="409" t="n">
        <v>14</v>
      </c>
      <c r="B28" s="379" t="n"/>
      <c r="C28" s="273" t="inlineStr">
        <is>
          <t>91.05.05-014</t>
        </is>
      </c>
      <c r="D28" s="396" t="inlineStr">
        <is>
          <t>Краны на автомобильном ходу, грузоподъемность 10 т</t>
        </is>
      </c>
      <c r="E28" s="388" t="inlineStr">
        <is>
          <t>маш.-ч</t>
        </is>
      </c>
      <c r="F28" s="273" t="n">
        <v>130.086354</v>
      </c>
      <c r="G28" s="398" t="n">
        <v>111.99</v>
      </c>
      <c r="H28" s="318">
        <f>ROUND(F28*G28,2)</f>
        <v/>
      </c>
    </row>
    <row r="29" ht="38.25" customHeight="1" s="314">
      <c r="A29" s="409" t="n">
        <v>15</v>
      </c>
      <c r="B29" s="379" t="n"/>
      <c r="C29" s="273" t="inlineStr">
        <is>
          <t>91.18.01-007</t>
        </is>
      </c>
      <c r="D29" s="3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9" s="388" t="inlineStr">
        <is>
          <t>маш.-ч</t>
        </is>
      </c>
      <c r="F29" s="273" t="n">
        <v>146.0616</v>
      </c>
      <c r="G29" s="398" t="n">
        <v>90</v>
      </c>
      <c r="H29" s="318">
        <f>ROUND(F29*G29,2)</f>
        <v/>
      </c>
    </row>
    <row r="30">
      <c r="A30" s="409" t="n">
        <v>16</v>
      </c>
      <c r="B30" s="379" t="n"/>
      <c r="C30" s="273" t="inlineStr">
        <is>
          <t>91.14.03-002</t>
        </is>
      </c>
      <c r="D30" s="396" t="inlineStr">
        <is>
          <t>Автомобили-самосвалы, грузоподъемность до 10 т</t>
        </is>
      </c>
      <c r="E30" s="388" t="inlineStr">
        <is>
          <t>маш.-ч</t>
        </is>
      </c>
      <c r="F30" s="273" t="n">
        <v>69.13989599999999</v>
      </c>
      <c r="G30" s="398" t="n">
        <v>87.48999999999999</v>
      </c>
      <c r="H30" s="318">
        <f>ROUND(F30*G30,2)</f>
        <v/>
      </c>
    </row>
    <row r="31" ht="25.5" customHeight="1" s="314">
      <c r="A31" s="409" t="n">
        <v>17</v>
      </c>
      <c r="B31" s="379" t="n"/>
      <c r="C31" s="273" t="inlineStr">
        <is>
          <t>91.01.05-084</t>
        </is>
      </c>
      <c r="D31" s="396" t="inlineStr">
        <is>
          <t>Экскаваторы одноковшовые дизельные на гусеничном ходу, емкость ковша 0,4 м3</t>
        </is>
      </c>
      <c r="E31" s="388" t="inlineStr">
        <is>
          <t>маш.-ч</t>
        </is>
      </c>
      <c r="F31" s="273" t="n">
        <v>106.357813</v>
      </c>
      <c r="G31" s="398" t="n">
        <v>54.81</v>
      </c>
      <c r="H31" s="318">
        <f>ROUND(F31*G31,2)</f>
        <v/>
      </c>
    </row>
    <row r="32" ht="25.5" customHeight="1" s="314">
      <c r="A32" s="409" t="n">
        <v>18</v>
      </c>
      <c r="B32" s="379" t="n"/>
      <c r="C32" s="273" t="inlineStr">
        <is>
          <t>91.06.03-058</t>
        </is>
      </c>
      <c r="D32" s="396" t="inlineStr">
        <is>
          <t>Лебедки электрические тяговым усилием 156,96 кН (16 т)</t>
        </is>
      </c>
      <c r="E32" s="388" t="inlineStr">
        <is>
          <t>маш.-ч</t>
        </is>
      </c>
      <c r="F32" s="273" t="n">
        <v>36.82</v>
      </c>
      <c r="G32" s="398" t="n">
        <v>131.44</v>
      </c>
      <c r="H32" s="318">
        <f>ROUND(F32*G32,2)</f>
        <v/>
      </c>
    </row>
    <row r="33">
      <c r="A33" s="409" t="n">
        <v>19</v>
      </c>
      <c r="B33" s="379" t="n"/>
      <c r="C33" s="273" t="inlineStr">
        <is>
          <t>91.01.01-034</t>
        </is>
      </c>
      <c r="D33" s="396" t="inlineStr">
        <is>
          <t>Бульдозеры, мощность 59 кВт (80 л.с.)</t>
        </is>
      </c>
      <c r="E33" s="388" t="inlineStr">
        <is>
          <t>маш.-ч</t>
        </is>
      </c>
      <c r="F33" s="273" t="n">
        <v>26.300105</v>
      </c>
      <c r="G33" s="398" t="n">
        <v>59.47</v>
      </c>
      <c r="H33" s="318">
        <f>ROUND(F33*G33,2)</f>
        <v/>
      </c>
    </row>
    <row r="34">
      <c r="A34" s="409" t="n">
        <v>20</v>
      </c>
      <c r="B34" s="379" t="n"/>
      <c r="C34" s="273" t="inlineStr">
        <is>
          <t>91.06.06-042</t>
        </is>
      </c>
      <c r="D34" s="396" t="inlineStr">
        <is>
          <t>Подъемники гидравлические, высота подъема 10 м</t>
        </is>
      </c>
      <c r="E34" s="388" t="inlineStr">
        <is>
          <t>маш.-ч</t>
        </is>
      </c>
      <c r="F34" s="273" t="n">
        <v>49.67</v>
      </c>
      <c r="G34" s="398" t="n">
        <v>29.6</v>
      </c>
      <c r="H34" s="318">
        <f>ROUND(F34*G34,2)</f>
        <v/>
      </c>
    </row>
    <row r="35" ht="25.5" customHeight="1" s="314">
      <c r="A35" s="409" t="n">
        <v>21</v>
      </c>
      <c r="B35" s="379" t="n"/>
      <c r="C35" s="273" t="inlineStr">
        <is>
          <t>91.06.05-057</t>
        </is>
      </c>
      <c r="D35" s="396" t="inlineStr">
        <is>
          <t>Погрузчики одноковшовые универсальные фронтальные пневмоколесные, грузоподъемность 3 т</t>
        </is>
      </c>
      <c r="E35" s="388" t="inlineStr">
        <is>
          <t>маш.-ч</t>
        </is>
      </c>
      <c r="F35" s="273" t="n">
        <v>14.416</v>
      </c>
      <c r="G35" s="398" t="n">
        <v>90.40000000000001</v>
      </c>
      <c r="H35" s="318">
        <f>ROUND(F35*G35,2)</f>
        <v/>
      </c>
    </row>
    <row r="36">
      <c r="A36" s="409" t="n">
        <v>22</v>
      </c>
      <c r="B36" s="379" t="n"/>
      <c r="C36" s="273" t="inlineStr">
        <is>
          <t>91.06.06-014</t>
        </is>
      </c>
      <c r="D36" s="396" t="inlineStr">
        <is>
          <t>Автогидроподъемники, высота подъема 28 м</t>
        </is>
      </c>
      <c r="E36" s="388" t="inlineStr">
        <is>
          <t>маш.-ч</t>
        </is>
      </c>
      <c r="F36" s="273" t="n">
        <v>3.7584</v>
      </c>
      <c r="G36" s="398" t="n">
        <v>243.49</v>
      </c>
      <c r="H36" s="318">
        <f>ROUND(F36*G36,2)</f>
        <v/>
      </c>
    </row>
    <row r="37" ht="25.5" customHeight="1" s="314">
      <c r="A37" s="409" t="n">
        <v>23</v>
      </c>
      <c r="B37" s="379" t="n"/>
      <c r="C37" s="273" t="inlineStr">
        <is>
          <t>91.05.08-007</t>
        </is>
      </c>
      <c r="D37" s="396" t="inlineStr">
        <is>
          <t>Краны на пневмоколесном ходу, грузоподъемность 25 т</t>
        </is>
      </c>
      <c r="E37" s="388" t="inlineStr">
        <is>
          <t>маш.-ч</t>
        </is>
      </c>
      <c r="F37" s="273" t="n">
        <v>8.630000000000001</v>
      </c>
      <c r="G37" s="398" t="n">
        <v>102.51</v>
      </c>
      <c r="H37" s="318">
        <f>ROUND(F37*G37,2)</f>
        <v/>
      </c>
    </row>
    <row r="38" ht="25.5" customHeight="1" s="314">
      <c r="A38" s="409" t="n">
        <v>24</v>
      </c>
      <c r="B38" s="379" t="n"/>
      <c r="C38" s="273" t="inlineStr">
        <is>
          <t>91.17.04-036</t>
        </is>
      </c>
      <c r="D38" s="396" t="inlineStr">
        <is>
          <t>Агрегаты сварочные передвижные с дизельным двигателем, номинальный сварочный ток 250-400 А</t>
        </is>
      </c>
      <c r="E38" s="388" t="inlineStr">
        <is>
          <t>маш.-ч</t>
        </is>
      </c>
      <c r="F38" s="273" t="n">
        <v>59.95377</v>
      </c>
      <c r="G38" s="398" t="n">
        <v>14</v>
      </c>
      <c r="H38" s="318">
        <f>ROUND(F38*G38,2)</f>
        <v/>
      </c>
    </row>
    <row r="39">
      <c r="A39" s="409" t="n">
        <v>25</v>
      </c>
      <c r="B39" s="379" t="n"/>
      <c r="C39" s="273" t="inlineStr">
        <is>
          <t>91.14.02-001</t>
        </is>
      </c>
      <c r="D39" s="396" t="inlineStr">
        <is>
          <t>Автомобили бортовые, грузоподъемность до 5 т</t>
        </is>
      </c>
      <c r="E39" s="388" t="inlineStr">
        <is>
          <t>маш.-ч</t>
        </is>
      </c>
      <c r="F39" s="273" t="n">
        <v>9.20383</v>
      </c>
      <c r="G39" s="398" t="n">
        <v>65.70999999999999</v>
      </c>
      <c r="H39" s="318">
        <f>ROUND(F39*G39,2)</f>
        <v/>
      </c>
    </row>
    <row r="40">
      <c r="A40" s="409" t="n">
        <v>26</v>
      </c>
      <c r="B40" s="379" t="n"/>
      <c r="C40" s="273" t="inlineStr">
        <is>
          <t>91.05.06-007</t>
        </is>
      </c>
      <c r="D40" s="396" t="inlineStr">
        <is>
          <t>Краны на гусеничном ходу, грузоподъемность 25 т</t>
        </is>
      </c>
      <c r="E40" s="388" t="inlineStr">
        <is>
          <t>маш.-ч</t>
        </is>
      </c>
      <c r="F40" s="273" t="n">
        <v>3.92</v>
      </c>
      <c r="G40" s="398" t="n">
        <v>120.04</v>
      </c>
      <c r="H40" s="318">
        <f>ROUND(F40*G40,2)</f>
        <v/>
      </c>
    </row>
    <row r="41">
      <c r="A41" s="409" t="n">
        <v>27</v>
      </c>
      <c r="B41" s="379" t="n"/>
      <c r="C41" s="273" t="inlineStr">
        <is>
          <t>91.14.02-004</t>
        </is>
      </c>
      <c r="D41" s="396" t="inlineStr">
        <is>
          <t>Автомобили бортовые, грузоподъемность до 15 т</t>
        </is>
      </c>
      <c r="E41" s="388" t="inlineStr">
        <is>
          <t>маш.-ч</t>
        </is>
      </c>
      <c r="F41" s="273" t="n">
        <v>3.82</v>
      </c>
      <c r="G41" s="398" t="n">
        <v>92.94</v>
      </c>
      <c r="H41" s="318">
        <f>ROUND(F41*G41,2)</f>
        <v/>
      </c>
    </row>
    <row r="42" ht="25.5" customHeight="1" s="314">
      <c r="A42" s="409" t="n">
        <v>28</v>
      </c>
      <c r="B42" s="379" t="n"/>
      <c r="C42" s="273" t="inlineStr">
        <is>
          <t>91.08.09-023</t>
        </is>
      </c>
      <c r="D42" s="396" t="inlineStr">
        <is>
          <t>Трамбовки пневматические при работе от передвижных компрессорных станций</t>
        </is>
      </c>
      <c r="E42" s="388" t="inlineStr">
        <is>
          <t>маш.-ч</t>
        </is>
      </c>
      <c r="F42" s="273" t="n">
        <v>418.32122</v>
      </c>
      <c r="G42" s="398" t="n">
        <v>0.55</v>
      </c>
      <c r="H42" s="318">
        <f>ROUND(F42*G42,2)</f>
        <v/>
      </c>
    </row>
    <row r="43">
      <c r="A43" s="409" t="n">
        <v>29</v>
      </c>
      <c r="B43" s="379" t="n"/>
      <c r="C43" s="273" t="inlineStr">
        <is>
          <t>91.14.02-002</t>
        </is>
      </c>
      <c r="D43" s="396" t="inlineStr">
        <is>
          <t>Автомобили бортовые, грузоподъемность до 8 т</t>
        </is>
      </c>
      <c r="E43" s="388" t="inlineStr">
        <is>
          <t>маш.-ч</t>
        </is>
      </c>
      <c r="F43" s="273" t="n">
        <v>2.381212</v>
      </c>
      <c r="G43" s="398" t="n">
        <v>85.84</v>
      </c>
      <c r="H43" s="318">
        <f>ROUND(F43*G43,2)</f>
        <v/>
      </c>
    </row>
    <row r="44">
      <c r="A44" s="409" t="n">
        <v>30</v>
      </c>
      <c r="B44" s="379" t="n"/>
      <c r="C44" s="273" t="inlineStr">
        <is>
          <t>91.05.01-017</t>
        </is>
      </c>
      <c r="D44" s="396" t="inlineStr">
        <is>
          <t>Краны башенные, грузоподъемность 8 т</t>
        </is>
      </c>
      <c r="E44" s="388" t="inlineStr">
        <is>
          <t>маш.-ч</t>
        </is>
      </c>
      <c r="F44" s="273" t="n">
        <v>2.27608</v>
      </c>
      <c r="G44" s="398" t="n">
        <v>86.40000000000001</v>
      </c>
      <c r="H44" s="318">
        <f>ROUND(F44*G44,2)</f>
        <v/>
      </c>
    </row>
    <row r="45" ht="25.5" customHeight="1" s="314">
      <c r="A45" s="409" t="n">
        <v>31</v>
      </c>
      <c r="B45" s="379" t="n"/>
      <c r="C45" s="273" t="inlineStr">
        <is>
          <t>91.05.04-010</t>
        </is>
      </c>
      <c r="D45" s="396" t="inlineStr">
        <is>
          <t>Краны мостовые электрические, грузоподъемность 50 т</t>
        </is>
      </c>
      <c r="E45" s="388" t="inlineStr">
        <is>
          <t>маш.-ч</t>
        </is>
      </c>
      <c r="F45" s="273" t="n">
        <v>0.96</v>
      </c>
      <c r="G45" s="398" t="n">
        <v>197.01</v>
      </c>
      <c r="H45" s="318">
        <f>ROUND(F45*G45,2)</f>
        <v/>
      </c>
    </row>
    <row r="46">
      <c r="A46" s="409" t="n">
        <v>32</v>
      </c>
      <c r="B46" s="379" t="n"/>
      <c r="C46" s="273" t="inlineStr">
        <is>
          <t>91.06.01-003</t>
        </is>
      </c>
      <c r="D46" s="396" t="inlineStr">
        <is>
          <t>Домкраты гидравлические, грузоподъемность 63-100 т</t>
        </is>
      </c>
      <c r="E46" s="388" t="inlineStr">
        <is>
          <t>маш.-ч</t>
        </is>
      </c>
      <c r="F46" s="273" t="n">
        <v>147.46</v>
      </c>
      <c r="G46" s="398" t="n">
        <v>0.9</v>
      </c>
      <c r="H46" s="318">
        <f>ROUND(F46*G46,2)</f>
        <v/>
      </c>
    </row>
    <row r="47" ht="25.5" customHeight="1" s="314">
      <c r="A47" s="409" t="n">
        <v>33</v>
      </c>
      <c r="B47" s="379" t="n"/>
      <c r="C47" s="273" t="inlineStr">
        <is>
          <t>91.17.04-233</t>
        </is>
      </c>
      <c r="D47" s="396" t="inlineStr">
        <is>
          <t>Установки для сварки ручной дуговой (постоянного тока)</t>
        </is>
      </c>
      <c r="E47" s="388" t="inlineStr">
        <is>
          <t>маш.-ч</t>
        </is>
      </c>
      <c r="F47" s="273" t="n">
        <v>15.51522</v>
      </c>
      <c r="G47" s="398" t="n">
        <v>8.1</v>
      </c>
      <c r="H47" s="318">
        <f>ROUND(F47*G47,2)</f>
        <v/>
      </c>
    </row>
    <row r="48">
      <c r="A48" s="409" t="n">
        <v>34</v>
      </c>
      <c r="B48" s="379" t="n"/>
      <c r="C48" s="273" t="inlineStr">
        <is>
          <t>91.21.22-491</t>
        </is>
      </c>
      <c r="D48" s="396" t="inlineStr">
        <is>
          <t>Шинотрубогибы</t>
        </is>
      </c>
      <c r="E48" s="388" t="inlineStr">
        <is>
          <t>маш.-ч</t>
        </is>
      </c>
      <c r="F48" s="273" t="n">
        <v>1.1835</v>
      </c>
      <c r="G48" s="398" t="n">
        <v>15.24</v>
      </c>
      <c r="H48" s="318">
        <f>ROUND(F48*G48,2)</f>
        <v/>
      </c>
    </row>
    <row r="49">
      <c r="A49" s="409" t="n">
        <v>35</v>
      </c>
      <c r="B49" s="379" t="n"/>
      <c r="C49" s="273" t="inlineStr">
        <is>
          <t>91.01.01-035</t>
        </is>
      </c>
      <c r="D49" s="396" t="inlineStr">
        <is>
          <t>Бульдозеры, мощность 79 кВт (108 л.с.)</t>
        </is>
      </c>
      <c r="E49" s="388" t="inlineStr">
        <is>
          <t>маш.-ч</t>
        </is>
      </c>
      <c r="F49" s="273" t="n">
        <v>0.22629</v>
      </c>
      <c r="G49" s="398" t="n">
        <v>79.06999999999999</v>
      </c>
      <c r="H49" s="318">
        <f>ROUND(F49*G49,2)</f>
        <v/>
      </c>
    </row>
    <row r="50" ht="25.5" customHeight="1" s="314">
      <c r="A50" s="409" t="n">
        <v>36</v>
      </c>
      <c r="B50" s="379" t="n"/>
      <c r="C50" s="273" t="inlineStr">
        <is>
          <t>91.21.01-012</t>
        </is>
      </c>
      <c r="D50" s="396" t="inlineStr">
        <is>
          <t>Агрегаты окрасочные высокого давления для окраски поверхностей конструкций, мощность 1 кВт</t>
        </is>
      </c>
      <c r="E50" s="388" t="inlineStr">
        <is>
          <t>маш.-ч</t>
        </is>
      </c>
      <c r="F50" s="273" t="n">
        <v>0.78008</v>
      </c>
      <c r="G50" s="398" t="n">
        <v>6.82</v>
      </c>
      <c r="H50" s="318">
        <f>ROUND(F50*G50,2)</f>
        <v/>
      </c>
    </row>
    <row r="51" ht="25.5" customFormat="1" customHeight="1" s="246">
      <c r="A51" s="409" t="n">
        <v>37</v>
      </c>
      <c r="B51" s="379" t="n"/>
      <c r="C51" s="273" t="inlineStr">
        <is>
          <t>91.17.04-161</t>
        </is>
      </c>
      <c r="D51" s="396" t="inlineStr">
        <is>
          <t>Полуавтоматы сварочные номинальным сварочным током 40-500 А</t>
        </is>
      </c>
      <c r="E51" s="388" t="inlineStr">
        <is>
          <t>маш.-ч</t>
        </is>
      </c>
      <c r="F51" s="273" t="n">
        <v>0.304</v>
      </c>
      <c r="G51" s="398" t="n">
        <v>16.44</v>
      </c>
      <c r="H51" s="318">
        <f>ROUND(F51*G51,2)</f>
        <v/>
      </c>
    </row>
    <row r="52">
      <c r="A52" s="409" t="n">
        <v>38</v>
      </c>
      <c r="B52" s="379" t="n"/>
      <c r="C52" s="273" t="inlineStr">
        <is>
          <t>91.06.05-011</t>
        </is>
      </c>
      <c r="D52" s="396" t="inlineStr">
        <is>
          <t>Погрузчики, грузоподъемность 5 т</t>
        </is>
      </c>
      <c r="E52" s="388" t="inlineStr">
        <is>
          <t>маш.-ч</t>
        </is>
      </c>
      <c r="F52" s="273" t="n">
        <v>0.01836</v>
      </c>
      <c r="G52" s="398" t="n">
        <v>89.98999999999999</v>
      </c>
      <c r="H52" s="318">
        <f>ROUND(F52*G52,2)</f>
        <v/>
      </c>
    </row>
    <row r="53">
      <c r="A53" s="409" t="n">
        <v>39</v>
      </c>
      <c r="B53" s="379" t="n"/>
      <c r="C53" s="273" t="inlineStr">
        <is>
          <t>91.07.04-001</t>
        </is>
      </c>
      <c r="D53" s="396" t="inlineStr">
        <is>
          <t>Вибраторы глубинные</t>
        </is>
      </c>
      <c r="E53" s="388" t="inlineStr">
        <is>
          <t>маш.-ч</t>
        </is>
      </c>
      <c r="F53" s="273" t="n">
        <v>0.72828</v>
      </c>
      <c r="G53" s="398" t="n">
        <v>1.9</v>
      </c>
      <c r="H53" s="318">
        <f>ROUND(F53*G53,2)</f>
        <v/>
      </c>
    </row>
    <row r="54">
      <c r="A54" s="409" t="n">
        <v>40</v>
      </c>
      <c r="B54" s="379" t="n"/>
      <c r="C54" s="273" t="inlineStr">
        <is>
          <t>91.17.04-042</t>
        </is>
      </c>
      <c r="D54" s="396" t="inlineStr">
        <is>
          <t>Аппараты для газовой сварки и резки</t>
        </is>
      </c>
      <c r="E54" s="388" t="inlineStr">
        <is>
          <t>маш.-ч</t>
        </is>
      </c>
      <c r="F54" s="273" t="n">
        <v>0.95</v>
      </c>
      <c r="G54" s="398" t="n">
        <v>1.2</v>
      </c>
      <c r="H54" s="318">
        <f>ROUND(F54*G54,2)</f>
        <v/>
      </c>
    </row>
    <row r="55" ht="25.5" customFormat="1" customHeight="1" s="246">
      <c r="A55" s="409" t="n">
        <v>41</v>
      </c>
      <c r="B55" s="379" t="n"/>
      <c r="C55" s="273" t="inlineStr">
        <is>
          <t>91.07.08-024</t>
        </is>
      </c>
      <c r="D55" s="396" t="inlineStr">
        <is>
          <t>Растворосмесители передвижные, объем барабана 65 л</t>
        </is>
      </c>
      <c r="E55" s="388" t="inlineStr">
        <is>
          <t>маш.-ч</t>
        </is>
      </c>
      <c r="F55" s="273" t="n">
        <v>0.0796</v>
      </c>
      <c r="G55" s="398" t="n">
        <v>12.39</v>
      </c>
      <c r="H55" s="318">
        <f>ROUND(F55*G55,2)</f>
        <v/>
      </c>
    </row>
    <row r="56">
      <c r="A56" s="409" t="n">
        <v>42</v>
      </c>
      <c r="B56" s="379" t="n"/>
      <c r="C56" s="273" t="inlineStr">
        <is>
          <t>91.07.04-002</t>
        </is>
      </c>
      <c r="D56" s="396" t="inlineStr">
        <is>
          <t>Вибраторы поверхностные</t>
        </is>
      </c>
      <c r="E56" s="388" t="inlineStr">
        <is>
          <t>маш.-ч</t>
        </is>
      </c>
      <c r="F56" s="273" t="n">
        <v>1.344</v>
      </c>
      <c r="G56" s="398" t="n">
        <v>0.5</v>
      </c>
      <c r="H56" s="318">
        <f>ROUND(F56*G56,2)</f>
        <v/>
      </c>
    </row>
    <row r="57">
      <c r="A57" s="409" t="n">
        <v>43</v>
      </c>
      <c r="B57" s="379" t="n"/>
      <c r="C57" s="273" t="inlineStr">
        <is>
          <t>91.21.19-031</t>
        </is>
      </c>
      <c r="D57" s="396" t="inlineStr">
        <is>
          <t>Станки сверлильные</t>
        </is>
      </c>
      <c r="E57" s="388" t="inlineStr">
        <is>
          <t>маш.-ч</t>
        </is>
      </c>
      <c r="F57" s="273" t="n">
        <v>0.2145</v>
      </c>
      <c r="G57" s="398" t="n">
        <v>2.36</v>
      </c>
      <c r="H57" s="318">
        <f>ROUND(F57*G57,2)</f>
        <v/>
      </c>
    </row>
    <row r="58">
      <c r="A58" s="409" t="n">
        <v>44</v>
      </c>
      <c r="B58" s="379" t="n"/>
      <c r="C58" s="273" t="inlineStr">
        <is>
          <t>91.14.03-001</t>
        </is>
      </c>
      <c r="D58" s="396" t="inlineStr">
        <is>
          <t>Автомобили-самосвалы, грузоподъемность до 7 т</t>
        </is>
      </c>
      <c r="E58" s="388" t="inlineStr">
        <is>
          <t>маш.-ч</t>
        </is>
      </c>
      <c r="F58" s="273" t="n">
        <v>0.00456</v>
      </c>
      <c r="G58" s="398" t="n">
        <v>89.54000000000001</v>
      </c>
      <c r="H58" s="318">
        <f>ROUND(F58*G58,2)</f>
        <v/>
      </c>
    </row>
    <row r="59" ht="15" customHeight="1" s="314">
      <c r="A59" s="377" t="inlineStr">
        <is>
          <t>Оборудование</t>
        </is>
      </c>
      <c r="B59" s="455" t="n"/>
      <c r="C59" s="455" t="n"/>
      <c r="D59" s="455" t="n"/>
      <c r="E59" s="456" t="n"/>
      <c r="F59" s="400" t="n"/>
      <c r="G59" s="341" t="n"/>
      <c r="H59" s="342">
        <f>SUM(H60:H65)</f>
        <v/>
      </c>
      <c r="Q59" s="343" t="n"/>
    </row>
    <row r="60" ht="28.5" customHeight="1" s="314">
      <c r="A60" s="388" t="n">
        <v>45</v>
      </c>
      <c r="B60" s="377" t="n"/>
      <c r="C60" s="388" t="inlineStr">
        <is>
          <t>Прайс из СД ОП</t>
        </is>
      </c>
      <c r="D60" s="330" t="inlineStr">
        <is>
          <t>Установка плавки гололеда постоянный регулируемый ток, Uном=14 кВ Iном=1600 А</t>
        </is>
      </c>
      <c r="E60" s="388" t="inlineStr">
        <is>
          <t>к-т</t>
        </is>
      </c>
      <c r="F60" s="388" t="n">
        <v>1</v>
      </c>
      <c r="G60" s="350" t="n">
        <v>2956105.46</v>
      </c>
      <c r="H60" s="350">
        <f>ROUND(F60*G60,2)</f>
        <v/>
      </c>
      <c r="Q60" s="343" t="n"/>
    </row>
    <row r="61" ht="55.15" customHeight="1" s="314">
      <c r="A61" s="388" t="n">
        <v>46</v>
      </c>
      <c r="B61" s="377" t="n"/>
      <c r="C61" s="388" t="inlineStr">
        <is>
          <t>Прайс из СД ОП</t>
        </is>
      </c>
      <c r="D61" s="330" t="inlineStr">
        <is>
          <t>Разъединитель однополюсный с одним комплектом заземлителей горизонтально-поворотного типа 35 кВ, 1000А, комплектно с заводской стойкой тип РГ1б-35.II/1000 УХЛ1</t>
        </is>
      </c>
      <c r="E61" s="388" t="inlineStr">
        <is>
          <t>полюс</t>
        </is>
      </c>
      <c r="F61" s="388" t="n">
        <v>1</v>
      </c>
      <c r="G61" s="350" t="n">
        <v>75370.16</v>
      </c>
      <c r="H61" s="350">
        <f>ROUND(F61*G61,2)</f>
        <v/>
      </c>
      <c r="Q61" s="343" t="n"/>
    </row>
    <row r="62" ht="19.15" customHeight="1" s="314">
      <c r="A62" s="388" t="n">
        <v>47</v>
      </c>
      <c r="B62" s="377" t="n"/>
      <c r="C62" s="388" t="inlineStr">
        <is>
          <t>Прайс из СД ОП</t>
        </is>
      </c>
      <c r="D62" s="327" t="inlineStr">
        <is>
          <t xml:space="preserve">Шкаф защиты выпрямителей типа БЭ2502 А03   </t>
        </is>
      </c>
      <c r="E62" s="388" t="inlineStr">
        <is>
          <t>шт</t>
        </is>
      </c>
      <c r="F62" s="388" t="n">
        <v>1</v>
      </c>
      <c r="G62" s="350" t="n">
        <v>99055.28999999999</v>
      </c>
      <c r="H62" s="350">
        <f>ROUND(F62*G62,2)</f>
        <v/>
      </c>
      <c r="Q62" s="343" t="n"/>
    </row>
    <row r="63" ht="13.5" customHeight="1" s="314">
      <c r="A63" s="388" t="n">
        <v>49</v>
      </c>
      <c r="B63" s="377" t="n"/>
      <c r="C63" s="388" t="inlineStr">
        <is>
          <t>Прайс из СД ОП</t>
        </is>
      </c>
      <c r="D63" s="330" t="inlineStr">
        <is>
          <t>Трансформатор тока 10 кВ Iпр = 40 кА Iном = 800 А</t>
        </is>
      </c>
      <c r="E63" s="388" t="inlineStr">
        <is>
          <t>шт</t>
        </is>
      </c>
      <c r="F63" s="388" t="n">
        <v>4</v>
      </c>
      <c r="G63" s="350" t="n">
        <v>6603.83</v>
      </c>
      <c r="H63" s="350">
        <f>ROUND(F63*G63,2)</f>
        <v/>
      </c>
      <c r="Q63" s="343" t="n"/>
    </row>
    <row r="64" ht="27" customHeight="1" s="314">
      <c r="A64" s="388" t="n">
        <v>50</v>
      </c>
      <c r="B64" s="377" t="n"/>
      <c r="C64" s="388" t="inlineStr">
        <is>
          <t>Прайс из СД ОП</t>
        </is>
      </c>
      <c r="D64" s="330" t="inlineStr">
        <is>
          <t xml:space="preserve">Изолятор керамический проходной тип ИП-20/2000-12,5УХЛ1 </t>
        </is>
      </c>
      <c r="E64" s="388" t="inlineStr">
        <is>
          <t>шт</t>
        </is>
      </c>
      <c r="F64" s="388" t="n">
        <v>8</v>
      </c>
      <c r="G64" s="350" t="n">
        <v>3811.03</v>
      </c>
      <c r="H64" s="350">
        <f>ROUND(F64*G64,2)</f>
        <v/>
      </c>
      <c r="Q64" s="343" t="n"/>
    </row>
    <row r="65" ht="31.15" customHeight="1" s="314">
      <c r="A65" s="388" t="n">
        <v>51</v>
      </c>
      <c r="B65" s="377" t="n"/>
      <c r="C65" s="388" t="inlineStr">
        <is>
          <t>Прайс из СД ОП</t>
        </is>
      </c>
      <c r="D65" s="330" t="inlineStr">
        <is>
          <t>Изоляторы для радио и связи опорно-стержневые ИОС-20-2000 УХЛ1</t>
        </is>
      </c>
      <c r="E65" s="388" t="inlineStr">
        <is>
          <t>шт</t>
        </is>
      </c>
      <c r="F65" s="388" t="n">
        <v>3</v>
      </c>
      <c r="G65" s="350" t="n">
        <v>559.9</v>
      </c>
      <c r="H65" s="350">
        <f>ROUND(F65*G65,2)</f>
        <v/>
      </c>
      <c r="Q65" s="343" t="n"/>
    </row>
    <row r="66" s="314">
      <c r="A66" s="378" t="inlineStr">
        <is>
          <t>Материалы</t>
        </is>
      </c>
      <c r="B66" s="455" t="n"/>
      <c r="C66" s="455" t="n"/>
      <c r="D66" s="455" t="n"/>
      <c r="E66" s="456" t="n"/>
      <c r="F66" s="345" t="n"/>
      <c r="G66" s="346" t="n"/>
      <c r="H66" s="342">
        <f>SUM(H67:H132)</f>
        <v/>
      </c>
      <c r="Q66" s="343" t="n"/>
    </row>
    <row r="67">
      <c r="A67" s="266" t="n">
        <v>52</v>
      </c>
      <c r="B67" s="379" t="n"/>
      <c r="C67" s="273" t="inlineStr">
        <is>
          <t>20.1.01.02-0068</t>
        </is>
      </c>
      <c r="D67" s="396" t="inlineStr">
        <is>
          <t>Зажим аппаратный прессуемый: А4А-600-2</t>
        </is>
      </c>
      <c r="E67" s="388" t="inlineStr">
        <is>
          <t>100 шт</t>
        </is>
      </c>
      <c r="F67" s="273" t="n">
        <v>31</v>
      </c>
      <c r="G67" s="398" t="n">
        <v>7378</v>
      </c>
      <c r="H67" s="318">
        <f>ROUND(F67*G67,2)</f>
        <v/>
      </c>
    </row>
    <row r="68">
      <c r="A68" s="266" t="n">
        <v>53</v>
      </c>
      <c r="B68" s="379" t="n"/>
      <c r="C68" s="286" t="inlineStr">
        <is>
          <t>22.2.02.07-0003</t>
        </is>
      </c>
      <c r="D68" s="396" t="inlineStr">
        <is>
          <t>Порталы металлические оцинкованные</t>
        </is>
      </c>
      <c r="E68" s="388" t="inlineStr">
        <is>
          <t>т</t>
        </is>
      </c>
      <c r="F68" s="273" t="n">
        <v>11.341</v>
      </c>
      <c r="G68" s="398" t="n">
        <v>12500</v>
      </c>
      <c r="H68" s="318">
        <f>ROUND(F68*G68,2)</f>
        <v/>
      </c>
    </row>
    <row r="69">
      <c r="A69" s="266" t="n">
        <v>54</v>
      </c>
      <c r="B69" s="379" t="n"/>
      <c r="C69" s="273" t="inlineStr">
        <is>
          <t>05.1.05.16-0221</t>
        </is>
      </c>
      <c r="D69" s="396" t="inlineStr">
        <is>
          <t>Фундаменты сборные железобетонные ВЛ и ОРУ</t>
        </is>
      </c>
      <c r="E69" s="388" t="inlineStr">
        <is>
          <t>м3</t>
        </is>
      </c>
      <c r="F69" s="273" t="n">
        <v>42.4604</v>
      </c>
      <c r="G69" s="398" t="n">
        <v>1597.37</v>
      </c>
      <c r="H69" s="318">
        <f>ROUND(F69*G69,2)</f>
        <v/>
      </c>
    </row>
    <row r="70" ht="25.5" customHeight="1" s="314">
      <c r="A70" s="266" t="n">
        <v>55</v>
      </c>
      <c r="B70" s="379" t="n"/>
      <c r="C70" s="273" t="inlineStr">
        <is>
          <t>21.2.01.02-0101</t>
        </is>
      </c>
      <c r="D70" s="396" t="inlineStr">
        <is>
          <t>Провод неизолированный для воздушных линий электропередачи АС 500/26</t>
        </is>
      </c>
      <c r="E70" s="388" t="inlineStr">
        <is>
          <t>т</t>
        </is>
      </c>
      <c r="F70" s="273" t="n">
        <v>0.741</v>
      </c>
      <c r="G70" s="398" t="n">
        <v>34240.97</v>
      </c>
      <c r="H70" s="318">
        <f>ROUND(F70*G70,2)</f>
        <v/>
      </c>
    </row>
    <row r="71">
      <c r="A71" s="266" t="n">
        <v>56</v>
      </c>
      <c r="B71" s="379" t="n"/>
      <c r="C71" s="286" t="inlineStr">
        <is>
          <t>22.2.02.07-0041</t>
        </is>
      </c>
      <c r="D71" s="396" t="inlineStr">
        <is>
          <t>Ростверки стальные оцинкованные</t>
        </is>
      </c>
      <c r="E71" s="388" t="inlineStr">
        <is>
          <t>т</t>
        </is>
      </c>
      <c r="F71" s="388" t="n">
        <v>2.884</v>
      </c>
      <c r="G71" s="398" t="n">
        <v>8200</v>
      </c>
      <c r="H71" s="318">
        <f>ROUND(F71*G71,2)</f>
        <v/>
      </c>
    </row>
    <row r="72">
      <c r="A72" s="266" t="n">
        <v>57</v>
      </c>
      <c r="B72" s="379" t="n"/>
      <c r="C72" s="273" t="inlineStr">
        <is>
          <t>22.2.01.03-0003</t>
        </is>
      </c>
      <c r="D72" s="396" t="inlineStr">
        <is>
          <t>Изолятор подвесной стеклянный ПСД-70Е</t>
        </is>
      </c>
      <c r="E72" s="388" t="inlineStr">
        <is>
          <t>шт</t>
        </is>
      </c>
      <c r="F72" s="273" t="n">
        <v>116</v>
      </c>
      <c r="G72" s="398" t="n">
        <v>169.25</v>
      </c>
      <c r="H72" s="318">
        <f>ROUND(F72*G72,2)</f>
        <v/>
      </c>
    </row>
    <row r="73">
      <c r="A73" s="266" t="n">
        <v>58</v>
      </c>
      <c r="B73" s="379" t="n"/>
      <c r="C73" s="273" t="inlineStr">
        <is>
          <t>02.2.05.04-1567</t>
        </is>
      </c>
      <c r="D73" s="396" t="inlineStr">
        <is>
          <t>Щебень М 400, фракция 5(3)-10 мм, группа 2</t>
        </is>
      </c>
      <c r="E73" s="388" t="inlineStr">
        <is>
          <t>м3</t>
        </is>
      </c>
      <c r="F73" s="273" t="n">
        <v>128.57</v>
      </c>
      <c r="G73" s="398" t="n">
        <v>131.08</v>
      </c>
      <c r="H73" s="318">
        <f>ROUND(F73*G73,2)</f>
        <v/>
      </c>
    </row>
    <row r="74" ht="25.5" customHeight="1" s="314">
      <c r="A74" s="266" t="n">
        <v>59</v>
      </c>
      <c r="B74" s="379" t="n"/>
      <c r="C74" s="273" t="inlineStr">
        <is>
          <t>04.3.02.09-0821</t>
        </is>
      </c>
      <c r="D74" s="396" t="inlineStr">
        <is>
          <t>Смесь сухая: гидроизоляционная проникающая капиллярная марка "Пенетрон"</t>
        </is>
      </c>
      <c r="E74" s="388" t="inlineStr">
        <is>
          <t>кг</t>
        </is>
      </c>
      <c r="F74" s="273" t="n">
        <v>159.2</v>
      </c>
      <c r="G74" s="398" t="n">
        <v>78.95</v>
      </c>
      <c r="H74" s="318">
        <f>ROUND(F74*G74,2)</f>
        <v/>
      </c>
    </row>
    <row r="75">
      <c r="A75" s="266" t="n">
        <v>60</v>
      </c>
      <c r="B75" s="379" t="n"/>
      <c r="C75" s="336" t="inlineStr">
        <is>
          <t>Прайс из СД ОП</t>
        </is>
      </c>
      <c r="D75" s="396" t="inlineStr">
        <is>
          <t>Ростверки стальные оцинкованные Т-17</t>
        </is>
      </c>
      <c r="E75" s="388" t="inlineStr">
        <is>
          <t>т</t>
        </is>
      </c>
      <c r="F75" s="273" t="n">
        <v>1.193</v>
      </c>
      <c r="G75" s="398" t="n">
        <v>10097.38</v>
      </c>
      <c r="H75" s="318">
        <f>ROUND(F75*G75,2)</f>
        <v/>
      </c>
    </row>
    <row r="76">
      <c r="A76" s="266" t="n">
        <v>61</v>
      </c>
      <c r="B76" s="379" t="n"/>
      <c r="C76" s="336" t="inlineStr">
        <is>
          <t>Прайс из СД ОП</t>
        </is>
      </c>
      <c r="D76" s="396" t="inlineStr">
        <is>
          <t>Траверсы металлические оцинкованные</t>
        </is>
      </c>
      <c r="E76" s="388" t="inlineStr">
        <is>
          <t>т</t>
        </is>
      </c>
      <c r="F76" s="273" t="n">
        <v>1.112</v>
      </c>
      <c r="G76" s="398" t="n">
        <v>9858.58</v>
      </c>
      <c r="H76" s="318">
        <f>ROUND(F76*G76,2)</f>
        <v/>
      </c>
    </row>
    <row r="77">
      <c r="A77" s="266" t="n">
        <v>62</v>
      </c>
      <c r="B77" s="379" t="n"/>
      <c r="C77" s="273" t="inlineStr">
        <is>
          <t>02.1.01.01-0001</t>
        </is>
      </c>
      <c r="D77" s="396" t="inlineStr">
        <is>
          <t>Глина</t>
        </is>
      </c>
      <c r="E77" s="388" t="inlineStr">
        <is>
          <t>м3</t>
        </is>
      </c>
      <c r="F77" s="273" t="n">
        <v>105.69</v>
      </c>
      <c r="G77" s="398" t="n">
        <v>87.8</v>
      </c>
      <c r="H77" s="318">
        <f>ROUND(F77*G77,2)</f>
        <v/>
      </c>
    </row>
    <row r="78" ht="25.5" customHeight="1" s="314">
      <c r="A78" s="266" t="n">
        <v>63</v>
      </c>
      <c r="B78" s="379" t="n"/>
      <c r="C78" s="273" t="inlineStr">
        <is>
          <t>04.1.02.05-0044</t>
        </is>
      </c>
      <c r="D78" s="396" t="inlineStr">
        <is>
          <t>Смеси бетонные тяжелого бетона (БСТ), крупность заполнителя 20 мм, класс В20 (М250)</t>
        </is>
      </c>
      <c r="E78" s="388" t="inlineStr">
        <is>
          <t>м3</t>
        </is>
      </c>
      <c r="F78" s="273" t="n">
        <v>13.804</v>
      </c>
      <c r="G78" s="398" t="n">
        <v>667.83</v>
      </c>
      <c r="H78" s="318">
        <f>ROUND(F78*G78,2)</f>
        <v/>
      </c>
    </row>
    <row r="79" customFormat="1" s="246">
      <c r="A79" s="266" t="n">
        <v>64</v>
      </c>
      <c r="B79" s="379" t="n"/>
      <c r="C79" s="273" t="inlineStr">
        <is>
          <t>20.5.04.04-0016</t>
        </is>
      </c>
      <c r="D79" s="396" t="inlineStr">
        <is>
          <t>Зажим натяжной НАС-600-1</t>
        </is>
      </c>
      <c r="E79" s="388" t="inlineStr">
        <is>
          <t>шт</t>
        </is>
      </c>
      <c r="F79" s="273" t="n">
        <v>25</v>
      </c>
      <c r="G79" s="398" t="n">
        <v>311.42</v>
      </c>
      <c r="H79" s="318">
        <f>ROUND(F79*G79,2)</f>
        <v/>
      </c>
    </row>
    <row r="80" ht="25.5" customHeight="1" s="314">
      <c r="A80" s="266" t="n">
        <v>65</v>
      </c>
      <c r="B80" s="379" t="n"/>
      <c r="C80" s="273" t="inlineStr">
        <is>
          <t>21.2.01.02-0089</t>
        </is>
      </c>
      <c r="D80" s="396" t="inlineStr">
        <is>
          <t>Провод неизолированный для воздушных линий электропередачи АС 120/19</t>
        </is>
      </c>
      <c r="E80" s="388" t="inlineStr">
        <is>
          <t>т</t>
        </is>
      </c>
      <c r="F80" s="273" t="n">
        <v>0.236</v>
      </c>
      <c r="G80" s="398" t="n">
        <v>32007.25</v>
      </c>
      <c r="H80" s="318">
        <f>ROUND(F80*G80,2)</f>
        <v/>
      </c>
    </row>
    <row r="81" ht="25.5" customHeight="1" s="314">
      <c r="A81" s="266" t="n">
        <v>66</v>
      </c>
      <c r="B81" s="379" t="n"/>
      <c r="C81" s="273" t="inlineStr">
        <is>
          <t>08.4.03.03-0032</t>
        </is>
      </c>
      <c r="D81" s="396" t="inlineStr">
        <is>
          <t>Сталь арматурная, горячекатаная, периодического профиля, класс А-III, диаметр 12 мм</t>
        </is>
      </c>
      <c r="E81" s="388" t="inlineStr">
        <is>
          <t>т</t>
        </is>
      </c>
      <c r="F81" s="273" t="n">
        <v>0.38</v>
      </c>
      <c r="G81" s="398" t="n">
        <v>7997.23</v>
      </c>
      <c r="H81" s="318">
        <f>ROUND(F81*G81,2)</f>
        <v/>
      </c>
    </row>
    <row r="82">
      <c r="A82" s="266" t="n">
        <v>67</v>
      </c>
      <c r="B82" s="379" t="n"/>
      <c r="C82" s="273" t="inlineStr">
        <is>
          <t>20.5.04.04-0001</t>
        </is>
      </c>
      <c r="D82" s="396" t="inlineStr">
        <is>
          <t>Зажим натяжной болтовый НБ-2-6</t>
        </is>
      </c>
      <c r="E82" s="388" t="inlineStr">
        <is>
          <t>шт</t>
        </is>
      </c>
      <c r="F82" s="273" t="n">
        <v>29</v>
      </c>
      <c r="G82" s="398" t="n">
        <v>89.44</v>
      </c>
      <c r="H82" s="318">
        <f>ROUND(F82*G82,2)</f>
        <v/>
      </c>
    </row>
    <row r="83">
      <c r="A83" s="266" t="n">
        <v>68</v>
      </c>
      <c r="B83" s="379" t="n"/>
      <c r="C83" s="273" t="inlineStr">
        <is>
          <t>01.7.11.07-0032</t>
        </is>
      </c>
      <c r="D83" s="396" t="inlineStr">
        <is>
          <t>Электроды сварочные Э42, диаметр 4 мм</t>
        </is>
      </c>
      <c r="E83" s="388" t="inlineStr">
        <is>
          <t>т</t>
        </is>
      </c>
      <c r="F83" s="273" t="n">
        <v>0.173988</v>
      </c>
      <c r="G83" s="398" t="n">
        <v>10315.01</v>
      </c>
      <c r="H83" s="318">
        <f>ROUND(F83*G83,2)</f>
        <v/>
      </c>
    </row>
    <row r="84" ht="25.5" customHeight="1" s="314">
      <c r="A84" s="266" t="n">
        <v>69</v>
      </c>
      <c r="B84" s="379" t="n"/>
      <c r="C84" s="273" t="inlineStr">
        <is>
          <t>04.1.02.05-0040</t>
        </is>
      </c>
      <c r="D84" s="396" t="inlineStr">
        <is>
          <t>Смеси бетонные тяжелого бетона (БСТ), крупность заполнителя 20 мм, класс В7,5 (М100)</t>
        </is>
      </c>
      <c r="E84" s="388" t="inlineStr">
        <is>
          <t>м3</t>
        </is>
      </c>
      <c r="F84" s="273" t="n">
        <v>2.856</v>
      </c>
      <c r="G84" s="398" t="n">
        <v>535.46</v>
      </c>
      <c r="H84" s="318">
        <f>ROUND(F84*G84,2)</f>
        <v/>
      </c>
    </row>
    <row r="85">
      <c r="A85" s="266" t="n">
        <v>70</v>
      </c>
      <c r="B85" s="379" t="n"/>
      <c r="C85" s="273" t="inlineStr">
        <is>
          <t>20.1.02.21-0043</t>
        </is>
      </c>
      <c r="D85" s="396" t="inlineStr">
        <is>
          <t>Узел крепления КГП-7-3</t>
        </is>
      </c>
      <c r="E85" s="388" t="inlineStr">
        <is>
          <t>шт</t>
        </is>
      </c>
      <c r="F85" s="273" t="n">
        <v>58</v>
      </c>
      <c r="G85" s="398" t="n">
        <v>25.55</v>
      </c>
      <c r="H85" s="318">
        <f>ROUND(F85*G85,2)</f>
        <v/>
      </c>
    </row>
    <row r="86">
      <c r="A86" s="266" t="n">
        <v>71</v>
      </c>
      <c r="B86" s="379" t="n"/>
      <c r="C86" s="273" t="inlineStr">
        <is>
          <t>01.7.15.10-0031</t>
        </is>
      </c>
      <c r="D86" s="396" t="inlineStr">
        <is>
          <t>Скобы СК-7-1А</t>
        </is>
      </c>
      <c r="E86" s="388" t="inlineStr">
        <is>
          <t>шт</t>
        </is>
      </c>
      <c r="F86" s="273" t="n">
        <v>49</v>
      </c>
      <c r="G86" s="398" t="n">
        <v>28.07</v>
      </c>
      <c r="H86" s="318">
        <f>ROUND(F86*G86,2)</f>
        <v/>
      </c>
    </row>
    <row r="87">
      <c r="A87" s="266" t="n">
        <v>72</v>
      </c>
      <c r="B87" s="379" t="n"/>
      <c r="C87" s="273" t="inlineStr">
        <is>
          <t>20.1.01.12-0001</t>
        </is>
      </c>
      <c r="D87" s="396" t="inlineStr">
        <is>
          <t>Зажим поддерживающий глухой 2ПГН-5-1</t>
        </is>
      </c>
      <c r="E87" s="388" t="inlineStr">
        <is>
          <t>шт</t>
        </is>
      </c>
      <c r="F87" s="273" t="n">
        <v>3</v>
      </c>
      <c r="G87" s="398" t="n">
        <v>436.39</v>
      </c>
      <c r="H87" s="318">
        <f>ROUND(F87*G87,2)</f>
        <v/>
      </c>
    </row>
    <row r="88" ht="38.25" customHeight="1" s="314">
      <c r="A88" s="266" t="n">
        <v>73</v>
      </c>
      <c r="B88" s="379" t="n"/>
      <c r="C88" s="273" t="inlineStr">
        <is>
          <t>20.5.03.03-0005</t>
        </is>
      </c>
      <c r="D88" s="396" t="inlineStr">
        <is>
          <t>Шины прессованные электротехнического назначения из алюминия, марка АДО, без термической обработки, размер 4х30 мм</t>
        </is>
      </c>
      <c r="E88" s="388" t="inlineStr">
        <is>
          <t>кг</t>
        </is>
      </c>
      <c r="F88" s="273" t="n">
        <v>19.4</v>
      </c>
      <c r="G88" s="398" t="n">
        <v>62.65</v>
      </c>
      <c r="H88" s="318">
        <f>ROUND(F88*G88,2)</f>
        <v/>
      </c>
    </row>
    <row r="89">
      <c r="A89" s="266" t="n">
        <v>74</v>
      </c>
      <c r="B89" s="379" t="n"/>
      <c r="C89" s="273" t="inlineStr">
        <is>
          <t>22.2.02.04-0044</t>
        </is>
      </c>
      <c r="D89" s="396" t="inlineStr">
        <is>
          <t>Звено промежуточное трехлапчатое ПРТ-7/21-2</t>
        </is>
      </c>
      <c r="E89" s="388" t="inlineStr">
        <is>
          <t>шт</t>
        </is>
      </c>
      <c r="F89" s="273" t="n">
        <v>25</v>
      </c>
      <c r="G89" s="398" t="n">
        <v>45.25</v>
      </c>
      <c r="H89" s="318">
        <f>ROUND(F89*G89,2)</f>
        <v/>
      </c>
    </row>
    <row r="90">
      <c r="A90" s="266" t="n">
        <v>75</v>
      </c>
      <c r="B90" s="379" t="n"/>
      <c r="C90" s="273" t="inlineStr">
        <is>
          <t>22.2.02.04-0041</t>
        </is>
      </c>
      <c r="D90" s="396" t="inlineStr">
        <is>
          <t>Звено промежуточное трехлапчатое ПРТ-7-1</t>
        </is>
      </c>
      <c r="E90" s="388" t="inlineStr">
        <is>
          <t>шт</t>
        </is>
      </c>
      <c r="F90" s="273" t="n">
        <v>29</v>
      </c>
      <c r="G90" s="398" t="n">
        <v>36.42</v>
      </c>
      <c r="H90" s="318">
        <f>ROUND(F90*G90,2)</f>
        <v/>
      </c>
    </row>
    <row r="91">
      <c r="A91" s="266" t="n">
        <v>76</v>
      </c>
      <c r="B91" s="379" t="n"/>
      <c r="C91" s="273" t="inlineStr">
        <is>
          <t>20.1.02.22-0004</t>
        </is>
      </c>
      <c r="D91" s="396" t="inlineStr">
        <is>
          <t>Ушко: однолапчатое укороченное У1К-7-16</t>
        </is>
      </c>
      <c r="E91" s="388" t="inlineStr">
        <is>
          <t>шт</t>
        </is>
      </c>
      <c r="F91" s="273" t="n">
        <v>29</v>
      </c>
      <c r="G91" s="398" t="n">
        <v>35.75</v>
      </c>
      <c r="H91" s="318">
        <f>ROUND(F91*G91,2)</f>
        <v/>
      </c>
    </row>
    <row r="92" ht="63.75" customHeight="1" s="314">
      <c r="A92" s="266" t="n">
        <v>77</v>
      </c>
      <c r="B92" s="379" t="n"/>
      <c r="C92" s="273" t="inlineStr">
        <is>
          <t>08.4.01.02-0013</t>
        </is>
      </c>
      <c r="D92" s="39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92" s="388" t="inlineStr">
        <is>
          <t>т</t>
        </is>
      </c>
      <c r="F92" s="273" t="n">
        <v>0.141</v>
      </c>
      <c r="G92" s="398" t="n">
        <v>6800</v>
      </c>
      <c r="H92" s="318">
        <f>ROUND(F92*G92,2)</f>
        <v/>
      </c>
    </row>
    <row r="93">
      <c r="A93" s="266" t="n">
        <v>78</v>
      </c>
      <c r="B93" s="379" t="n"/>
      <c r="C93" s="273" t="inlineStr">
        <is>
          <t>25.1.01.04-0031</t>
        </is>
      </c>
      <c r="D93" s="396" t="inlineStr">
        <is>
          <t>Шпалы непропитанные для железных дорог, тип I</t>
        </is>
      </c>
      <c r="E93" s="388" t="inlineStr">
        <is>
          <t>шт</t>
        </is>
      </c>
      <c r="F93" s="273" t="n">
        <v>2.8</v>
      </c>
      <c r="G93" s="398" t="n">
        <v>266.67</v>
      </c>
      <c r="H93" s="318">
        <f>ROUND(F93*G93,2)</f>
        <v/>
      </c>
    </row>
    <row r="94" ht="25.5" customFormat="1" customHeight="1" s="246">
      <c r="A94" s="266" t="n">
        <v>79</v>
      </c>
      <c r="B94" s="379" t="n"/>
      <c r="C94" s="273" t="inlineStr">
        <is>
          <t>07.2.07.04-0007</t>
        </is>
      </c>
      <c r="D94" s="396" t="inlineStr">
        <is>
          <t>Конструкции стальные индивидуальные решетчатые сварные, масса до 0,1 т</t>
        </is>
      </c>
      <c r="E94" s="388" t="inlineStr">
        <is>
          <t>т</t>
        </is>
      </c>
      <c r="F94" s="273" t="n">
        <v>0.0648</v>
      </c>
      <c r="G94" s="398" t="n">
        <v>11500</v>
      </c>
      <c r="H94" s="318">
        <f>ROUND(F94*G94,2)</f>
        <v/>
      </c>
    </row>
    <row r="95">
      <c r="A95" s="266" t="n">
        <v>80</v>
      </c>
      <c r="B95" s="379" t="n"/>
      <c r="C95" s="336" t="inlineStr">
        <is>
          <t>Прайс из СД ОП</t>
        </is>
      </c>
      <c r="D95" s="396" t="inlineStr">
        <is>
          <t>Зажим поддерживающий глухой, тип ПГГ-30/12-20</t>
        </is>
      </c>
      <c r="E95" s="388" t="inlineStr">
        <is>
          <t>шт</t>
        </is>
      </c>
      <c r="F95" s="273" t="n">
        <v>15</v>
      </c>
      <c r="G95" s="398" t="n">
        <v>44.17</v>
      </c>
      <c r="H95" s="318">
        <f>ROUND(F95*G95,2)</f>
        <v/>
      </c>
    </row>
    <row r="96">
      <c r="A96" s="266" t="n">
        <v>81</v>
      </c>
      <c r="B96" s="379" t="n"/>
      <c r="C96" s="273" t="inlineStr">
        <is>
          <t>20.1.02.05-0008</t>
        </is>
      </c>
      <c r="D96" s="396" t="inlineStr">
        <is>
          <t>Коромысло: К2-7-1С</t>
        </is>
      </c>
      <c r="E96" s="388" t="inlineStr">
        <is>
          <t>шт</t>
        </is>
      </c>
      <c r="F96" s="273" t="n">
        <v>13</v>
      </c>
      <c r="G96" s="398" t="n">
        <v>48.16</v>
      </c>
      <c r="H96" s="318">
        <f>ROUND(F96*G96,2)</f>
        <v/>
      </c>
    </row>
    <row r="97">
      <c r="A97" s="266" t="n">
        <v>82</v>
      </c>
      <c r="B97" s="379" t="n"/>
      <c r="C97" s="273" t="inlineStr">
        <is>
          <t>20.1.02.22-0005</t>
        </is>
      </c>
      <c r="D97" s="396" t="inlineStr">
        <is>
          <t>Ушко: однолапчатое У1-7-16</t>
        </is>
      </c>
      <c r="E97" s="388" t="inlineStr">
        <is>
          <t>шт</t>
        </is>
      </c>
      <c r="F97" s="273" t="n">
        <v>15</v>
      </c>
      <c r="G97" s="398" t="n">
        <v>39.32</v>
      </c>
      <c r="H97" s="318">
        <f>ROUND(F97*G97,2)</f>
        <v/>
      </c>
    </row>
    <row r="98">
      <c r="A98" s="266" t="n">
        <v>83</v>
      </c>
      <c r="B98" s="379" t="n"/>
      <c r="C98" s="273" t="inlineStr">
        <is>
          <t>20.1.02.14-1022</t>
        </is>
      </c>
      <c r="D98" s="396" t="inlineStr">
        <is>
          <t>Серьга СРС-7-16</t>
        </is>
      </c>
      <c r="E98" s="388" t="inlineStr">
        <is>
          <t>шт</t>
        </is>
      </c>
      <c r="F98" s="273" t="n">
        <v>58</v>
      </c>
      <c r="G98" s="398" t="n">
        <v>10.03</v>
      </c>
      <c r="H98" s="318">
        <f>ROUND(F98*G98,2)</f>
        <v/>
      </c>
    </row>
    <row r="99" ht="25.5" customHeight="1" s="314">
      <c r="A99" s="266" t="n">
        <v>84</v>
      </c>
      <c r="B99" s="379" t="n"/>
      <c r="C99" s="273" t="inlineStr">
        <is>
          <t>01.7.15.03-0035</t>
        </is>
      </c>
      <c r="D99" s="396" t="inlineStr">
        <is>
          <t>Болты с гайками и шайбами оцинкованные, диаметр 20 мм</t>
        </is>
      </c>
      <c r="E99" s="388" t="inlineStr">
        <is>
          <t>кг</t>
        </is>
      </c>
      <c r="F99" s="273" t="n">
        <v>18.2</v>
      </c>
      <c r="G99" s="398" t="n">
        <v>24.97</v>
      </c>
      <c r="H99" s="318">
        <f>ROUND(F99*G99,2)</f>
        <v/>
      </c>
    </row>
    <row r="100">
      <c r="A100" s="266" t="n">
        <v>85</v>
      </c>
      <c r="B100" s="379" t="n"/>
      <c r="C100" s="273" t="inlineStr">
        <is>
          <t>20.1.02.22-0001</t>
        </is>
      </c>
      <c r="D100" s="396" t="inlineStr">
        <is>
          <t>Ушко: двухлапчатое укороченное У2К-7-16</t>
        </is>
      </c>
      <c r="E100" s="388" t="inlineStr">
        <is>
          <t>шт</t>
        </is>
      </c>
      <c r="F100" s="273" t="n">
        <v>13</v>
      </c>
      <c r="G100" s="398" t="n">
        <v>34.73</v>
      </c>
      <c r="H100" s="318">
        <f>ROUND(F100*G100,2)</f>
        <v/>
      </c>
    </row>
    <row r="101">
      <c r="A101" s="266" t="n">
        <v>86</v>
      </c>
      <c r="B101" s="379" t="n"/>
      <c r="C101" s="273" t="inlineStr">
        <is>
          <t>07.2.07.13-0171</t>
        </is>
      </c>
      <c r="D101" s="396" t="inlineStr">
        <is>
          <t>Подкладки металлические</t>
        </is>
      </c>
      <c r="E101" s="388" t="inlineStr">
        <is>
          <t>кг</t>
        </is>
      </c>
      <c r="F101" s="273" t="n">
        <v>30.5</v>
      </c>
      <c r="G101" s="398" t="n">
        <v>12.6</v>
      </c>
      <c r="H101" s="318">
        <f>ROUND(F101*G101,2)</f>
        <v/>
      </c>
    </row>
    <row r="102">
      <c r="A102" s="266" t="n">
        <v>87</v>
      </c>
      <c r="B102" s="379" t="n"/>
      <c r="C102" s="273" t="inlineStr">
        <is>
          <t>14.4.02.09-0001</t>
        </is>
      </c>
      <c r="D102" s="396" t="inlineStr">
        <is>
          <t>Краска</t>
        </is>
      </c>
      <c r="E102" s="388" t="inlineStr">
        <is>
          <t>кг</t>
        </is>
      </c>
      <c r="F102" s="273" t="n">
        <v>10.6325</v>
      </c>
      <c r="G102" s="398" t="n">
        <v>28.6</v>
      </c>
      <c r="H102" s="318">
        <f>ROUND(F102*G102,2)</f>
        <v/>
      </c>
    </row>
    <row r="103">
      <c r="A103" s="266" t="n">
        <v>88</v>
      </c>
      <c r="B103" s="379" t="n"/>
      <c r="C103" s="273" t="inlineStr">
        <is>
          <t>20.1.02.22-0013</t>
        </is>
      </c>
      <c r="D103" s="396" t="inlineStr">
        <is>
          <t>Ушко: специальное УС-7-16</t>
        </is>
      </c>
      <c r="E103" s="388" t="inlineStr">
        <is>
          <t>шт</t>
        </is>
      </c>
      <c r="F103" s="273" t="n">
        <v>3</v>
      </c>
      <c r="G103" s="398" t="n">
        <v>88.97</v>
      </c>
      <c r="H103" s="318">
        <f>ROUND(F103*G103,2)</f>
        <v/>
      </c>
    </row>
    <row r="104" ht="25.5" customHeight="1" s="314">
      <c r="A104" s="266" t="n">
        <v>89</v>
      </c>
      <c r="B104" s="379" t="n"/>
      <c r="C104" s="273" t="inlineStr">
        <is>
          <t>20.2.10.03-0002</t>
        </is>
      </c>
      <c r="D104" s="396" t="inlineStr">
        <is>
          <t>Наконечники кабельные медные для электротехнических установок</t>
        </is>
      </c>
      <c r="E104" s="388" t="inlineStr">
        <is>
          <t>100 шт</t>
        </is>
      </c>
      <c r="F104" s="273" t="n">
        <v>0.0612</v>
      </c>
      <c r="G104" s="398" t="n">
        <v>3986</v>
      </c>
      <c r="H104" s="318">
        <f>ROUND(F104*G104,2)</f>
        <v/>
      </c>
    </row>
    <row r="105" ht="25.5" customHeight="1" s="314">
      <c r="A105" s="266" t="n">
        <v>90</v>
      </c>
      <c r="B105" s="379" t="n"/>
      <c r="C105" s="273" t="inlineStr">
        <is>
          <t>08.4.01.01-0022</t>
        </is>
      </c>
      <c r="D105" s="396" t="inlineStr">
        <is>
          <t>Детали анкерные с резьбой из прямых или гнутых круглых стержней</t>
        </is>
      </c>
      <c r="E105" s="388" t="inlineStr">
        <is>
          <t>т</t>
        </is>
      </c>
      <c r="F105" s="273" t="n">
        <v>0.01616</v>
      </c>
      <c r="G105" s="398" t="n">
        <v>10100</v>
      </c>
      <c r="H105" s="318">
        <f>ROUND(F105*G105,2)</f>
        <v/>
      </c>
    </row>
    <row r="106">
      <c r="A106" s="266" t="n">
        <v>91</v>
      </c>
      <c r="B106" s="379" t="n"/>
      <c r="C106" s="273" t="inlineStr">
        <is>
          <t>999-9950</t>
        </is>
      </c>
      <c r="D106" s="396" t="inlineStr">
        <is>
          <t>Вспомогательные ненормируемые материалы</t>
        </is>
      </c>
      <c r="E106" s="388" t="inlineStr">
        <is>
          <t>руб</t>
        </is>
      </c>
      <c r="F106" s="273" t="n">
        <v>161.577</v>
      </c>
      <c r="G106" s="398" t="n">
        <v>1</v>
      </c>
      <c r="H106" s="318">
        <f>ROUND(F106*G106,2)</f>
        <v/>
      </c>
    </row>
    <row r="107">
      <c r="A107" s="266" t="n">
        <v>92</v>
      </c>
      <c r="B107" s="379" t="n"/>
      <c r="C107" s="273" t="inlineStr">
        <is>
          <t>01.7.15.03-0042</t>
        </is>
      </c>
      <c r="D107" s="396" t="inlineStr">
        <is>
          <t>Болты с гайками и шайбами строительные</t>
        </is>
      </c>
      <c r="E107" s="388" t="inlineStr">
        <is>
          <t>кг</t>
        </is>
      </c>
      <c r="F107" s="273" t="n">
        <v>17.0812</v>
      </c>
      <c r="G107" s="398" t="n">
        <v>9.039999999999999</v>
      </c>
      <c r="H107" s="318">
        <f>ROUND(F107*G107,2)</f>
        <v/>
      </c>
    </row>
    <row r="108" ht="25.5" customHeight="1" s="314">
      <c r="A108" s="266" t="n">
        <v>93</v>
      </c>
      <c r="B108" s="379" t="n"/>
      <c r="C108" s="273" t="inlineStr">
        <is>
          <t>01.3.01.06-0050</t>
        </is>
      </c>
      <c r="D108" s="396" t="inlineStr">
        <is>
          <t>Смазка универсальная тугоплавкая УТ (консталин жировой)</t>
        </is>
      </c>
      <c r="E108" s="388" t="inlineStr">
        <is>
          <t>т</t>
        </is>
      </c>
      <c r="F108" s="273" t="n">
        <v>0.00687</v>
      </c>
      <c r="G108" s="398" t="n">
        <v>17500</v>
      </c>
      <c r="H108" s="318">
        <f>ROUND(F108*G108,2)</f>
        <v/>
      </c>
    </row>
    <row r="109" ht="25.5" customFormat="1" customHeight="1" s="246">
      <c r="A109" s="266" t="n">
        <v>94</v>
      </c>
      <c r="B109" s="379" t="n"/>
      <c r="C109" s="273" t="inlineStr">
        <is>
          <t>08.3.07.01-0076</t>
        </is>
      </c>
      <c r="D109" s="396" t="inlineStr">
        <is>
          <t>Прокат полосовой, горячекатаный, марка стали Ст3сп, ширина 50-200 мм, толщина 4-5 мм</t>
        </is>
      </c>
      <c r="E109" s="388" t="inlineStr">
        <is>
          <t>т</t>
        </is>
      </c>
      <c r="F109" s="273" t="n">
        <v>0.01922</v>
      </c>
      <c r="G109" s="398" t="n">
        <v>5000</v>
      </c>
      <c r="H109" s="318">
        <f>ROUND(F109*G109,2)</f>
        <v/>
      </c>
    </row>
    <row r="110">
      <c r="A110" s="266" t="n">
        <v>95</v>
      </c>
      <c r="B110" s="379" t="n"/>
      <c r="C110" s="273" t="inlineStr">
        <is>
          <t>01.7.11.07-0040</t>
        </is>
      </c>
      <c r="D110" s="396" t="inlineStr">
        <is>
          <t>Электроды сварочные Э50А, диаметр 4 мм</t>
        </is>
      </c>
      <c r="E110" s="388" t="inlineStr">
        <is>
          <t>т</t>
        </is>
      </c>
      <c r="F110" s="273" t="n">
        <v>0.0078</v>
      </c>
      <c r="G110" s="398" t="n">
        <v>11524</v>
      </c>
      <c r="H110" s="318">
        <f>ROUND(F110*G110,2)</f>
        <v/>
      </c>
    </row>
    <row r="111">
      <c r="A111" s="266" t="n">
        <v>96</v>
      </c>
      <c r="B111" s="379" t="n"/>
      <c r="C111" s="273" t="inlineStr">
        <is>
          <t>01.7.03.01-0001</t>
        </is>
      </c>
      <c r="D111" s="396" t="inlineStr">
        <is>
          <t>Вода</t>
        </is>
      </c>
      <c r="E111" s="388" t="inlineStr">
        <is>
          <t>м3</t>
        </is>
      </c>
      <c r="F111" s="273" t="n">
        <v>27.4514</v>
      </c>
      <c r="G111" s="398" t="n">
        <v>2.44</v>
      </c>
      <c r="H111" s="318">
        <f>ROUND(F111*G111,2)</f>
        <v/>
      </c>
    </row>
    <row r="112" ht="25.5" customHeight="1" s="314">
      <c r="A112" s="266" t="n">
        <v>97</v>
      </c>
      <c r="B112" s="379" t="n"/>
      <c r="C112" s="273" t="inlineStr">
        <is>
          <t>08.4.03.03-0030</t>
        </is>
      </c>
      <c r="D112" s="396" t="inlineStr">
        <is>
          <t>Сталь арматурная, горячекатаная, периодического профиля, класс А-III, диаметр 8 мм</t>
        </is>
      </c>
      <c r="E112" s="388" t="inlineStr">
        <is>
          <t>т</t>
        </is>
      </c>
      <c r="F112" s="273" t="n">
        <v>0.006</v>
      </c>
      <c r="G112" s="398" t="n">
        <v>8102.64</v>
      </c>
      <c r="H112" s="318">
        <f>ROUND(F112*G112,2)</f>
        <v/>
      </c>
    </row>
    <row r="113" ht="25.5" customHeight="1" s="314">
      <c r="A113" s="266" t="n">
        <v>98</v>
      </c>
      <c r="B113" s="379" t="n"/>
      <c r="C113" s="273" t="inlineStr">
        <is>
          <t>08.1.02.11-0023</t>
        </is>
      </c>
      <c r="D113" s="396" t="inlineStr">
        <is>
          <t>Поковки простые строительные (скобы, закрепы, хомуты), масса до 1,6 кг</t>
        </is>
      </c>
      <c r="E113" s="388" t="inlineStr">
        <is>
          <t>кг</t>
        </is>
      </c>
      <c r="F113" s="273" t="n">
        <v>2.8</v>
      </c>
      <c r="G113" s="398" t="n">
        <v>15.14</v>
      </c>
      <c r="H113" s="318">
        <f>ROUND(F113*G113,2)</f>
        <v/>
      </c>
    </row>
    <row r="114">
      <c r="A114" s="266" t="n">
        <v>99</v>
      </c>
      <c r="B114" s="379" t="n"/>
      <c r="C114" s="273" t="inlineStr">
        <is>
          <t>01.7.11.07-0034</t>
        </is>
      </c>
      <c r="D114" s="396" t="inlineStr">
        <is>
          <t>Электроды сварочные Э42А, диаметр 4 мм</t>
        </is>
      </c>
      <c r="E114" s="388" t="inlineStr">
        <is>
          <t>кг</t>
        </is>
      </c>
      <c r="F114" s="273" t="n">
        <v>3.775</v>
      </c>
      <c r="G114" s="398" t="n">
        <v>10.57</v>
      </c>
      <c r="H114" s="318">
        <f>ROUND(F114*G114,2)</f>
        <v/>
      </c>
    </row>
    <row r="115">
      <c r="A115" s="266" t="n">
        <v>100</v>
      </c>
      <c r="B115" s="379" t="n"/>
      <c r="C115" s="273" t="inlineStr">
        <is>
          <t>01.3.02.08-0001</t>
        </is>
      </c>
      <c r="D115" s="396" t="inlineStr">
        <is>
          <t>Кислород газообразный технический</t>
        </is>
      </c>
      <c r="E115" s="388" t="inlineStr">
        <is>
          <t>м3</t>
        </is>
      </c>
      <c r="F115" s="273" t="n">
        <v>5.9</v>
      </c>
      <c r="G115" s="398" t="n">
        <v>6.22</v>
      </c>
      <c r="H115" s="318">
        <f>ROUND(F115*G115,2)</f>
        <v/>
      </c>
    </row>
    <row r="116">
      <c r="A116" s="266" t="n">
        <v>101</v>
      </c>
      <c r="B116" s="379" t="n"/>
      <c r="C116" s="273" t="inlineStr">
        <is>
          <t>01.7.07.12-0024</t>
        </is>
      </c>
      <c r="D116" s="396" t="inlineStr">
        <is>
          <t>Пленка полиэтиленовая, толщина 0,15 мм</t>
        </is>
      </c>
      <c r="E116" s="388" t="inlineStr">
        <is>
          <t>м2</t>
        </is>
      </c>
      <c r="F116" s="273" t="n">
        <v>9.039999999999999</v>
      </c>
      <c r="G116" s="398" t="n">
        <v>3.62</v>
      </c>
      <c r="H116" s="318">
        <f>ROUND(F116*G116,2)</f>
        <v/>
      </c>
    </row>
    <row r="117">
      <c r="A117" s="266" t="n">
        <v>102</v>
      </c>
      <c r="B117" s="379" t="n"/>
      <c r="C117" s="273" t="inlineStr">
        <is>
          <t>20.1.02.23-0082</t>
        </is>
      </c>
      <c r="D117" s="396" t="inlineStr">
        <is>
          <t>Перемычки гибкие, тип ПГС-50</t>
        </is>
      </c>
      <c r="E117" s="388" t="inlineStr">
        <is>
          <t>10 шт</t>
        </is>
      </c>
      <c r="F117" s="273" t="n">
        <v>0.78</v>
      </c>
      <c r="G117" s="398" t="n">
        <v>39</v>
      </c>
      <c r="H117" s="318">
        <f>ROUND(F117*G117,2)</f>
        <v/>
      </c>
    </row>
    <row r="118">
      <c r="A118" s="266" t="n">
        <v>103</v>
      </c>
      <c r="B118" s="379" t="n"/>
      <c r="C118" s="273" t="inlineStr">
        <is>
          <t>01.3.02.09-0022</t>
        </is>
      </c>
      <c r="D118" s="396" t="inlineStr">
        <is>
          <t>Пропан-бутан смесь техническая</t>
        </is>
      </c>
      <c r="E118" s="388" t="inlineStr">
        <is>
          <t>кг</t>
        </is>
      </c>
      <c r="F118" s="273" t="n">
        <v>3.5</v>
      </c>
      <c r="G118" s="398" t="n">
        <v>6.09</v>
      </c>
      <c r="H118" s="318">
        <f>ROUND(F118*G118,2)</f>
        <v/>
      </c>
    </row>
    <row r="119">
      <c r="A119" s="266" t="n">
        <v>104</v>
      </c>
      <c r="B119" s="379" t="n"/>
      <c r="C119" s="273" t="inlineStr">
        <is>
          <t>11.2.13.04-0012</t>
        </is>
      </c>
      <c r="D119" s="396" t="inlineStr">
        <is>
          <t>Щиты из досок, толщина 40 мм</t>
        </is>
      </c>
      <c r="E119" s="388" t="inlineStr">
        <is>
          <t>м2</t>
        </is>
      </c>
      <c r="F119" s="273" t="n">
        <v>0.2448</v>
      </c>
      <c r="G119" s="398" t="n">
        <v>57.63</v>
      </c>
      <c r="H119" s="318">
        <f>ROUND(F119*G119,2)</f>
        <v/>
      </c>
    </row>
    <row r="120">
      <c r="A120" s="266" t="n">
        <v>105</v>
      </c>
      <c r="B120" s="379" t="n"/>
      <c r="C120" s="273" t="inlineStr">
        <is>
          <t>01.7.20.08-0031</t>
        </is>
      </c>
      <c r="D120" s="396" t="inlineStr">
        <is>
          <t>Бязь суровая</t>
        </is>
      </c>
      <c r="E120" s="388" t="inlineStr">
        <is>
          <t>10 м2</t>
        </is>
      </c>
      <c r="F120" s="273" t="n">
        <v>0.108</v>
      </c>
      <c r="G120" s="398" t="n">
        <v>79.09999999999999</v>
      </c>
      <c r="H120" s="318">
        <f>ROUND(F120*G120,2)</f>
        <v/>
      </c>
    </row>
    <row r="121" ht="25.5" customHeight="1" s="314">
      <c r="A121" s="266" t="n">
        <v>106</v>
      </c>
      <c r="B121" s="379" t="n"/>
      <c r="C121" s="273" t="inlineStr">
        <is>
          <t>08.3.03.06-0002</t>
        </is>
      </c>
      <c r="D121" s="396" t="inlineStr">
        <is>
          <t>Проволока горячекатаная в мотках, диаметр 6,3-6,5 мм</t>
        </is>
      </c>
      <c r="E121" s="388" t="inlineStr">
        <is>
          <t>т</t>
        </is>
      </c>
      <c r="F121" s="273" t="n">
        <v>0.000694</v>
      </c>
      <c r="G121" s="398" t="n">
        <v>4455.2</v>
      </c>
      <c r="H121" s="318">
        <f>ROUND(F121*G121,2)</f>
        <v/>
      </c>
    </row>
    <row r="122" ht="25.5" customHeight="1" s="314">
      <c r="A122" s="266" t="n">
        <v>107</v>
      </c>
      <c r="B122" s="379" t="n"/>
      <c r="C122" s="273" t="inlineStr">
        <is>
          <t>11.1.03.06-0095</t>
        </is>
      </c>
      <c r="D122" s="396" t="inlineStr">
        <is>
          <t>Доска обрезная, хвойных пород, ширина 75-150 мм, толщина 44 мм и более, длина 4-6,5 м, сорт III</t>
        </is>
      </c>
      <c r="E122" s="388" t="inlineStr">
        <is>
          <t>м3</t>
        </is>
      </c>
      <c r="F122" s="273" t="n">
        <v>0.00272</v>
      </c>
      <c r="G122" s="398" t="n">
        <v>1056</v>
      </c>
      <c r="H122" s="318">
        <f>ROUND(F122*G122,2)</f>
        <v/>
      </c>
    </row>
    <row r="123">
      <c r="A123" s="266" t="n">
        <v>108</v>
      </c>
      <c r="B123" s="379" t="n"/>
      <c r="C123" s="273" t="inlineStr">
        <is>
          <t>24.3.01.01-0001</t>
        </is>
      </c>
      <c r="D123" s="396" t="inlineStr">
        <is>
          <t>Трубка ХВТ</t>
        </is>
      </c>
      <c r="E123" s="388" t="inlineStr">
        <is>
          <t>кг</t>
        </is>
      </c>
      <c r="F123" s="273" t="n">
        <v>0.048</v>
      </c>
      <c r="G123" s="398" t="n">
        <v>41.7</v>
      </c>
      <c r="H123" s="318">
        <f>ROUND(F123*G123,2)</f>
        <v/>
      </c>
    </row>
    <row r="124" customFormat="1" s="246">
      <c r="A124" s="266" t="n">
        <v>109</v>
      </c>
      <c r="B124" s="379" t="n"/>
      <c r="C124" s="273" t="inlineStr">
        <is>
          <t>01.7.06.07-0001</t>
        </is>
      </c>
      <c r="D124" s="396" t="inlineStr">
        <is>
          <t>Лента К226</t>
        </is>
      </c>
      <c r="E124" s="388" t="inlineStr">
        <is>
          <t>100 м</t>
        </is>
      </c>
      <c r="F124" s="273" t="n">
        <v>0.0144</v>
      </c>
      <c r="G124" s="398" t="n">
        <v>120</v>
      </c>
      <c r="H124" s="318">
        <f>ROUND(F124*G124,2)</f>
        <v/>
      </c>
    </row>
    <row r="125">
      <c r="A125" s="266" t="n">
        <v>110</v>
      </c>
      <c r="B125" s="379" t="n"/>
      <c r="C125" s="273" t="inlineStr">
        <is>
          <t>01.7.15.06-0111</t>
        </is>
      </c>
      <c r="D125" s="396" t="inlineStr">
        <is>
          <t>Гвозди строительные</t>
        </is>
      </c>
      <c r="E125" s="388" t="inlineStr">
        <is>
          <t>т</t>
        </is>
      </c>
      <c r="F125" s="273" t="n">
        <v>0.000136</v>
      </c>
      <c r="G125" s="398" t="n">
        <v>11978</v>
      </c>
      <c r="H125" s="318">
        <f>ROUND(F125*G125,2)</f>
        <v/>
      </c>
    </row>
    <row r="126">
      <c r="A126" s="266" t="n">
        <v>111</v>
      </c>
      <c r="B126" s="379" t="n"/>
      <c r="C126" s="273" t="inlineStr">
        <is>
          <t>01.3.02.02-0001</t>
        </is>
      </c>
      <c r="D126" s="396" t="inlineStr">
        <is>
          <t>Аргон газообразный, сорт I</t>
        </is>
      </c>
      <c r="E126" s="388" t="inlineStr">
        <is>
          <t>м3</t>
        </is>
      </c>
      <c r="F126" s="273" t="n">
        <v>0.0825</v>
      </c>
      <c r="G126" s="398" t="n">
        <v>17.86</v>
      </c>
      <c r="H126" s="318">
        <f>ROUND(F126*G126,2)</f>
        <v/>
      </c>
    </row>
    <row r="127">
      <c r="A127" s="266" t="n">
        <v>112</v>
      </c>
      <c r="B127" s="379" t="n"/>
      <c r="C127" s="273" t="inlineStr">
        <is>
          <t>01.7.15.11-0061</t>
        </is>
      </c>
      <c r="D127" s="396" t="inlineStr">
        <is>
          <t>Шайбы пружинные</t>
        </is>
      </c>
      <c r="E127" s="388" t="inlineStr">
        <is>
          <t>т</t>
        </is>
      </c>
      <c r="F127" s="273" t="n">
        <v>4.2e-05</v>
      </c>
      <c r="G127" s="398" t="n">
        <v>31600</v>
      </c>
      <c r="H127" s="318">
        <f>ROUND(F127*G127,2)</f>
        <v/>
      </c>
    </row>
    <row r="128" ht="38.25" customHeight="1" s="314">
      <c r="A128" s="266" t="n">
        <v>113</v>
      </c>
      <c r="B128" s="379" t="n"/>
      <c r="C128" s="273" t="inlineStr">
        <is>
          <t>10.1.02.04-0009</t>
        </is>
      </c>
      <c r="D128" s="39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128" s="388" t="inlineStr">
        <is>
          <t>т</t>
        </is>
      </c>
      <c r="F128" s="273" t="n">
        <v>2e-05</v>
      </c>
      <c r="G128" s="398" t="n">
        <v>55960.01</v>
      </c>
      <c r="H128" s="318">
        <f>ROUND(F128*G128,2)</f>
        <v/>
      </c>
    </row>
    <row r="129">
      <c r="A129" s="266" t="n">
        <v>114</v>
      </c>
      <c r="B129" s="379" t="n"/>
      <c r="C129" s="273" t="inlineStr">
        <is>
          <t>10.2.02.10-0013</t>
        </is>
      </c>
      <c r="D129" s="396" t="inlineStr">
        <is>
          <t>Прутки медные, круглые, марка М3, диаметр 20 мм</t>
        </is>
      </c>
      <c r="E129" s="388" t="inlineStr">
        <is>
          <t>т</t>
        </is>
      </c>
      <c r="F129" s="273" t="n">
        <v>9e-06</v>
      </c>
      <c r="G129" s="398" t="n">
        <v>71640</v>
      </c>
      <c r="H129" s="318">
        <f>ROUND(F129*G129,2)</f>
        <v/>
      </c>
    </row>
    <row r="130">
      <c r="A130" s="266" t="n">
        <v>115</v>
      </c>
      <c r="B130" s="379" t="n"/>
      <c r="C130" s="273" t="inlineStr">
        <is>
          <t>03.1.02.03-0011</t>
        </is>
      </c>
      <c r="D130" s="396" t="inlineStr">
        <is>
          <t>Известь строительная негашеная комовая, сорт I</t>
        </is>
      </c>
      <c r="E130" s="388" t="inlineStr">
        <is>
          <t>т</t>
        </is>
      </c>
      <c r="F130" s="273" t="n">
        <v>0.00068</v>
      </c>
      <c r="G130" s="398" t="n">
        <v>734.5</v>
      </c>
      <c r="H130" s="318">
        <f>ROUND(F130*G130,2)</f>
        <v/>
      </c>
    </row>
    <row r="131" ht="25.5" customHeight="1" s="314">
      <c r="A131" s="266" t="n">
        <v>116</v>
      </c>
      <c r="B131" s="379" t="n"/>
      <c r="C131" s="273" t="inlineStr">
        <is>
          <t>02.2.05.04-1777</t>
        </is>
      </c>
      <c r="D131" s="396" t="inlineStr">
        <is>
          <t>Щебень из природного камня для строительных работ марка: 800, фракция 20-40 мм</t>
        </is>
      </c>
      <c r="E131" s="388" t="inlineStr">
        <is>
          <t>м3</t>
        </is>
      </c>
      <c r="F131" s="273" t="n">
        <v>0.00228</v>
      </c>
      <c r="G131" s="398" t="n">
        <v>108.4</v>
      </c>
      <c r="H131" s="318">
        <f>ROUND(F131*G131,2)</f>
        <v/>
      </c>
    </row>
    <row r="132" ht="25.5" customHeight="1" s="314">
      <c r="A132" s="266" t="n">
        <v>117</v>
      </c>
      <c r="B132" s="379" t="n"/>
      <c r="C132" s="273" t="inlineStr">
        <is>
          <t>04.3.02.09-0801</t>
        </is>
      </c>
      <c r="D132" s="396" t="inlineStr">
        <is>
          <t>Смеси сухие гидроизоляционные обмазочные эластичные</t>
        </is>
      </c>
      <c r="E132" s="388" t="inlineStr">
        <is>
          <t>кг</t>
        </is>
      </c>
      <c r="F132" s="273" t="n">
        <v>0.00016</v>
      </c>
      <c r="G132" s="398" t="n">
        <v>37.22</v>
      </c>
      <c r="H132" s="318">
        <f>ROUND(F132*G132,2)</f>
        <v/>
      </c>
    </row>
    <row r="135">
      <c r="B135" s="343" t="inlineStr">
        <is>
          <t>Составил ______________________     Д.Ю. Нефедова</t>
        </is>
      </c>
    </row>
    <row r="136">
      <c r="B136" s="234" t="inlineStr">
        <is>
          <t xml:space="preserve">                         (подпись, инициалы, фамилия)</t>
        </is>
      </c>
    </row>
    <row r="138">
      <c r="B138" s="343" t="inlineStr">
        <is>
          <t>Проверил ______________________        А.В. Костянецкая</t>
        </is>
      </c>
    </row>
    <row r="139">
      <c r="B139" s="234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26:E26"/>
    <mergeCell ref="F9:F10"/>
    <mergeCell ref="A7:H7"/>
    <mergeCell ref="A9:A10"/>
    <mergeCell ref="A24:E24"/>
    <mergeCell ref="C5:H5"/>
    <mergeCell ref="D9:D10"/>
    <mergeCell ref="E9:E10"/>
    <mergeCell ref="A59:E59"/>
    <mergeCell ref="A66:E66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314" min="1" max="1"/>
    <col width="36.28515625" customWidth="1" style="314" min="2" max="2"/>
    <col width="18.85546875" customWidth="1" style="314" min="3" max="3"/>
    <col width="18.28515625" customWidth="1" style="314" min="4" max="4"/>
    <col width="18.85546875" customWidth="1" style="314" min="5" max="5"/>
    <col width="11.28515625" customWidth="1" style="314" min="6" max="6"/>
    <col width="14.28515625" customWidth="1" style="314" min="7" max="7"/>
    <col width="9.140625" customWidth="1" style="314" min="8" max="11"/>
    <col width="13.7109375" customWidth="1" style="314" min="12" max="12"/>
    <col width="9.140625" customWidth="1" style="314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404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62" t="inlineStr">
        <is>
          <t>Ресурсная модель</t>
        </is>
      </c>
    </row>
    <row r="6">
      <c r="B6" s="258" t="n"/>
      <c r="C6" s="302" t="n"/>
      <c r="D6" s="302" t="n"/>
      <c r="E6" s="302" t="n"/>
    </row>
    <row r="7" ht="25.5" customHeight="1" s="314">
      <c r="B7" s="383" t="inlineStr">
        <is>
          <t>Наименование разрабатываемого показателя УНЦ — УПГ</t>
        </is>
      </c>
    </row>
    <row r="8">
      <c r="B8" s="384" t="inlineStr">
        <is>
          <t>Единица измерения  — 1 ед.</t>
        </is>
      </c>
    </row>
    <row r="9">
      <c r="B9" s="258" t="n"/>
      <c r="C9" s="302" t="n"/>
      <c r="D9" s="302" t="n"/>
      <c r="E9" s="302" t="n"/>
    </row>
    <row r="10" ht="51" customHeight="1" s="314">
      <c r="B10" s="388" t="inlineStr">
        <is>
          <t>Наименование</t>
        </is>
      </c>
      <c r="C10" s="388" t="inlineStr">
        <is>
          <t>Сметная стоимость в ценах на 01.01.2023
 (руб.)</t>
        </is>
      </c>
      <c r="D10" s="388" t="inlineStr">
        <is>
          <t>Удельный вес, 
(в СМР)</t>
        </is>
      </c>
      <c r="E10" s="388" t="inlineStr">
        <is>
          <t>Удельный вес, % 
(от всего по РМ)</t>
        </is>
      </c>
    </row>
    <row r="11">
      <c r="B11" s="327" t="inlineStr">
        <is>
          <t>Оплата труда рабочих</t>
        </is>
      </c>
      <c r="C11" s="304">
        <f>'Прил.5 Расчет СМР и ОБ'!J14</f>
        <v/>
      </c>
      <c r="D11" s="253">
        <f>C11/$C$24</f>
        <v/>
      </c>
      <c r="E11" s="253">
        <f>C11/$C$40</f>
        <v/>
      </c>
    </row>
    <row r="12">
      <c r="B12" s="327" t="inlineStr">
        <is>
          <t>Эксплуатация машин основных</t>
        </is>
      </c>
      <c r="C12" s="304">
        <f>'Прил.5 Расчет СМР и ОБ'!J25</f>
        <v/>
      </c>
      <c r="D12" s="253">
        <f>C12/$C$24</f>
        <v/>
      </c>
      <c r="E12" s="253">
        <f>C12/$C$40</f>
        <v/>
      </c>
    </row>
    <row r="13">
      <c r="B13" s="327" t="inlineStr">
        <is>
          <t>Эксплуатация машин прочих</t>
        </is>
      </c>
      <c r="C13" s="304">
        <f>'Прил.5 Расчет СМР и ОБ'!J52</f>
        <v/>
      </c>
      <c r="D13" s="253">
        <f>C13/$C$24</f>
        <v/>
      </c>
      <c r="E13" s="253">
        <f>C13/$C$40</f>
        <v/>
      </c>
    </row>
    <row r="14">
      <c r="B14" s="327" t="inlineStr">
        <is>
          <t>ЭКСПЛУАТАЦИЯ МАШИН, ВСЕГО:</t>
        </is>
      </c>
      <c r="C14" s="304">
        <f>C13+C12</f>
        <v/>
      </c>
      <c r="D14" s="253">
        <f>C14/$C$24</f>
        <v/>
      </c>
      <c r="E14" s="253">
        <f>C14/$C$40</f>
        <v/>
      </c>
    </row>
    <row r="15">
      <c r="B15" s="327" t="inlineStr">
        <is>
          <t>в том числе зарплата машинистов</t>
        </is>
      </c>
      <c r="C15" s="304">
        <f>'Прил.5 Расчет СМР и ОБ'!J16</f>
        <v/>
      </c>
      <c r="D15" s="253">
        <f>C15/$C$24</f>
        <v/>
      </c>
      <c r="E15" s="253">
        <f>C15/$C$40</f>
        <v/>
      </c>
    </row>
    <row r="16">
      <c r="B16" s="327" t="inlineStr">
        <is>
          <t>Материалы основные</t>
        </is>
      </c>
      <c r="C16" s="304">
        <f>'Прил.5 Расчет СМР и ОБ'!J76</f>
        <v/>
      </c>
      <c r="D16" s="253">
        <f>C16/$C$24</f>
        <v/>
      </c>
      <c r="E16" s="253">
        <f>C16/$C$40</f>
        <v/>
      </c>
    </row>
    <row r="17">
      <c r="B17" s="327" t="inlineStr">
        <is>
          <t>Материалы прочие</t>
        </is>
      </c>
      <c r="C17" s="304">
        <f>'Прил.5 Расчет СМР и ОБ'!J135</f>
        <v/>
      </c>
      <c r="D17" s="253">
        <f>C17/$C$24</f>
        <v/>
      </c>
      <c r="E17" s="253">
        <f>C17/$C$40</f>
        <v/>
      </c>
    </row>
    <row r="18">
      <c r="B18" s="327" t="inlineStr">
        <is>
          <t>МАТЕРИАЛЫ, ВСЕГО:</t>
        </is>
      </c>
      <c r="C18" s="304">
        <f>C17+C16</f>
        <v/>
      </c>
      <c r="D18" s="253">
        <f>C18/$C$24</f>
        <v/>
      </c>
      <c r="E18" s="253">
        <f>C18/$C$40</f>
        <v/>
      </c>
    </row>
    <row r="19">
      <c r="B19" s="327" t="inlineStr">
        <is>
          <t>ИТОГО</t>
        </is>
      </c>
      <c r="C19" s="304">
        <f>C18+C14+C11</f>
        <v/>
      </c>
      <c r="D19" s="253" t="n"/>
      <c r="E19" s="327" t="n"/>
    </row>
    <row r="20">
      <c r="B20" s="327" t="inlineStr">
        <is>
          <t>Сметная прибыль, руб.</t>
        </is>
      </c>
      <c r="C20" s="304">
        <f>ROUND(C21*(C11+C15),2)</f>
        <v/>
      </c>
      <c r="D20" s="253">
        <f>C20/$C$24</f>
        <v/>
      </c>
      <c r="E20" s="253">
        <f>C20/$C$40</f>
        <v/>
      </c>
    </row>
    <row r="21">
      <c r="B21" s="327" t="inlineStr">
        <is>
          <t>Сметная прибыль, %</t>
        </is>
      </c>
      <c r="C21" s="256">
        <f>'Прил.5 Расчет СМР и ОБ'!D139</f>
        <v/>
      </c>
      <c r="D21" s="253" t="n"/>
      <c r="E21" s="327" t="n"/>
    </row>
    <row r="22">
      <c r="B22" s="327" t="inlineStr">
        <is>
          <t>Накладные расходы, руб.</t>
        </is>
      </c>
      <c r="C22" s="304">
        <f>ROUND(C23*(C11+C15),2)</f>
        <v/>
      </c>
      <c r="D22" s="253">
        <f>C22/$C$24</f>
        <v/>
      </c>
      <c r="E22" s="253">
        <f>C22/$C$40</f>
        <v/>
      </c>
    </row>
    <row r="23">
      <c r="B23" s="327" t="inlineStr">
        <is>
          <t>Накладные расходы, %</t>
        </is>
      </c>
      <c r="C23" s="256">
        <f>'Прил.5 Расчет СМР и ОБ'!D138</f>
        <v/>
      </c>
      <c r="D23" s="253" t="n"/>
      <c r="E23" s="327" t="n"/>
    </row>
    <row r="24">
      <c r="B24" s="327" t="inlineStr">
        <is>
          <t>ВСЕГО СМР с НР и СП</t>
        </is>
      </c>
      <c r="C24" s="304">
        <f>C19+C20+C22</f>
        <v/>
      </c>
      <c r="D24" s="253">
        <f>C24/$C$24</f>
        <v/>
      </c>
      <c r="E24" s="253">
        <f>C24/$C$40</f>
        <v/>
      </c>
    </row>
    <row r="25" ht="25.5" customHeight="1" s="314">
      <c r="B25" s="327" t="inlineStr">
        <is>
          <t>ВСЕГО стоимость оборудования, в том числе</t>
        </is>
      </c>
      <c r="C25" s="304">
        <f>'Прил.5 Расчет СМР и ОБ'!J64</f>
        <v/>
      </c>
      <c r="D25" s="253" t="n"/>
      <c r="E25" s="253">
        <f>C25/$C$40</f>
        <v/>
      </c>
    </row>
    <row r="26" ht="25.5" customHeight="1" s="314">
      <c r="B26" s="327" t="inlineStr">
        <is>
          <t>стоимость оборудования технологического</t>
        </is>
      </c>
      <c r="C26" s="304">
        <f>'Прил.5 Расчет СМР и ОБ'!J65</f>
        <v/>
      </c>
      <c r="D26" s="253" t="n"/>
      <c r="E26" s="253">
        <f>C26/$C$40</f>
        <v/>
      </c>
    </row>
    <row r="27">
      <c r="B27" s="327" t="inlineStr">
        <is>
          <t>ИТОГО (СМР + ОБОРУДОВАНИЕ)</t>
        </is>
      </c>
      <c r="C27" s="255">
        <f>C24+C25</f>
        <v/>
      </c>
      <c r="D27" s="253" t="n"/>
      <c r="E27" s="253">
        <f>C27/$C$40</f>
        <v/>
      </c>
    </row>
    <row r="28" ht="33" customHeight="1" s="314">
      <c r="B28" s="327" t="inlineStr">
        <is>
          <t>ПРОЧ. ЗАТР., УЧТЕННЫЕ ПОКАЗАТЕЛЕМ,  в том числе</t>
        </is>
      </c>
      <c r="C28" s="327" t="n"/>
      <c r="D28" s="327" t="n"/>
      <c r="E28" s="327" t="n"/>
      <c r="F28" s="254" t="n"/>
    </row>
    <row r="29" ht="25.5" customHeight="1" s="314">
      <c r="B29" s="288" t="inlineStr">
        <is>
          <t>Временные здания и сооружения - 3,9%</t>
        </is>
      </c>
      <c r="C29" s="289">
        <f>ROUND(C24*3.9%,2)</f>
        <v/>
      </c>
      <c r="D29" s="327" t="n"/>
      <c r="E29" s="253">
        <f>C29/$C$40</f>
        <v/>
      </c>
    </row>
    <row r="30" ht="38.25" customHeight="1" s="314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327" t="n"/>
      <c r="E30" s="253">
        <f>C30/$C$40</f>
        <v/>
      </c>
      <c r="F30" s="254" t="n"/>
    </row>
    <row r="31">
      <c r="B31" s="288" t="inlineStr">
        <is>
          <t>Пусконаладочные работы</t>
        </is>
      </c>
      <c r="C31" s="255" t="n">
        <v>390842.46</v>
      </c>
      <c r="D31" s="327" t="n"/>
      <c r="E31" s="253">
        <f>C31/$C$40</f>
        <v/>
      </c>
    </row>
    <row r="32" ht="25.5" customHeight="1" s="314">
      <c r="B32" s="327" t="inlineStr">
        <is>
          <t>Затраты по перевозке работников к месту работы и обратно</t>
        </is>
      </c>
      <c r="C32" s="255">
        <f>ROUND(C27*0%,2)</f>
        <v/>
      </c>
      <c r="D32" s="327" t="n"/>
      <c r="E32" s="253">
        <f>C32/$C$40</f>
        <v/>
      </c>
    </row>
    <row r="33" ht="25.5" customHeight="1" s="314">
      <c r="B33" s="327" t="inlineStr">
        <is>
          <t>Затраты, связанные с осуществлением работ вахтовым методом</t>
        </is>
      </c>
      <c r="C33" s="255">
        <f>ROUND(C28*0%,2)</f>
        <v/>
      </c>
      <c r="D33" s="327" t="n"/>
      <c r="E33" s="253">
        <f>C33/$C$40</f>
        <v/>
      </c>
    </row>
    <row r="34" ht="51" customHeight="1" s="314">
      <c r="B34" s="3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5">
        <f>ROUND(C29*0%,2)</f>
        <v/>
      </c>
      <c r="D34" s="327" t="n"/>
      <c r="E34" s="253">
        <f>C34/$C$40</f>
        <v/>
      </c>
      <c r="H34" s="261" t="n"/>
    </row>
    <row r="35" ht="76.7" customHeight="1" s="314">
      <c r="B35" s="3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5">
        <f>ROUND(C30*0%,2)</f>
        <v/>
      </c>
      <c r="D35" s="327" t="n"/>
      <c r="E35" s="253">
        <f>C35/$C$40</f>
        <v/>
      </c>
    </row>
    <row r="36" ht="25.5" customHeight="1" s="314">
      <c r="B36" s="327" t="inlineStr">
        <is>
          <t>Строительный контроль и содержание службы заказчика - 2,14%</t>
        </is>
      </c>
      <c r="C36" s="255">
        <f>ROUND((C27+C32+C33+C34+C35+C29+C31+C30)*2.14%,2)</f>
        <v/>
      </c>
      <c r="D36" s="327" t="n"/>
      <c r="E36" s="253">
        <f>C36/$C$40</f>
        <v/>
      </c>
      <c r="L36" s="254" t="n"/>
    </row>
    <row r="37">
      <c r="B37" s="327" t="inlineStr">
        <is>
          <t>Авторский надзор - 0,2%</t>
        </is>
      </c>
      <c r="C37" s="255">
        <f>ROUND((C27+C32+C33+C34+C35+C29+C31+C30)*0.2%,2)</f>
        <v/>
      </c>
      <c r="D37" s="327" t="n"/>
      <c r="E37" s="253">
        <f>C37/$C$40</f>
        <v/>
      </c>
      <c r="L37" s="254" t="n"/>
    </row>
    <row r="38" ht="38.25" customHeight="1" s="314">
      <c r="B38" s="327" t="inlineStr">
        <is>
          <t>ИТОГО (СМР+ОБОРУДОВАНИЕ+ПРОЧ. ЗАТР., УЧТЕННЫЕ ПОКАЗАТЕЛЕМ)</t>
        </is>
      </c>
      <c r="C38" s="304">
        <f>C27+C32+C33+C34+C35+C29+C31+C30+C36+C37</f>
        <v/>
      </c>
      <c r="D38" s="327" t="n"/>
      <c r="E38" s="253">
        <f>C38/$C$40</f>
        <v/>
      </c>
    </row>
    <row r="39" ht="13.7" customHeight="1" s="314">
      <c r="B39" s="327" t="inlineStr">
        <is>
          <t>Непредвиденные расходы</t>
        </is>
      </c>
      <c r="C39" s="304">
        <f>ROUND(C38*3%,2)</f>
        <v/>
      </c>
      <c r="D39" s="327" t="n"/>
      <c r="E39" s="253">
        <f>C39/$C$38</f>
        <v/>
      </c>
    </row>
    <row r="40">
      <c r="B40" s="327" t="inlineStr">
        <is>
          <t>ВСЕГО:</t>
        </is>
      </c>
      <c r="C40" s="304">
        <f>C39+C38</f>
        <v/>
      </c>
      <c r="D40" s="327" t="n"/>
      <c r="E40" s="253">
        <f>C40/$C$40</f>
        <v/>
      </c>
    </row>
    <row r="41">
      <c r="B41" s="327" t="inlineStr">
        <is>
          <t>ИТОГО ПОКАЗАТЕЛЬ НА ЕД. ИЗМ.</t>
        </is>
      </c>
      <c r="C41" s="304">
        <f>C40/'Прил.5 Расчет СМР и ОБ'!E142</f>
        <v/>
      </c>
      <c r="D41" s="327" t="n"/>
      <c r="E41" s="327" t="n"/>
    </row>
    <row r="42">
      <c r="B42" s="306" t="n"/>
      <c r="C42" s="302" t="n"/>
      <c r="D42" s="302" t="n"/>
      <c r="E42" s="302" t="n"/>
    </row>
    <row r="43">
      <c r="B43" s="306" t="inlineStr">
        <is>
          <t>Составил ____________________________ Д.Ю. Нефедова</t>
        </is>
      </c>
      <c r="C43" s="302" t="n"/>
      <c r="D43" s="302" t="n"/>
      <c r="E43" s="302" t="n"/>
    </row>
    <row r="44">
      <c r="B44" s="306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306" t="n"/>
      <c r="C45" s="302" t="n"/>
      <c r="D45" s="302" t="n"/>
      <c r="E45" s="302" t="n"/>
    </row>
    <row r="46">
      <c r="B46" s="306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84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8"/>
  <sheetViews>
    <sheetView tabSelected="1" view="pageBreakPreview" zoomScale="85" zoomScaleSheetLayoutView="85" workbookViewId="0">
      <selection activeCell="Q53" sqref="Q53"/>
    </sheetView>
  </sheetViews>
  <sheetFormatPr baseColWidth="8" defaultColWidth="9.140625" defaultRowHeight="15" outlineLevelRow="1"/>
  <cols>
    <col width="5.7109375" customWidth="1" style="313" min="1" max="1"/>
    <col width="22.7109375" customWidth="1" style="313" min="2" max="2"/>
    <col width="39.140625" customWidth="1" style="313" min="3" max="3"/>
    <col width="10.7109375" customWidth="1" style="313" min="4" max="4"/>
    <col width="12.7109375" customWidth="1" style="285" min="5" max="5"/>
    <col width="15" customWidth="1" style="313" min="6" max="6"/>
    <col width="13.28515625" customWidth="1" style="313" min="7" max="7"/>
    <col width="12.7109375" customWidth="1" style="313" min="8" max="8"/>
    <col width="13.85546875" customWidth="1" style="313" min="9" max="9"/>
    <col width="17.7109375" customWidth="1" style="313" min="10" max="10"/>
    <col width="10.85546875" customWidth="1" style="313" min="11" max="11"/>
    <col width="9.140625" customWidth="1" style="313" min="12" max="12"/>
    <col width="9.140625" customWidth="1" style="314" min="13" max="13"/>
  </cols>
  <sheetData>
    <row r="1" s="314">
      <c r="A1" s="313" t="n"/>
      <c r="B1" s="313" t="n"/>
      <c r="C1" s="313" t="n"/>
      <c r="D1" s="313" t="n"/>
      <c r="E1" s="285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14">
      <c r="A2" s="313" t="n"/>
      <c r="B2" s="313" t="n"/>
      <c r="C2" s="313" t="n"/>
      <c r="D2" s="313" t="n"/>
      <c r="E2" s="285" t="n"/>
      <c r="F2" s="313" t="n"/>
      <c r="G2" s="313" t="n"/>
      <c r="H2" s="385" t="inlineStr">
        <is>
          <t>Приложение №5</t>
        </is>
      </c>
      <c r="K2" s="313" t="n"/>
      <c r="L2" s="313" t="n"/>
      <c r="M2" s="313" t="n"/>
      <c r="N2" s="313" t="n"/>
    </row>
    <row r="3" s="314">
      <c r="A3" s="313" t="n"/>
      <c r="B3" s="313" t="n"/>
      <c r="C3" s="313" t="n"/>
      <c r="D3" s="313" t="n"/>
      <c r="E3" s="285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02">
      <c r="A4" s="362" t="inlineStr">
        <is>
          <t>Расчет стоимости СМР и оборудования</t>
        </is>
      </c>
    </row>
    <row r="5" ht="12.75" customFormat="1" customHeight="1" s="302">
      <c r="A5" s="362" t="n"/>
      <c r="B5" s="362" t="n"/>
      <c r="C5" s="411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02">
      <c r="A6" s="223" t="inlineStr">
        <is>
          <t>Наименование разрабатываемого показателя УНЦ</t>
        </is>
      </c>
      <c r="B6" s="222" t="n"/>
      <c r="C6" s="222" t="n"/>
      <c r="D6" s="391" t="inlineStr">
        <is>
          <t>УПГ</t>
        </is>
      </c>
    </row>
    <row r="7" ht="12.75" customFormat="1" customHeight="1" s="302">
      <c r="A7" s="365" t="inlineStr">
        <is>
          <t>Единица измерения  — 1 ед.</t>
        </is>
      </c>
      <c r="I7" s="383" t="n"/>
      <c r="J7" s="383" t="n"/>
    </row>
    <row r="8" ht="13.7" customFormat="1" customHeight="1" s="302">
      <c r="A8" s="365" t="n"/>
    </row>
    <row r="9" ht="27" customHeight="1" s="314">
      <c r="A9" s="388" t="inlineStr">
        <is>
          <t>№ пп.</t>
        </is>
      </c>
      <c r="B9" s="388" t="inlineStr">
        <is>
          <t>Код ресурса</t>
        </is>
      </c>
      <c r="C9" s="388" t="inlineStr">
        <is>
          <t>Наименование</t>
        </is>
      </c>
      <c r="D9" s="388" t="inlineStr">
        <is>
          <t>Ед. изм.</t>
        </is>
      </c>
      <c r="E9" s="388" t="inlineStr">
        <is>
          <t>Кол-во единиц по проектным данным</t>
        </is>
      </c>
      <c r="F9" s="388" t="inlineStr">
        <is>
          <t>Сметная стоимость в ценах на 01.01.2000 (руб.)</t>
        </is>
      </c>
      <c r="G9" s="456" t="n"/>
      <c r="H9" s="388" t="inlineStr">
        <is>
          <t>Удельный вес, %</t>
        </is>
      </c>
      <c r="I9" s="388" t="inlineStr">
        <is>
          <t>Сметная стоимость в ценах на 01.01.2023 (руб.)</t>
        </is>
      </c>
      <c r="J9" s="456" t="n"/>
      <c r="K9" s="313" t="n"/>
      <c r="L9" s="313" t="n"/>
      <c r="M9" s="313" t="n"/>
      <c r="N9" s="313" t="n"/>
    </row>
    <row r="10" ht="28.5" customHeight="1" s="314">
      <c r="A10" s="458" t="n"/>
      <c r="B10" s="458" t="n"/>
      <c r="C10" s="458" t="n"/>
      <c r="D10" s="458" t="n"/>
      <c r="E10" s="458" t="n"/>
      <c r="F10" s="388" t="inlineStr">
        <is>
          <t>на ед. изм.</t>
        </is>
      </c>
      <c r="G10" s="388" t="inlineStr">
        <is>
          <t>общая</t>
        </is>
      </c>
      <c r="H10" s="458" t="n"/>
      <c r="I10" s="388" t="inlineStr">
        <is>
          <t>на ед. изм.</t>
        </is>
      </c>
      <c r="J10" s="388" t="inlineStr">
        <is>
          <t>общая</t>
        </is>
      </c>
      <c r="K10" s="313" t="n"/>
      <c r="L10" s="313" t="n"/>
      <c r="M10" s="313" t="n"/>
      <c r="N10" s="313" t="n"/>
    </row>
    <row r="11" s="314">
      <c r="A11" s="388" t="n">
        <v>1</v>
      </c>
      <c r="B11" s="388" t="n">
        <v>2</v>
      </c>
      <c r="C11" s="388" t="n">
        <v>3</v>
      </c>
      <c r="D11" s="388" t="n">
        <v>4</v>
      </c>
      <c r="E11" s="388" t="n">
        <v>5</v>
      </c>
      <c r="F11" s="388" t="n">
        <v>6</v>
      </c>
      <c r="G11" s="388" t="n">
        <v>7</v>
      </c>
      <c r="H11" s="388" t="n">
        <v>8</v>
      </c>
      <c r="I11" s="389" t="n">
        <v>9</v>
      </c>
      <c r="J11" s="389" t="n">
        <v>10</v>
      </c>
      <c r="K11" s="313" t="n"/>
      <c r="L11" s="313" t="n"/>
      <c r="M11" s="313" t="n"/>
      <c r="N11" s="313" t="n"/>
    </row>
    <row r="12">
      <c r="A12" s="388" t="n"/>
      <c r="B12" s="377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312" t="n"/>
      <c r="J12" s="312" t="n"/>
    </row>
    <row r="13" ht="25.5" customHeight="1" s="314">
      <c r="A13" s="388" t="n">
        <v>1</v>
      </c>
      <c r="B13" s="273" t="inlineStr">
        <is>
          <t>1-3-1</t>
        </is>
      </c>
      <c r="C13" s="396" t="inlineStr">
        <is>
          <t>Затраты труда рабочих-строителей среднего разряда (3,1)</t>
        </is>
      </c>
      <c r="D13" s="388" t="inlineStr">
        <is>
          <t>чел.-ч.</t>
        </is>
      </c>
      <c r="E13" s="337">
        <f>G13/F13</f>
        <v/>
      </c>
      <c r="F13" s="318" t="n">
        <v>8.640000000000001</v>
      </c>
      <c r="G13" s="318">
        <f>Прил.3!H12</f>
        <v/>
      </c>
      <c r="H13" s="319">
        <f>G13/G14</f>
        <v/>
      </c>
      <c r="I13" s="318">
        <f>ФОТр.тек.!E13</f>
        <v/>
      </c>
      <c r="J13" s="318">
        <f>ROUND(I13*E13,2)</f>
        <v/>
      </c>
    </row>
    <row r="14" ht="25.5" customFormat="1" customHeight="1" s="313">
      <c r="A14" s="388" t="n"/>
      <c r="B14" s="388" t="n"/>
      <c r="C14" s="377" t="inlineStr">
        <is>
          <t>Итого по разделу "Затраты труда рабочих-строителей"</t>
        </is>
      </c>
      <c r="D14" s="388" t="inlineStr">
        <is>
          <t>чел.-ч.</t>
        </is>
      </c>
      <c r="E14" s="337">
        <f>SUM(E13:E13)</f>
        <v/>
      </c>
      <c r="F14" s="318" t="n"/>
      <c r="G14" s="318">
        <f>SUM(G13:G13)</f>
        <v/>
      </c>
      <c r="H14" s="399" t="n">
        <v>1</v>
      </c>
      <c r="I14" s="312" t="n"/>
      <c r="J14" s="318">
        <f>SUM(J13:J13)</f>
        <v/>
      </c>
    </row>
    <row r="15" ht="14.25" customFormat="1" customHeight="1" s="313">
      <c r="A15" s="388" t="n"/>
      <c r="B15" s="396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312" t="n"/>
      <c r="J15" s="312" t="n"/>
    </row>
    <row r="16" ht="14.25" customFormat="1" customHeight="1" s="313">
      <c r="A16" s="388" t="n">
        <v>2</v>
      </c>
      <c r="B16" s="388" t="n">
        <v>2</v>
      </c>
      <c r="C16" s="396" t="inlineStr">
        <is>
          <t>Затраты труда машинистов</t>
        </is>
      </c>
      <c r="D16" s="388" t="inlineStr">
        <is>
          <t>чел.-ч.</t>
        </is>
      </c>
      <c r="E16" s="328">
        <f>Прил.3!F25</f>
        <v/>
      </c>
      <c r="F16" s="318">
        <f>G16/E16</f>
        <v/>
      </c>
      <c r="G16" s="318">
        <f>Прил.3!H24</f>
        <v/>
      </c>
      <c r="H16" s="399" t="n">
        <v>1</v>
      </c>
      <c r="I16" s="318">
        <f>ROUND(F16*Прил.10!D11,2)</f>
        <v/>
      </c>
      <c r="J16" s="318">
        <f>ROUND(I16*E16,2)</f>
        <v/>
      </c>
    </row>
    <row r="17" ht="14.25" customFormat="1" customHeight="1" s="313">
      <c r="A17" s="388" t="n"/>
      <c r="B17" s="377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312" t="n"/>
      <c r="J17" s="312" t="n"/>
    </row>
    <row r="18" ht="14.25" customFormat="1" customHeight="1" s="313">
      <c r="A18" s="388" t="n"/>
      <c r="B18" s="396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312" t="n"/>
      <c r="J18" s="312" t="n"/>
    </row>
    <row r="19" ht="25.5" customFormat="1" customHeight="1" s="313">
      <c r="A19" s="388" t="n">
        <v>3</v>
      </c>
      <c r="B19" s="273" t="inlineStr">
        <is>
          <t>91.10.01-002</t>
        </is>
      </c>
      <c r="C19" s="396" t="inlineStr">
        <is>
          <t>Агрегаты наполнительно-опрессовочные до 300 м3/ч</t>
        </is>
      </c>
      <c r="D19" s="388" t="inlineStr">
        <is>
          <t>маш.-ч</t>
        </is>
      </c>
      <c r="E19" s="328" t="n">
        <v>61.5</v>
      </c>
      <c r="F19" s="398" t="n">
        <v>287.99</v>
      </c>
      <c r="G19" s="318">
        <f>ROUND(E19*F19,2)</f>
        <v/>
      </c>
      <c r="H19" s="319">
        <f>G19/$G$53</f>
        <v/>
      </c>
      <c r="I19" s="318">
        <f>ROUND(F19*Прил.10!$D$12,2)</f>
        <v/>
      </c>
      <c r="J19" s="318">
        <f>ROUND(I19*E19,2)</f>
        <v/>
      </c>
    </row>
    <row r="20" ht="25.5" customFormat="1" customHeight="1" s="313">
      <c r="A20" s="388" t="n">
        <v>4</v>
      </c>
      <c r="B20" s="273" t="inlineStr">
        <is>
          <t>91.05.05-014</t>
        </is>
      </c>
      <c r="C20" s="396" t="inlineStr">
        <is>
          <t>Краны на автомобильном ходу, грузоподъемность 10 т</t>
        </is>
      </c>
      <c r="D20" s="388" t="inlineStr">
        <is>
          <t>маш.-ч</t>
        </is>
      </c>
      <c r="E20" s="328" t="n">
        <v>130.086354</v>
      </c>
      <c r="F20" s="398" t="n">
        <v>111.99</v>
      </c>
      <c r="G20" s="318">
        <f>ROUND(E20*F20,2)</f>
        <v/>
      </c>
      <c r="H20" s="319">
        <f>G20/$G$53</f>
        <v/>
      </c>
      <c r="I20" s="318">
        <f>ROUND(F20*Прил.10!$D$12,2)</f>
        <v/>
      </c>
      <c r="J20" s="318">
        <f>ROUND(I20*E20,2)</f>
        <v/>
      </c>
    </row>
    <row r="21" ht="51" customFormat="1" customHeight="1" s="313">
      <c r="A21" s="388" t="n">
        <v>5</v>
      </c>
      <c r="B21" s="273" t="inlineStr">
        <is>
          <t>91.18.01-007</t>
        </is>
      </c>
      <c r="C21" s="3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88" t="inlineStr">
        <is>
          <t>маш.-ч</t>
        </is>
      </c>
      <c r="E21" s="328" t="n">
        <v>146.0616</v>
      </c>
      <c r="F21" s="398" t="n">
        <v>90</v>
      </c>
      <c r="G21" s="318">
        <f>ROUND(E21*F21,2)</f>
        <v/>
      </c>
      <c r="H21" s="319">
        <f>G21/$G$53</f>
        <v/>
      </c>
      <c r="I21" s="318">
        <f>ROUND(F21*Прил.10!$D$12,2)</f>
        <v/>
      </c>
      <c r="J21" s="318">
        <f>ROUND(I21*E21,2)</f>
        <v/>
      </c>
    </row>
    <row r="22" ht="25.5" customFormat="1" customHeight="1" s="313">
      <c r="A22" s="388" t="n">
        <v>6</v>
      </c>
      <c r="B22" s="273" t="inlineStr">
        <is>
          <t>91.14.03-002</t>
        </is>
      </c>
      <c r="C22" s="396" t="inlineStr">
        <is>
          <t>Автомобили-самосвалы, грузоподъемность до 10 т</t>
        </is>
      </c>
      <c r="D22" s="388" t="inlineStr">
        <is>
          <t>маш.-ч</t>
        </is>
      </c>
      <c r="E22" s="328" t="n">
        <v>69.13989599999999</v>
      </c>
      <c r="F22" s="398" t="n">
        <v>87.48999999999999</v>
      </c>
      <c r="G22" s="318">
        <f>ROUND(E22*F22,2)</f>
        <v/>
      </c>
      <c r="H22" s="319">
        <f>G22/$G$53</f>
        <v/>
      </c>
      <c r="I22" s="318">
        <f>ROUND(F22*Прил.10!$D$12,2)</f>
        <v/>
      </c>
      <c r="J22" s="318">
        <f>ROUND(I22*E22,2)</f>
        <v/>
      </c>
    </row>
    <row r="23" ht="25.5" customFormat="1" customHeight="1" s="313">
      <c r="A23" s="388" t="n">
        <v>7</v>
      </c>
      <c r="B23" s="273" t="inlineStr">
        <is>
          <t>91.01.05-084</t>
        </is>
      </c>
      <c r="C23" s="396" t="inlineStr">
        <is>
          <t>Экскаваторы одноковшовые дизельные на гусеничном ходу, емкость ковша 0,4 м3</t>
        </is>
      </c>
      <c r="D23" s="388" t="inlineStr">
        <is>
          <t>маш.-ч</t>
        </is>
      </c>
      <c r="E23" s="328" t="n">
        <v>106.357813</v>
      </c>
      <c r="F23" s="398" t="n">
        <v>54.81</v>
      </c>
      <c r="G23" s="318">
        <f>ROUND(E23*F23,2)</f>
        <v/>
      </c>
      <c r="H23" s="319">
        <f>G23/$G$53</f>
        <v/>
      </c>
      <c r="I23" s="318">
        <f>ROUND(F23*Прил.10!$D$12,2)</f>
        <v/>
      </c>
      <c r="J23" s="318">
        <f>ROUND(I23*E23,2)</f>
        <v/>
      </c>
    </row>
    <row r="24" ht="25.5" customFormat="1" customHeight="1" s="313">
      <c r="A24" s="388" t="n">
        <v>8</v>
      </c>
      <c r="B24" s="273" t="inlineStr">
        <is>
          <t>91.06.03-058</t>
        </is>
      </c>
      <c r="C24" s="396" t="inlineStr">
        <is>
          <t>Лебедки электрические тяговым усилием 156,96 кН (16 т)</t>
        </is>
      </c>
      <c r="D24" s="388" t="inlineStr">
        <is>
          <t>маш.-ч</t>
        </is>
      </c>
      <c r="E24" s="328" t="n">
        <v>36.82</v>
      </c>
      <c r="F24" s="398" t="n">
        <v>131.44</v>
      </c>
      <c r="G24" s="318">
        <f>ROUND(E24*F24,2)</f>
        <v/>
      </c>
      <c r="H24" s="319">
        <f>G24/$G$53</f>
        <v/>
      </c>
      <c r="I24" s="318">
        <f>ROUND(F24*Прил.10!$D$12,2)</f>
        <v/>
      </c>
      <c r="J24" s="318">
        <f>ROUND(I24*E24,2)</f>
        <v/>
      </c>
    </row>
    <row r="25" ht="14.25" customFormat="1" customHeight="1" s="313">
      <c r="A25" s="388" t="n"/>
      <c r="B25" s="388" t="n"/>
      <c r="C25" s="396" t="inlineStr">
        <is>
          <t>Итого основные машины и механизмы</t>
        </is>
      </c>
      <c r="D25" s="388" t="n"/>
      <c r="E25" s="337" t="n"/>
      <c r="F25" s="318" t="n"/>
      <c r="G25" s="318">
        <f>SUM(G19:G24)</f>
        <v/>
      </c>
      <c r="H25" s="399">
        <f>G25/G53</f>
        <v/>
      </c>
      <c r="I25" s="322" t="n"/>
      <c r="J25" s="318">
        <f>SUM(J19:J24)</f>
        <v/>
      </c>
    </row>
    <row r="26" hidden="1" outlineLevel="1" ht="14.25" customFormat="1" customHeight="1" s="313">
      <c r="A26" s="388" t="n">
        <v>9</v>
      </c>
      <c r="B26" s="273" t="inlineStr">
        <is>
          <t>91.01.01-034</t>
        </is>
      </c>
      <c r="C26" s="396" t="inlineStr">
        <is>
          <t>Бульдозеры, мощность 59 кВт (80 л.с.)</t>
        </is>
      </c>
      <c r="D26" s="388" t="inlineStr">
        <is>
          <t>маш.-ч</t>
        </is>
      </c>
      <c r="E26" s="328" t="n">
        <v>26.300105</v>
      </c>
      <c r="F26" s="398" t="n">
        <v>59.47</v>
      </c>
      <c r="G26" s="318">
        <f>ROUND(E26*F26,2)</f>
        <v/>
      </c>
      <c r="H26" s="319">
        <f>G26/$G$53</f>
        <v/>
      </c>
      <c r="I26" s="318">
        <f>ROUND(F26*Прил.10!$D$12,2)</f>
        <v/>
      </c>
      <c r="J26" s="318">
        <f>ROUND(I26*E26,2)</f>
        <v/>
      </c>
    </row>
    <row r="27" hidden="1" outlineLevel="1" ht="25.5" customFormat="1" customHeight="1" s="313">
      <c r="A27" s="388" t="n">
        <v>10</v>
      </c>
      <c r="B27" s="273" t="inlineStr">
        <is>
          <t>91.06.06-042</t>
        </is>
      </c>
      <c r="C27" s="396" t="inlineStr">
        <is>
          <t>Подъемники гидравлические, высота подъема 10 м</t>
        </is>
      </c>
      <c r="D27" s="388" t="inlineStr">
        <is>
          <t>маш.-ч</t>
        </is>
      </c>
      <c r="E27" s="328" t="n">
        <v>49.67</v>
      </c>
      <c r="F27" s="398" t="n">
        <v>29.6</v>
      </c>
      <c r="G27" s="318">
        <f>ROUND(E27*F27,2)</f>
        <v/>
      </c>
      <c r="H27" s="319">
        <f>G27/$G$53</f>
        <v/>
      </c>
      <c r="I27" s="318">
        <f>ROUND(F27*Прил.10!$D$12,2)</f>
        <v/>
      </c>
      <c r="J27" s="318">
        <f>ROUND(I27*E27,2)</f>
        <v/>
      </c>
    </row>
    <row r="28" hidden="1" outlineLevel="1" ht="38.25" customFormat="1" customHeight="1" s="313">
      <c r="A28" s="388" t="n">
        <v>11</v>
      </c>
      <c r="B28" s="273" t="inlineStr">
        <is>
          <t>91.06.05-057</t>
        </is>
      </c>
      <c r="C28" s="396" t="inlineStr">
        <is>
          <t>Погрузчики одноковшовые универсальные фронтальные пневмоколесные, грузоподъемность 3 т</t>
        </is>
      </c>
      <c r="D28" s="388" t="inlineStr">
        <is>
          <t>маш.-ч</t>
        </is>
      </c>
      <c r="E28" s="328" t="n">
        <v>14.416</v>
      </c>
      <c r="F28" s="398" t="n">
        <v>90.40000000000001</v>
      </c>
      <c r="G28" s="318">
        <f>ROUND(E28*F28,2)</f>
        <v/>
      </c>
      <c r="H28" s="319">
        <f>G28/$G$53</f>
        <v/>
      </c>
      <c r="I28" s="318">
        <f>ROUND(F28*Прил.10!$D$12,2)</f>
        <v/>
      </c>
      <c r="J28" s="318">
        <f>ROUND(I28*E28,2)</f>
        <v/>
      </c>
    </row>
    <row r="29" hidden="1" outlineLevel="1" ht="25.5" customFormat="1" customHeight="1" s="313">
      <c r="A29" s="388" t="n">
        <v>12</v>
      </c>
      <c r="B29" s="273" t="inlineStr">
        <is>
          <t>91.06.06-014</t>
        </is>
      </c>
      <c r="C29" s="396" t="inlineStr">
        <is>
          <t>Автогидроподъемники, высота подъема 28 м</t>
        </is>
      </c>
      <c r="D29" s="388" t="inlineStr">
        <is>
          <t>маш.-ч</t>
        </is>
      </c>
      <c r="E29" s="328" t="n">
        <v>3.7584</v>
      </c>
      <c r="F29" s="398" t="n">
        <v>243.49</v>
      </c>
      <c r="G29" s="318">
        <f>ROUND(E29*F29,2)</f>
        <v/>
      </c>
      <c r="H29" s="319">
        <f>G29/$G$53</f>
        <v/>
      </c>
      <c r="I29" s="318">
        <f>ROUND(F29*Прил.10!$D$12,2)</f>
        <v/>
      </c>
      <c r="J29" s="318">
        <f>ROUND(I29*E29,2)</f>
        <v/>
      </c>
    </row>
    <row r="30" hidden="1" outlineLevel="1" ht="25.5" customFormat="1" customHeight="1" s="313">
      <c r="A30" s="388" t="n">
        <v>13</v>
      </c>
      <c r="B30" s="273" t="inlineStr">
        <is>
          <t>91.05.08-007</t>
        </is>
      </c>
      <c r="C30" s="396" t="inlineStr">
        <is>
          <t>Краны на пневмоколесном ходу, грузоподъемность 25 т</t>
        </is>
      </c>
      <c r="D30" s="388" t="inlineStr">
        <is>
          <t>маш.-ч</t>
        </is>
      </c>
      <c r="E30" s="328" t="n">
        <v>8.630000000000001</v>
      </c>
      <c r="F30" s="398" t="n">
        <v>102.51</v>
      </c>
      <c r="G30" s="318">
        <f>ROUND(E30*F30,2)</f>
        <v/>
      </c>
      <c r="H30" s="319">
        <f>G30/$G$53</f>
        <v/>
      </c>
      <c r="I30" s="318">
        <f>ROUND(F30*Прил.10!$D$12,2)</f>
        <v/>
      </c>
      <c r="J30" s="318">
        <f>ROUND(I30*E30,2)</f>
        <v/>
      </c>
    </row>
    <row r="31" hidden="1" outlineLevel="1" ht="38.25" customFormat="1" customHeight="1" s="313">
      <c r="A31" s="388" t="n">
        <v>14</v>
      </c>
      <c r="B31" s="273" t="inlineStr">
        <is>
          <t>91.17.04-036</t>
        </is>
      </c>
      <c r="C31" s="396" t="inlineStr">
        <is>
          <t>Агрегаты сварочные передвижные с дизельным двигателем, номинальный сварочный ток 250-400 А</t>
        </is>
      </c>
      <c r="D31" s="388" t="inlineStr">
        <is>
          <t>маш.-ч</t>
        </is>
      </c>
      <c r="E31" s="328" t="n">
        <v>59.95377</v>
      </c>
      <c r="F31" s="398" t="n">
        <v>14</v>
      </c>
      <c r="G31" s="318">
        <f>ROUND(E31*F31,2)</f>
        <v/>
      </c>
      <c r="H31" s="319">
        <f>G31/$G$53</f>
        <v/>
      </c>
      <c r="I31" s="318">
        <f>ROUND(F31*Прил.10!$D$12,2)</f>
        <v/>
      </c>
      <c r="J31" s="318">
        <f>ROUND(I31*E31,2)</f>
        <v/>
      </c>
    </row>
    <row r="32" hidden="1" outlineLevel="1" ht="25.5" customFormat="1" customHeight="1" s="313">
      <c r="A32" s="388" t="n">
        <v>15</v>
      </c>
      <c r="B32" s="273" t="inlineStr">
        <is>
          <t>91.14.02-001</t>
        </is>
      </c>
      <c r="C32" s="396" t="inlineStr">
        <is>
          <t>Автомобили бортовые, грузоподъемность до 5 т</t>
        </is>
      </c>
      <c r="D32" s="388" t="inlineStr">
        <is>
          <t>маш.-ч</t>
        </is>
      </c>
      <c r="E32" s="328" t="n">
        <v>9.20383</v>
      </c>
      <c r="F32" s="398" t="n">
        <v>65.70999999999999</v>
      </c>
      <c r="G32" s="318">
        <f>ROUND(E32*F32,2)</f>
        <v/>
      </c>
      <c r="H32" s="319">
        <f>G32/$G$53</f>
        <v/>
      </c>
      <c r="I32" s="318">
        <f>ROUND(F32*Прил.10!$D$12,2)</f>
        <v/>
      </c>
      <c r="J32" s="318">
        <f>ROUND(I32*E32,2)</f>
        <v/>
      </c>
    </row>
    <row r="33" hidden="1" outlineLevel="1" ht="25.5" customFormat="1" customHeight="1" s="313">
      <c r="A33" s="388" t="n">
        <v>16</v>
      </c>
      <c r="B33" s="273" t="inlineStr">
        <is>
          <t>91.05.06-007</t>
        </is>
      </c>
      <c r="C33" s="396" t="inlineStr">
        <is>
          <t>Краны на гусеничном ходу, грузоподъемность 25 т</t>
        </is>
      </c>
      <c r="D33" s="388" t="inlineStr">
        <is>
          <t>маш.-ч</t>
        </is>
      </c>
      <c r="E33" s="328" t="n">
        <v>3.92</v>
      </c>
      <c r="F33" s="398" t="n">
        <v>120.04</v>
      </c>
      <c r="G33" s="318">
        <f>ROUND(E33*F33,2)</f>
        <v/>
      </c>
      <c r="H33" s="319">
        <f>G33/$G$53</f>
        <v/>
      </c>
      <c r="I33" s="318">
        <f>ROUND(F33*Прил.10!$D$12,2)</f>
        <v/>
      </c>
      <c r="J33" s="318">
        <f>ROUND(I33*E33,2)</f>
        <v/>
      </c>
    </row>
    <row r="34" hidden="1" outlineLevel="1" ht="25.5" customFormat="1" customHeight="1" s="313">
      <c r="A34" s="388" t="n">
        <v>17</v>
      </c>
      <c r="B34" s="273" t="inlineStr">
        <is>
          <t>91.14.02-004</t>
        </is>
      </c>
      <c r="C34" s="396" t="inlineStr">
        <is>
          <t>Автомобили бортовые, грузоподъемность до 15 т</t>
        </is>
      </c>
      <c r="D34" s="388" t="inlineStr">
        <is>
          <t>маш.-ч</t>
        </is>
      </c>
      <c r="E34" s="328" t="n">
        <v>3.82</v>
      </c>
      <c r="F34" s="398" t="n">
        <v>92.94</v>
      </c>
      <c r="G34" s="318">
        <f>ROUND(E34*F34,2)</f>
        <v/>
      </c>
      <c r="H34" s="319">
        <f>G34/$G$53</f>
        <v/>
      </c>
      <c r="I34" s="318">
        <f>ROUND(F34*Прил.10!$D$12,2)</f>
        <v/>
      </c>
      <c r="J34" s="318">
        <f>ROUND(I34*E34,2)</f>
        <v/>
      </c>
    </row>
    <row r="35" hidden="1" outlineLevel="1" ht="25.5" customFormat="1" customHeight="1" s="313">
      <c r="A35" s="388" t="n">
        <v>18</v>
      </c>
      <c r="B35" s="273" t="inlineStr">
        <is>
          <t>91.08.09-023</t>
        </is>
      </c>
      <c r="C35" s="396" t="inlineStr">
        <is>
          <t>Трамбовки пневматические при работе от передвижных компрессорных станций</t>
        </is>
      </c>
      <c r="D35" s="388" t="inlineStr">
        <is>
          <t>маш.-ч</t>
        </is>
      </c>
      <c r="E35" s="328" t="n">
        <v>418.32122</v>
      </c>
      <c r="F35" s="398" t="n">
        <v>0.55</v>
      </c>
      <c r="G35" s="318">
        <f>ROUND(E35*F35,2)</f>
        <v/>
      </c>
      <c r="H35" s="319">
        <f>G35/$G$53</f>
        <v/>
      </c>
      <c r="I35" s="318">
        <f>ROUND(F35*Прил.10!$D$12,2)</f>
        <v/>
      </c>
      <c r="J35" s="318">
        <f>ROUND(I35*E35,2)</f>
        <v/>
      </c>
    </row>
    <row r="36" hidden="1" outlineLevel="1" ht="25.5" customFormat="1" customHeight="1" s="313">
      <c r="A36" s="388" t="n">
        <v>19</v>
      </c>
      <c r="B36" s="273" t="inlineStr">
        <is>
          <t>91.14.02-002</t>
        </is>
      </c>
      <c r="C36" s="396" t="inlineStr">
        <is>
          <t>Автомобили бортовые, грузоподъемность до 8 т</t>
        </is>
      </c>
      <c r="D36" s="388" t="inlineStr">
        <is>
          <t>маш.-ч</t>
        </is>
      </c>
      <c r="E36" s="328" t="n">
        <v>2.381212</v>
      </c>
      <c r="F36" s="398" t="n">
        <v>85.84</v>
      </c>
      <c r="G36" s="318">
        <f>ROUND(E36*F36,2)</f>
        <v/>
      </c>
      <c r="H36" s="319">
        <f>G36/$G$53</f>
        <v/>
      </c>
      <c r="I36" s="318">
        <f>ROUND(F36*Прил.10!$D$12,2)</f>
        <v/>
      </c>
      <c r="J36" s="318">
        <f>ROUND(I36*E36,2)</f>
        <v/>
      </c>
    </row>
    <row r="37" hidden="1" outlineLevel="1" ht="14.25" customFormat="1" customHeight="1" s="313">
      <c r="A37" s="388" t="n">
        <v>20</v>
      </c>
      <c r="B37" s="273" t="inlineStr">
        <is>
          <t>91.05.01-017</t>
        </is>
      </c>
      <c r="C37" s="396" t="inlineStr">
        <is>
          <t>Краны башенные, грузоподъемность 8 т</t>
        </is>
      </c>
      <c r="D37" s="388" t="inlineStr">
        <is>
          <t>маш.-ч</t>
        </is>
      </c>
      <c r="E37" s="328" t="n">
        <v>2.27608</v>
      </c>
      <c r="F37" s="398" t="n">
        <v>86.40000000000001</v>
      </c>
      <c r="G37" s="318">
        <f>ROUND(E37*F37,2)</f>
        <v/>
      </c>
      <c r="H37" s="319">
        <f>G37/$G$53</f>
        <v/>
      </c>
      <c r="I37" s="318">
        <f>ROUND(F37*Прил.10!$D$12,2)</f>
        <v/>
      </c>
      <c r="J37" s="318">
        <f>ROUND(I37*E37,2)</f>
        <v/>
      </c>
    </row>
    <row r="38" hidden="1" outlineLevel="1" ht="25.5" customFormat="1" customHeight="1" s="313">
      <c r="A38" s="388" t="n">
        <v>21</v>
      </c>
      <c r="B38" s="273" t="inlineStr">
        <is>
          <t>91.05.04-010</t>
        </is>
      </c>
      <c r="C38" s="396" t="inlineStr">
        <is>
          <t>Краны мостовые электрические, грузоподъемность 50 т</t>
        </is>
      </c>
      <c r="D38" s="388" t="inlineStr">
        <is>
          <t>маш.-ч</t>
        </is>
      </c>
      <c r="E38" s="328" t="n">
        <v>0.96</v>
      </c>
      <c r="F38" s="398" t="n">
        <v>197.01</v>
      </c>
      <c r="G38" s="318">
        <f>ROUND(E38*F38,2)</f>
        <v/>
      </c>
      <c r="H38" s="319">
        <f>G38/$G$53</f>
        <v/>
      </c>
      <c r="I38" s="318">
        <f>ROUND(F38*Прил.10!$D$12,2)</f>
        <v/>
      </c>
      <c r="J38" s="318">
        <f>ROUND(I38*E38,2)</f>
        <v/>
      </c>
    </row>
    <row r="39" hidden="1" outlineLevel="1" ht="25.5" customFormat="1" customHeight="1" s="313">
      <c r="A39" s="388" t="n">
        <v>22</v>
      </c>
      <c r="B39" s="273" t="inlineStr">
        <is>
          <t>91.06.01-003</t>
        </is>
      </c>
      <c r="C39" s="396" t="inlineStr">
        <is>
          <t>Домкраты гидравлические, грузоподъемность 63-100 т</t>
        </is>
      </c>
      <c r="D39" s="388" t="inlineStr">
        <is>
          <t>маш.-ч</t>
        </is>
      </c>
      <c r="E39" s="328" t="n">
        <v>147.46</v>
      </c>
      <c r="F39" s="398" t="n">
        <v>0.9</v>
      </c>
      <c r="G39" s="318">
        <f>ROUND(E39*F39,2)</f>
        <v/>
      </c>
      <c r="H39" s="319">
        <f>G39/$G$53</f>
        <v/>
      </c>
      <c r="I39" s="318">
        <f>ROUND(F39*Прил.10!$D$12,2)</f>
        <v/>
      </c>
      <c r="J39" s="318">
        <f>ROUND(I39*E39,2)</f>
        <v/>
      </c>
    </row>
    <row r="40" hidden="1" outlineLevel="1" ht="25.5" customFormat="1" customHeight="1" s="313">
      <c r="A40" s="388" t="n">
        <v>23</v>
      </c>
      <c r="B40" s="273" t="inlineStr">
        <is>
          <t>91.17.04-233</t>
        </is>
      </c>
      <c r="C40" s="396" t="inlineStr">
        <is>
          <t>Установки для сварки ручной дуговой (постоянного тока)</t>
        </is>
      </c>
      <c r="D40" s="388" t="inlineStr">
        <is>
          <t>маш.-ч</t>
        </is>
      </c>
      <c r="E40" s="328" t="n">
        <v>15.51522</v>
      </c>
      <c r="F40" s="398" t="n">
        <v>8.1</v>
      </c>
      <c r="G40" s="318">
        <f>ROUND(E40*F40,2)</f>
        <v/>
      </c>
      <c r="H40" s="319">
        <f>G40/$G$53</f>
        <v/>
      </c>
      <c r="I40" s="318">
        <f>ROUND(F40*Прил.10!$D$12,2)</f>
        <v/>
      </c>
      <c r="J40" s="318">
        <f>ROUND(I40*E40,2)</f>
        <v/>
      </c>
    </row>
    <row r="41" hidden="1" outlineLevel="1" ht="14.25" customFormat="1" customHeight="1" s="313">
      <c r="A41" s="388" t="n">
        <v>24</v>
      </c>
      <c r="B41" s="273" t="inlineStr">
        <is>
          <t>91.21.22-491</t>
        </is>
      </c>
      <c r="C41" s="396" t="inlineStr">
        <is>
          <t>Шинотрубогибы</t>
        </is>
      </c>
      <c r="D41" s="388" t="inlineStr">
        <is>
          <t>маш.-ч</t>
        </is>
      </c>
      <c r="E41" s="328" t="n">
        <v>1.1835</v>
      </c>
      <c r="F41" s="398" t="n">
        <v>15.24</v>
      </c>
      <c r="G41" s="318">
        <f>ROUND(E41*F41,2)</f>
        <v/>
      </c>
      <c r="H41" s="319">
        <f>G41/$G$53</f>
        <v/>
      </c>
      <c r="I41" s="318">
        <f>ROUND(F41*Прил.10!$D$12,2)</f>
        <v/>
      </c>
      <c r="J41" s="318">
        <f>ROUND(I41*E41,2)</f>
        <v/>
      </c>
    </row>
    <row r="42" hidden="1" outlineLevel="1" ht="14.25" customFormat="1" customHeight="1" s="313">
      <c r="A42" s="388" t="n">
        <v>25</v>
      </c>
      <c r="B42" s="273" t="inlineStr">
        <is>
          <t>91.01.01-035</t>
        </is>
      </c>
      <c r="C42" s="396" t="inlineStr">
        <is>
          <t>Бульдозеры, мощность 79 кВт (108 л.с.)</t>
        </is>
      </c>
      <c r="D42" s="388" t="inlineStr">
        <is>
          <t>маш.-ч</t>
        </is>
      </c>
      <c r="E42" s="328" t="n">
        <v>0.22629</v>
      </c>
      <c r="F42" s="398" t="n">
        <v>79.06999999999999</v>
      </c>
      <c r="G42" s="318">
        <f>ROUND(E42*F42,2)</f>
        <v/>
      </c>
      <c r="H42" s="319">
        <f>G42/$G$53</f>
        <v/>
      </c>
      <c r="I42" s="318">
        <f>ROUND(F42*Прил.10!$D$12,2)</f>
        <v/>
      </c>
      <c r="J42" s="318">
        <f>ROUND(I42*E42,2)</f>
        <v/>
      </c>
    </row>
    <row r="43" hidden="1" outlineLevel="1" ht="38.25" customFormat="1" customHeight="1" s="313">
      <c r="A43" s="388" t="n">
        <v>26</v>
      </c>
      <c r="B43" s="273" t="inlineStr">
        <is>
          <t>91.21.01-012</t>
        </is>
      </c>
      <c r="C43" s="396" t="inlineStr">
        <is>
          <t>Агрегаты окрасочные высокого давления для окраски поверхностей конструкций, мощность 1 кВт</t>
        </is>
      </c>
      <c r="D43" s="388" t="inlineStr">
        <is>
          <t>маш.-ч</t>
        </is>
      </c>
      <c r="E43" s="328" t="n">
        <v>0.78008</v>
      </c>
      <c r="F43" s="398" t="n">
        <v>6.82</v>
      </c>
      <c r="G43" s="318">
        <f>ROUND(E43*F43,2)</f>
        <v/>
      </c>
      <c r="H43" s="319">
        <f>G43/$G$53</f>
        <v/>
      </c>
      <c r="I43" s="318">
        <f>ROUND(F43*Прил.10!$D$12,2)</f>
        <v/>
      </c>
      <c r="J43" s="318">
        <f>ROUND(I43*E43,2)</f>
        <v/>
      </c>
    </row>
    <row r="44" hidden="1" outlineLevel="1" ht="25.5" customFormat="1" customHeight="1" s="313">
      <c r="A44" s="388" t="n">
        <v>27</v>
      </c>
      <c r="B44" s="273" t="inlineStr">
        <is>
          <t>91.17.04-161</t>
        </is>
      </c>
      <c r="C44" s="396" t="inlineStr">
        <is>
          <t>Полуавтоматы сварочные номинальным сварочным током 40-500 А</t>
        </is>
      </c>
      <c r="D44" s="388" t="inlineStr">
        <is>
          <t>маш.-ч</t>
        </is>
      </c>
      <c r="E44" s="328" t="n">
        <v>0.304</v>
      </c>
      <c r="F44" s="398" t="n">
        <v>16.44</v>
      </c>
      <c r="G44" s="318">
        <f>ROUND(E44*F44,2)</f>
        <v/>
      </c>
      <c r="H44" s="319">
        <f>G44/$G$53</f>
        <v/>
      </c>
      <c r="I44" s="318">
        <f>ROUND(F44*Прил.10!$D$12,2)</f>
        <v/>
      </c>
      <c r="J44" s="318">
        <f>ROUND(I44*E44,2)</f>
        <v/>
      </c>
    </row>
    <row r="45" hidden="1" outlineLevel="1" ht="14.25" customFormat="1" customHeight="1" s="313">
      <c r="A45" s="388" t="n">
        <v>28</v>
      </c>
      <c r="B45" s="273" t="inlineStr">
        <is>
          <t>91.06.05-011</t>
        </is>
      </c>
      <c r="C45" s="396" t="inlineStr">
        <is>
          <t>Погрузчики, грузоподъемность 5 т</t>
        </is>
      </c>
      <c r="D45" s="388" t="inlineStr">
        <is>
          <t>маш.-ч</t>
        </is>
      </c>
      <c r="E45" s="328" t="n">
        <v>0.01836</v>
      </c>
      <c r="F45" s="398" t="n">
        <v>89.98999999999999</v>
      </c>
      <c r="G45" s="318">
        <f>ROUND(E45*F45,2)</f>
        <v/>
      </c>
      <c r="H45" s="319">
        <f>G45/$G$53</f>
        <v/>
      </c>
      <c r="I45" s="318">
        <f>ROUND(F45*Прил.10!$D$12,2)</f>
        <v/>
      </c>
      <c r="J45" s="318">
        <f>ROUND(I45*E45,2)</f>
        <v/>
      </c>
    </row>
    <row r="46" hidden="1" outlineLevel="1" ht="14.25" customFormat="1" customHeight="1" s="313">
      <c r="A46" s="388" t="n">
        <v>29</v>
      </c>
      <c r="B46" s="273" t="inlineStr">
        <is>
          <t>91.07.04-001</t>
        </is>
      </c>
      <c r="C46" s="396" t="inlineStr">
        <is>
          <t>Вибраторы глубинные</t>
        </is>
      </c>
      <c r="D46" s="388" t="inlineStr">
        <is>
          <t>маш.-ч</t>
        </is>
      </c>
      <c r="E46" s="328" t="n">
        <v>0.72828</v>
      </c>
      <c r="F46" s="398" t="n">
        <v>1.9</v>
      </c>
      <c r="G46" s="318">
        <f>ROUND(E46*F46,2)</f>
        <v/>
      </c>
      <c r="H46" s="319">
        <f>G46/$G$53</f>
        <v/>
      </c>
      <c r="I46" s="318">
        <f>ROUND(F46*Прил.10!$D$12,2)</f>
        <v/>
      </c>
      <c r="J46" s="318">
        <f>ROUND(I46*E46,2)</f>
        <v/>
      </c>
    </row>
    <row r="47" hidden="1" outlineLevel="1" ht="14.25" customFormat="1" customHeight="1" s="313">
      <c r="A47" s="388" t="n">
        <v>30</v>
      </c>
      <c r="B47" s="273" t="inlineStr">
        <is>
          <t>91.17.04-042</t>
        </is>
      </c>
      <c r="C47" s="396" t="inlineStr">
        <is>
          <t>Аппараты для газовой сварки и резки</t>
        </is>
      </c>
      <c r="D47" s="388" t="inlineStr">
        <is>
          <t>маш.-ч</t>
        </is>
      </c>
      <c r="E47" s="328" t="n">
        <v>0.95</v>
      </c>
      <c r="F47" s="398" t="n">
        <v>1.2</v>
      </c>
      <c r="G47" s="318">
        <f>ROUND(E47*F47,2)</f>
        <v/>
      </c>
      <c r="H47" s="319">
        <f>G47/$G$53</f>
        <v/>
      </c>
      <c r="I47" s="318">
        <f>ROUND(F47*Прил.10!$D$12,2)</f>
        <v/>
      </c>
      <c r="J47" s="318">
        <f>ROUND(I47*E47,2)</f>
        <v/>
      </c>
    </row>
    <row r="48" hidden="1" outlineLevel="1" ht="25.5" customFormat="1" customHeight="1" s="313">
      <c r="A48" s="388" t="n">
        <v>31</v>
      </c>
      <c r="B48" s="273" t="inlineStr">
        <is>
          <t>91.07.08-024</t>
        </is>
      </c>
      <c r="C48" s="396" t="inlineStr">
        <is>
          <t>Растворосмесители передвижные, объем барабана 65 л</t>
        </is>
      </c>
      <c r="D48" s="388" t="inlineStr">
        <is>
          <t>маш.-ч</t>
        </is>
      </c>
      <c r="E48" s="328" t="n">
        <v>0.0796</v>
      </c>
      <c r="F48" s="398" t="n">
        <v>12.39</v>
      </c>
      <c r="G48" s="318">
        <f>ROUND(E48*F48,2)</f>
        <v/>
      </c>
      <c r="H48" s="319">
        <f>G48/$G$53</f>
        <v/>
      </c>
      <c r="I48" s="318">
        <f>ROUND(F48*Прил.10!$D$12,2)</f>
        <v/>
      </c>
      <c r="J48" s="318">
        <f>ROUND(I48*E48,2)</f>
        <v/>
      </c>
    </row>
    <row r="49" hidden="1" outlineLevel="1" ht="14.25" customFormat="1" customHeight="1" s="313">
      <c r="A49" s="388" t="n">
        <v>32</v>
      </c>
      <c r="B49" s="273" t="inlineStr">
        <is>
          <t>91.07.04-002</t>
        </is>
      </c>
      <c r="C49" s="396" t="inlineStr">
        <is>
          <t>Вибраторы поверхностные</t>
        </is>
      </c>
      <c r="D49" s="388" t="inlineStr">
        <is>
          <t>маш.-ч</t>
        </is>
      </c>
      <c r="E49" s="328" t="n">
        <v>1.344</v>
      </c>
      <c r="F49" s="398" t="n">
        <v>0.5</v>
      </c>
      <c r="G49" s="318">
        <f>ROUND(E49*F49,2)</f>
        <v/>
      </c>
      <c r="H49" s="319">
        <f>G49/$G$53</f>
        <v/>
      </c>
      <c r="I49" s="318">
        <f>ROUND(F49*Прил.10!$D$12,2)</f>
        <v/>
      </c>
      <c r="J49" s="318">
        <f>ROUND(I49*E49,2)</f>
        <v/>
      </c>
    </row>
    <row r="50" hidden="1" outlineLevel="1" ht="14.25" customFormat="1" customHeight="1" s="313">
      <c r="A50" s="388" t="n">
        <v>33</v>
      </c>
      <c r="B50" s="273" t="inlineStr">
        <is>
          <t>91.21.19-031</t>
        </is>
      </c>
      <c r="C50" s="396" t="inlineStr">
        <is>
          <t>Станки сверлильные</t>
        </is>
      </c>
      <c r="D50" s="388" t="inlineStr">
        <is>
          <t>маш.-ч</t>
        </is>
      </c>
      <c r="E50" s="328" t="n">
        <v>0.2145</v>
      </c>
      <c r="F50" s="398" t="n">
        <v>2.36</v>
      </c>
      <c r="G50" s="318">
        <f>ROUND(E50*F50,2)</f>
        <v/>
      </c>
      <c r="H50" s="319">
        <f>G50/$G$53</f>
        <v/>
      </c>
      <c r="I50" s="318">
        <f>ROUND(F50*Прил.10!$D$12,2)</f>
        <v/>
      </c>
      <c r="J50" s="318">
        <f>ROUND(I50*E50,2)</f>
        <v/>
      </c>
    </row>
    <row r="51" hidden="1" outlineLevel="1" ht="25.5" customFormat="1" customHeight="1" s="313">
      <c r="A51" s="388" t="n">
        <v>34</v>
      </c>
      <c r="B51" s="273" t="inlineStr">
        <is>
          <t>91.14.03-001</t>
        </is>
      </c>
      <c r="C51" s="396" t="inlineStr">
        <is>
          <t>Автомобили-самосвалы, грузоподъемность до 7 т</t>
        </is>
      </c>
      <c r="D51" s="388" t="inlineStr">
        <is>
          <t>маш.-ч</t>
        </is>
      </c>
      <c r="E51" s="328" t="n">
        <v>0.00456</v>
      </c>
      <c r="F51" s="398" t="n">
        <v>89.54000000000001</v>
      </c>
      <c r="G51" s="318">
        <f>ROUND(E51*F51,2)</f>
        <v/>
      </c>
      <c r="H51" s="319">
        <f>G51/$G$53</f>
        <v/>
      </c>
      <c r="I51" s="318">
        <f>ROUND(F51*Прил.10!$D$12,2)</f>
        <v/>
      </c>
      <c r="J51" s="318">
        <f>ROUND(I51*E51,2)</f>
        <v/>
      </c>
    </row>
    <row r="52" collapsed="1" ht="14.25" customFormat="1" customHeight="1" s="313">
      <c r="A52" s="388" t="n"/>
      <c r="B52" s="388" t="n"/>
      <c r="C52" s="396" t="inlineStr">
        <is>
          <t>Итого прочие машины и механизмы</t>
        </is>
      </c>
      <c r="D52" s="388" t="n"/>
      <c r="E52" s="397" t="n"/>
      <c r="F52" s="318" t="n"/>
      <c r="G52" s="322">
        <f>SUM(G26:G51)</f>
        <v/>
      </c>
      <c r="H52" s="319">
        <f>G52/G53</f>
        <v/>
      </c>
      <c r="I52" s="318" t="n"/>
      <c r="J52" s="318">
        <f>SUM(J26:J51)</f>
        <v/>
      </c>
    </row>
    <row r="53" ht="25.5" customFormat="1" customHeight="1" s="313">
      <c r="A53" s="388" t="n"/>
      <c r="B53" s="388" t="n"/>
      <c r="C53" s="377" t="inlineStr">
        <is>
          <t>Итого по разделу «Машины и механизмы»</t>
        </is>
      </c>
      <c r="D53" s="388" t="n"/>
      <c r="E53" s="397" t="n"/>
      <c r="F53" s="318" t="n"/>
      <c r="G53" s="318">
        <f>G52+G25</f>
        <v/>
      </c>
      <c r="H53" s="205" t="n">
        <v>1</v>
      </c>
      <c r="I53" s="206" t="n"/>
      <c r="J53" s="230">
        <f>J52+J25</f>
        <v/>
      </c>
    </row>
    <row r="54" ht="14.25" customFormat="1" customHeight="1" s="313">
      <c r="A54" s="388" t="n"/>
      <c r="B54" s="377" t="inlineStr">
        <is>
          <t>Оборудование</t>
        </is>
      </c>
      <c r="C54" s="455" t="n"/>
      <c r="D54" s="455" t="n"/>
      <c r="E54" s="455" t="n"/>
      <c r="F54" s="455" t="n"/>
      <c r="G54" s="455" t="n"/>
      <c r="H54" s="456" t="n"/>
      <c r="I54" s="312" t="n"/>
      <c r="J54" s="312" t="n"/>
    </row>
    <row r="55" s="314">
      <c r="A55" s="388" t="n"/>
      <c r="B55" s="396" t="inlineStr">
        <is>
          <t>Основное оборудование</t>
        </is>
      </c>
      <c r="C55" s="455" t="n"/>
      <c r="D55" s="455" t="n"/>
      <c r="E55" s="455" t="n"/>
      <c r="F55" s="455" t="n"/>
      <c r="G55" s="455" t="n"/>
      <c r="H55" s="456" t="n"/>
      <c r="I55" s="312" t="n"/>
      <c r="J55" s="312" t="n"/>
      <c r="K55" s="313" t="n"/>
      <c r="L55" s="313" t="n"/>
    </row>
    <row r="56" ht="27" customFormat="1" customHeight="1" s="313">
      <c r="A56" s="388" t="n">
        <v>35</v>
      </c>
      <c r="B56" s="388" t="inlineStr">
        <is>
          <t>БЦ.111.16</t>
        </is>
      </c>
      <c r="C56" s="330" t="inlineStr">
        <is>
          <t>Установка плавки гололеда постоянный регулируемый ток, Uном=14 кВ Iном=1600 А</t>
        </is>
      </c>
      <c r="D56" s="388" t="inlineStr">
        <is>
          <t>к-т</t>
        </is>
      </c>
      <c r="E56" s="328" t="n">
        <v>1</v>
      </c>
      <c r="F56" s="350">
        <f>ROUND(I56/Прил.10!$D$14,2)</f>
        <v/>
      </c>
      <c r="G56" s="318">
        <f>ROUND(E56*F56,2)</f>
        <v/>
      </c>
      <c r="H56" s="319">
        <f>G56/$G$64</f>
        <v/>
      </c>
      <c r="I56" s="327" t="n">
        <v>17457754.91</v>
      </c>
      <c r="J56" s="318">
        <f>ROUND(I56*E56,2)</f>
        <v/>
      </c>
    </row>
    <row r="57" s="314">
      <c r="A57" s="388" t="n"/>
      <c r="B57" s="388" t="n"/>
      <c r="C57" s="396" t="inlineStr">
        <is>
          <t>Итого основное оборудование</t>
        </is>
      </c>
      <c r="D57" s="388" t="n"/>
      <c r="E57" s="328" t="n"/>
      <c r="F57" s="348" t="n"/>
      <c r="G57" s="318">
        <f>G56</f>
        <v/>
      </c>
      <c r="H57" s="319">
        <f>G57/$G$64</f>
        <v/>
      </c>
      <c r="I57" s="322" t="n"/>
      <c r="J57" s="318">
        <f>J56</f>
        <v/>
      </c>
      <c r="K57" s="313" t="n"/>
      <c r="L57" s="313" t="n"/>
    </row>
    <row r="58" hidden="1" outlineLevel="1" ht="52.9" customFormat="1" customHeight="1" s="313">
      <c r="A58" s="389" t="n">
        <v>36</v>
      </c>
      <c r="B58" s="389" t="inlineStr">
        <is>
          <t>БЦ.63.547</t>
        </is>
      </c>
      <c r="C58" s="324" t="inlineStr">
        <is>
          <t>Разъединитель с одним комплектом заземляющих ножей, трехполюсный горизонтально-поворотный 20 (35) кВ Iпр = 40 кА, Iном = 3150 А</t>
        </is>
      </c>
      <c r="D58" s="389" t="inlineStr">
        <is>
          <t>к-т</t>
        </is>
      </c>
      <c r="E58" s="325" t="n">
        <v>1</v>
      </c>
      <c r="F58" s="349">
        <f>ROUND(I58/Прил.10!$D$14,2)</f>
        <v/>
      </c>
      <c r="G58" s="318">
        <f>ROUND(E58*F58,2)</f>
        <v/>
      </c>
      <c r="H58" s="319">
        <f>G58/$G$64</f>
        <v/>
      </c>
      <c r="I58" s="327" t="n">
        <v>1187468.8</v>
      </c>
      <c r="J58" s="318">
        <f>ROUND(I58*E58,2)</f>
        <v/>
      </c>
    </row>
    <row r="59" hidden="1" outlineLevel="1" ht="26.45" customFormat="1" customHeight="1" s="313">
      <c r="A59" s="388" t="n">
        <v>37</v>
      </c>
      <c r="B59" s="388" t="inlineStr">
        <is>
          <t>БЦ.30_1.59</t>
        </is>
      </c>
      <c r="C59" s="327" t="inlineStr">
        <is>
          <t>Шкаф РЗ плавки гололеда постоянным током</t>
        </is>
      </c>
      <c r="D59" s="388" t="inlineStr">
        <is>
          <t>шт</t>
        </is>
      </c>
      <c r="E59" s="328" t="n">
        <v>1</v>
      </c>
      <c r="F59" s="350">
        <f>ROUND(I59/Прил.10!$D$14,2)</f>
        <v/>
      </c>
      <c r="G59" s="329">
        <f>ROUND(E59*F59,2)</f>
        <v/>
      </c>
      <c r="H59" s="319">
        <f>G59/$G$64</f>
        <v/>
      </c>
      <c r="I59" s="327" t="n">
        <v>4450000</v>
      </c>
      <c r="J59" s="318">
        <f>ROUND(I59*E59,2)</f>
        <v/>
      </c>
    </row>
    <row r="60" hidden="1" outlineLevel="1" ht="26.45" customFormat="1" customHeight="1" s="313">
      <c r="A60" s="388" t="n">
        <v>38</v>
      </c>
      <c r="B60" s="388" t="inlineStr">
        <is>
          <t>БЦ.14.102</t>
        </is>
      </c>
      <c r="C60" s="330" t="inlineStr">
        <is>
          <t>Трансформатор тока 10 кВ Iпр = 40 кА Iном = 800 А</t>
        </is>
      </c>
      <c r="D60" s="388" t="inlineStr">
        <is>
          <t>шт</t>
        </is>
      </c>
      <c r="E60" s="328" t="n">
        <v>4</v>
      </c>
      <c r="F60" s="350">
        <f>ROUND(I60/Прил.10!$D$14,2)</f>
        <v/>
      </c>
      <c r="G60" s="329">
        <f>ROUND(E60*F60,2)</f>
        <v/>
      </c>
      <c r="H60" s="319">
        <f>G60/$G$64</f>
        <v/>
      </c>
      <c r="I60" s="327" t="n">
        <v>39000</v>
      </c>
      <c r="J60" s="318">
        <f>ROUND(I60*E60,2)</f>
        <v/>
      </c>
    </row>
    <row r="61" hidden="1" outlineLevel="1" ht="26.45" customFormat="1" customHeight="1" s="313">
      <c r="A61" s="390" t="n">
        <v>39</v>
      </c>
      <c r="B61" s="332" t="inlineStr">
        <is>
          <t>Прайс из СД ОП</t>
        </is>
      </c>
      <c r="C61" s="333" t="inlineStr">
        <is>
          <t xml:space="preserve">Изолятор керамический проходной тип ИП-20/2000-12,5УХЛ1 </t>
        </is>
      </c>
      <c r="D61" s="390" t="inlineStr">
        <is>
          <t>шт</t>
        </is>
      </c>
      <c r="E61" s="334" t="n">
        <v>8</v>
      </c>
      <c r="F61" s="351">
        <f>ROUND(I61/Прил.10!$D$14,2)</f>
        <v/>
      </c>
      <c r="G61" s="318">
        <f>ROUND(E61*F61,2)</f>
        <v/>
      </c>
      <c r="H61" s="319">
        <f>G61/$G$64</f>
        <v/>
      </c>
      <c r="I61" s="327" t="n">
        <v>23857.05</v>
      </c>
      <c r="J61" s="318">
        <f>ROUND(I61*E61,2)</f>
        <v/>
      </c>
    </row>
    <row r="62" hidden="1" outlineLevel="1" ht="26.45" customFormat="1" customHeight="1" s="313">
      <c r="A62" s="335" t="n">
        <v>40</v>
      </c>
      <c r="B62" s="336" t="inlineStr">
        <is>
          <t>Прайс из СД ОП</t>
        </is>
      </c>
      <c r="C62" s="330" t="inlineStr">
        <is>
          <t>Изоляторы для радио и связи опорно-стержневые ИОС-20-2000 УХЛ1</t>
        </is>
      </c>
      <c r="D62" s="388" t="inlineStr">
        <is>
          <t>шт</t>
        </is>
      </c>
      <c r="E62" s="328" t="n">
        <v>3</v>
      </c>
      <c r="F62" s="350">
        <f>ROUND(I62/Прил.10!$D$14,2)</f>
        <v/>
      </c>
      <c r="G62" s="318">
        <f>ROUND(E62*F62,2)</f>
        <v/>
      </c>
      <c r="H62" s="319">
        <f>G62/$G$64</f>
        <v/>
      </c>
      <c r="I62" s="327" t="n">
        <v>3504.9947</v>
      </c>
      <c r="J62" s="318">
        <f>ROUND(I62*E62,2)</f>
        <v/>
      </c>
    </row>
    <row r="63" collapsed="1" s="314">
      <c r="A63" s="388" t="n"/>
      <c r="B63" s="388" t="n"/>
      <c r="C63" s="396" t="inlineStr">
        <is>
          <t>Итого прочее оборудование</t>
        </is>
      </c>
      <c r="D63" s="388" t="n"/>
      <c r="E63" s="337" t="n"/>
      <c r="F63" s="398" t="n"/>
      <c r="G63" s="318">
        <f>SUM(G58:G62)</f>
        <v/>
      </c>
      <c r="H63" s="319">
        <f>G63/$G$64</f>
        <v/>
      </c>
      <c r="I63" s="322" t="n"/>
      <c r="J63" s="318">
        <f>SUM(J58:J62)</f>
        <v/>
      </c>
      <c r="K63" s="313" t="n"/>
      <c r="L63" s="313" t="n"/>
    </row>
    <row r="64" s="314">
      <c r="A64" s="388" t="n"/>
      <c r="B64" s="388" t="n"/>
      <c r="C64" s="377" t="inlineStr">
        <is>
          <t>Итого по разделу «Оборудование»</t>
        </is>
      </c>
      <c r="D64" s="388" t="n"/>
      <c r="E64" s="397" t="n"/>
      <c r="F64" s="398" t="n"/>
      <c r="G64" s="318">
        <f>G57+G63</f>
        <v/>
      </c>
      <c r="H64" s="319">
        <f>G64/$G$64</f>
        <v/>
      </c>
      <c r="I64" s="322" t="n"/>
      <c r="J64" s="318">
        <f>J63+J57</f>
        <v/>
      </c>
      <c r="K64" s="313" t="n"/>
      <c r="L64" s="313" t="n"/>
    </row>
    <row r="65" ht="25.5" customHeight="1" s="314">
      <c r="A65" s="388" t="n"/>
      <c r="B65" s="388" t="n"/>
      <c r="C65" s="396" t="inlineStr">
        <is>
          <t>в том числе технологическое оборудование</t>
        </is>
      </c>
      <c r="D65" s="388" t="n"/>
      <c r="E65" s="328" t="n"/>
      <c r="F65" s="398" t="n"/>
      <c r="G65" s="318">
        <f>'Прил.6 Расчет ОБ'!G18</f>
        <v/>
      </c>
      <c r="H65" s="399" t="n"/>
      <c r="I65" s="322" t="n"/>
      <c r="J65" s="318">
        <f>J64</f>
        <v/>
      </c>
      <c r="K65" s="313" t="n"/>
      <c r="L65" s="313" t="n"/>
    </row>
    <row r="66" ht="14.25" customFormat="1" customHeight="1" s="313">
      <c r="A66" s="388" t="n"/>
      <c r="B66" s="377" t="inlineStr">
        <is>
          <t>Материалы</t>
        </is>
      </c>
      <c r="C66" s="455" t="n"/>
      <c r="D66" s="455" t="n"/>
      <c r="E66" s="455" t="n"/>
      <c r="F66" s="455" t="n"/>
      <c r="G66" s="455" t="n"/>
      <c r="H66" s="456" t="n"/>
      <c r="I66" s="312" t="n"/>
      <c r="J66" s="312" t="n"/>
    </row>
    <row r="67" ht="14.25" customFormat="1" customHeight="1" s="313">
      <c r="A67" s="389" t="n"/>
      <c r="B67" s="392" t="inlineStr">
        <is>
          <t>Основные материалы</t>
        </is>
      </c>
      <c r="C67" s="462" t="n"/>
      <c r="D67" s="462" t="n"/>
      <c r="E67" s="462" t="n"/>
      <c r="F67" s="462" t="n"/>
      <c r="G67" s="462" t="n"/>
      <c r="H67" s="463" t="n"/>
      <c r="I67" s="225" t="n"/>
      <c r="J67" s="225" t="n"/>
    </row>
    <row r="68" ht="25.5" customFormat="1" customHeight="1" s="313">
      <c r="A68" s="388" t="n">
        <v>41</v>
      </c>
      <c r="B68" s="273" t="inlineStr">
        <is>
          <t>20.1.01.02-0068</t>
        </is>
      </c>
      <c r="C68" s="396" t="inlineStr">
        <is>
          <t>Зажим аппаратный прессуемый: А4А-600-2</t>
        </is>
      </c>
      <c r="D68" s="388" t="inlineStr">
        <is>
          <t>100 шт</t>
        </is>
      </c>
      <c r="E68" s="328" t="n">
        <v>31</v>
      </c>
      <c r="F68" s="398" t="n">
        <v>7378</v>
      </c>
      <c r="G68" s="318">
        <f>ROUND(E68*F68,2)</f>
        <v/>
      </c>
      <c r="H68" s="319">
        <f>G68/$G$136</f>
        <v/>
      </c>
      <c r="I68" s="318">
        <f>ROUND(F68*Прил.10!$D$13,2)</f>
        <v/>
      </c>
      <c r="J68" s="318">
        <f>ROUND(I68*E68,2)</f>
        <v/>
      </c>
    </row>
    <row r="69" ht="14.25" customFormat="1" customHeight="1" s="313">
      <c r="A69" s="388" t="n">
        <v>42</v>
      </c>
      <c r="B69" s="286" t="inlineStr">
        <is>
          <t>22.2.02.07-0003</t>
        </is>
      </c>
      <c r="C69" s="396" t="inlineStr">
        <is>
          <t>Порталы металлические оцинкованные</t>
        </is>
      </c>
      <c r="D69" s="388" t="inlineStr">
        <is>
          <t>т</t>
        </is>
      </c>
      <c r="E69" s="328" t="n">
        <v>11.341</v>
      </c>
      <c r="F69" s="398" t="n">
        <v>12500</v>
      </c>
      <c r="G69" s="318">
        <f>ROUND(E69*F69,2)</f>
        <v/>
      </c>
      <c r="H69" s="319">
        <f>G69/$G$136</f>
        <v/>
      </c>
      <c r="I69" s="318">
        <f>ROUND(F69*Прил.10!$D$13,2)</f>
        <v/>
      </c>
      <c r="J69" s="318">
        <f>ROUND(I69*E69,2)</f>
        <v/>
      </c>
    </row>
    <row r="70" ht="25.5" customFormat="1" customHeight="1" s="313">
      <c r="A70" s="388" t="n">
        <v>43</v>
      </c>
      <c r="B70" s="273" t="inlineStr">
        <is>
          <t>05.1.05.16-0221</t>
        </is>
      </c>
      <c r="C70" s="396" t="inlineStr">
        <is>
          <t>Фундаменты сборные железобетонные ВЛ и ОРУ</t>
        </is>
      </c>
      <c r="D70" s="388" t="inlineStr">
        <is>
          <t>м3</t>
        </is>
      </c>
      <c r="E70" s="328" t="n">
        <v>42.4604</v>
      </c>
      <c r="F70" s="398" t="n">
        <v>1597.37</v>
      </c>
      <c r="G70" s="318">
        <f>ROUND(E70*F70,2)</f>
        <v/>
      </c>
      <c r="H70" s="319">
        <f>G70/$G$136</f>
        <v/>
      </c>
      <c r="I70" s="318">
        <f>ROUND(F70*Прил.10!$D$13,2)</f>
        <v/>
      </c>
      <c r="J70" s="318">
        <f>ROUND(I70*E70,2)</f>
        <v/>
      </c>
    </row>
    <row r="71" ht="25.5" customFormat="1" customHeight="1" s="313">
      <c r="A71" s="388" t="n">
        <v>44</v>
      </c>
      <c r="B71" s="273" t="inlineStr">
        <is>
          <t>21.2.01.02-0101</t>
        </is>
      </c>
      <c r="C71" s="396" t="inlineStr">
        <is>
          <t>Провод неизолированный для воздушных линий электропередачи АС 500/26</t>
        </is>
      </c>
      <c r="D71" s="388" t="inlineStr">
        <is>
          <t>т</t>
        </is>
      </c>
      <c r="E71" s="328" t="n">
        <v>0.741</v>
      </c>
      <c r="F71" s="398" t="n">
        <v>34240.97</v>
      </c>
      <c r="G71" s="318">
        <f>ROUND(E71*F71,2)</f>
        <v/>
      </c>
      <c r="H71" s="319">
        <f>G71/$G$136</f>
        <v/>
      </c>
      <c r="I71" s="318">
        <f>ROUND(F71*Прил.10!$D$13,2)</f>
        <v/>
      </c>
      <c r="J71" s="318">
        <f>ROUND(I71*E71,2)</f>
        <v/>
      </c>
    </row>
    <row r="72" ht="14.25" customFormat="1" customHeight="1" s="313">
      <c r="A72" s="388" t="n">
        <v>45</v>
      </c>
      <c r="B72" s="286" t="inlineStr">
        <is>
          <t>22.2.02.07-0041</t>
        </is>
      </c>
      <c r="C72" s="396" t="inlineStr">
        <is>
          <t>Ростверки стальные оцинкованные</t>
        </is>
      </c>
      <c r="D72" s="388" t="inlineStr">
        <is>
          <t>т</t>
        </is>
      </c>
      <c r="E72" s="328">
        <f>1.648+1.236</f>
        <v/>
      </c>
      <c r="F72" s="398" t="n">
        <v>8200</v>
      </c>
      <c r="G72" s="318">
        <f>ROUND(E72*F72,2)</f>
        <v/>
      </c>
      <c r="H72" s="319">
        <f>G72/$G$136</f>
        <v/>
      </c>
      <c r="I72" s="318">
        <f>ROUND(F72*Прил.10!$D$13,2)</f>
        <v/>
      </c>
      <c r="J72" s="318">
        <f>ROUND(I72*E72,2)</f>
        <v/>
      </c>
    </row>
    <row r="73" ht="14.25" customFormat="1" customHeight="1" s="313">
      <c r="A73" s="388" t="n">
        <v>46</v>
      </c>
      <c r="B73" s="273" t="inlineStr">
        <is>
          <t>22.2.01.03-0003</t>
        </is>
      </c>
      <c r="C73" s="396" t="inlineStr">
        <is>
          <t>Изолятор подвесной стеклянный ПСД-70Е</t>
        </is>
      </c>
      <c r="D73" s="388" t="inlineStr">
        <is>
          <t>шт</t>
        </is>
      </c>
      <c r="E73" s="328" t="n">
        <v>116</v>
      </c>
      <c r="F73" s="398" t="n">
        <v>169.25</v>
      </c>
      <c r="G73" s="318">
        <f>ROUND(E73*F73,2)</f>
        <v/>
      </c>
      <c r="H73" s="319">
        <f>G73/$G$136</f>
        <v/>
      </c>
      <c r="I73" s="318">
        <f>ROUND(F73*Прил.10!$D$13,2)</f>
        <v/>
      </c>
      <c r="J73" s="318">
        <f>ROUND(I73*E73,2)</f>
        <v/>
      </c>
    </row>
    <row r="74" ht="25.5" customFormat="1" customHeight="1" s="313">
      <c r="A74" s="388" t="n">
        <v>47</v>
      </c>
      <c r="B74" s="273" t="inlineStr">
        <is>
          <t>02.2.05.04-1567</t>
        </is>
      </c>
      <c r="C74" s="396" t="inlineStr">
        <is>
          <t>Щебень М 400, фракция 5(3)-10 мм, группа 2</t>
        </is>
      </c>
      <c r="D74" s="388" t="inlineStr">
        <is>
          <t>м3</t>
        </is>
      </c>
      <c r="E74" s="328" t="n">
        <v>128.57</v>
      </c>
      <c r="F74" s="398" t="n">
        <v>131.08</v>
      </c>
      <c r="G74" s="318">
        <f>ROUND(E74*F74,2)</f>
        <v/>
      </c>
      <c r="H74" s="319">
        <f>G74/$G$136</f>
        <v/>
      </c>
      <c r="I74" s="318">
        <f>ROUND(F74*Прил.10!$D$13,2)</f>
        <v/>
      </c>
      <c r="J74" s="318">
        <f>ROUND(I74*E74,2)</f>
        <v/>
      </c>
    </row>
    <row r="75" ht="38.25" customFormat="1" customHeight="1" s="313">
      <c r="A75" s="388" t="n">
        <v>48</v>
      </c>
      <c r="B75" s="273" t="inlineStr">
        <is>
          <t>04.3.02.09-0821</t>
        </is>
      </c>
      <c r="C75" s="396" t="inlineStr">
        <is>
          <t>Смесь сухая: гидроизоляционная проникающая капиллярная марка "Пенетрон"</t>
        </is>
      </c>
      <c r="D75" s="388" t="inlineStr">
        <is>
          <t>кг</t>
        </is>
      </c>
      <c r="E75" s="328" t="n">
        <v>159.2</v>
      </c>
      <c r="F75" s="398" t="n">
        <v>78.95</v>
      </c>
      <c r="G75" s="318">
        <f>ROUND(E75*F75,2)</f>
        <v/>
      </c>
      <c r="H75" s="319">
        <f>G75/$G$136</f>
        <v/>
      </c>
      <c r="I75" s="318">
        <f>ROUND(F75*Прил.10!$D$13,2)</f>
        <v/>
      </c>
      <c r="J75" s="318">
        <f>ROUND(I75*E75,2)</f>
        <v/>
      </c>
    </row>
    <row r="76" ht="14.25" customFormat="1" customHeight="1" s="313">
      <c r="A76" s="388" t="n"/>
      <c r="B76" s="226" t="n"/>
      <c r="C76" s="227" t="inlineStr">
        <is>
          <t>Итого основные материалы</t>
        </is>
      </c>
      <c r="D76" s="390" t="n"/>
      <c r="E76" s="334" t="n"/>
      <c r="F76" s="230" t="n"/>
      <c r="G76" s="230">
        <f>SUM(G68:G75)</f>
        <v/>
      </c>
      <c r="H76" s="319">
        <f>G76/$G$136</f>
        <v/>
      </c>
      <c r="I76" s="318" t="n"/>
      <c r="J76" s="230">
        <f>SUM(J68:J75)</f>
        <v/>
      </c>
    </row>
    <row r="77" hidden="1" outlineLevel="1" ht="14.25" customFormat="1" customHeight="1" s="313">
      <c r="A77" s="388" t="n">
        <v>50</v>
      </c>
      <c r="B77" s="336" t="inlineStr">
        <is>
          <t>Прайс из СД ОП</t>
        </is>
      </c>
      <c r="C77" s="396" t="inlineStr">
        <is>
          <t>Ростверки стальные оцинкованные Т-17</t>
        </is>
      </c>
      <c r="D77" s="388" t="inlineStr">
        <is>
          <t>т</t>
        </is>
      </c>
      <c r="E77" s="328" t="n">
        <v>1.193</v>
      </c>
      <c r="F77" s="398" t="n">
        <v>10097.38</v>
      </c>
      <c r="G77" s="318">
        <f>ROUND(E77*F77,2)</f>
        <v/>
      </c>
      <c r="H77" s="319">
        <f>G77/$G$136</f>
        <v/>
      </c>
      <c r="I77" s="318">
        <f>ROUND(F77*Прил.10!$D$13,2)</f>
        <v/>
      </c>
      <c r="J77" s="318">
        <f>ROUND(I77*E77,2)</f>
        <v/>
      </c>
    </row>
    <row r="78" hidden="1" outlineLevel="1" ht="14.25" customFormat="1" customHeight="1" s="313">
      <c r="A78" s="388" t="n">
        <v>51</v>
      </c>
      <c r="B78" s="336" t="inlineStr">
        <is>
          <t>Прайс из СД ОП</t>
        </is>
      </c>
      <c r="C78" s="396" t="inlineStr">
        <is>
          <t>Траверсы металлические оцинкованные</t>
        </is>
      </c>
      <c r="D78" s="388" t="inlineStr">
        <is>
          <t>т</t>
        </is>
      </c>
      <c r="E78" s="328" t="n">
        <v>1.112</v>
      </c>
      <c r="F78" s="398" t="n">
        <v>9858.58</v>
      </c>
      <c r="G78" s="318">
        <f>ROUND(E78*F78,2)</f>
        <v/>
      </c>
      <c r="H78" s="319">
        <f>G78/$G$136</f>
        <v/>
      </c>
      <c r="I78" s="318">
        <f>ROUND(F78*Прил.10!$D$13,2)</f>
        <v/>
      </c>
      <c r="J78" s="318">
        <f>ROUND(I78*E78,2)</f>
        <v/>
      </c>
    </row>
    <row r="79" hidden="1" outlineLevel="1" ht="14.25" customFormat="1" customHeight="1" s="313">
      <c r="A79" s="388" t="n">
        <v>52</v>
      </c>
      <c r="B79" s="273" t="inlineStr">
        <is>
          <t>02.1.01.01-0001</t>
        </is>
      </c>
      <c r="C79" s="396" t="inlineStr">
        <is>
          <t>Глина</t>
        </is>
      </c>
      <c r="D79" s="388" t="inlineStr">
        <is>
          <t>м3</t>
        </is>
      </c>
      <c r="E79" s="328" t="n">
        <v>105.69</v>
      </c>
      <c r="F79" s="398" t="n">
        <v>87.8</v>
      </c>
      <c r="G79" s="318">
        <f>ROUND(E79*F79,2)</f>
        <v/>
      </c>
      <c r="H79" s="319">
        <f>G79/$G$136</f>
        <v/>
      </c>
      <c r="I79" s="318">
        <f>ROUND(F79*Прил.10!$D$13,2)</f>
        <v/>
      </c>
      <c r="J79" s="318">
        <f>ROUND(I79*E79,2)</f>
        <v/>
      </c>
    </row>
    <row r="80" hidden="1" outlineLevel="1" ht="38.25" customFormat="1" customHeight="1" s="313">
      <c r="A80" s="388" t="n">
        <v>53</v>
      </c>
      <c r="B80" s="273" t="inlineStr">
        <is>
          <t>04.1.02.05-0044</t>
        </is>
      </c>
      <c r="C80" s="396" t="inlineStr">
        <is>
          <t>Смеси бетонные тяжелого бетона (БСТ), крупность заполнителя 20 мм, класс В20 (М250)</t>
        </is>
      </c>
      <c r="D80" s="388" t="inlineStr">
        <is>
          <t>м3</t>
        </is>
      </c>
      <c r="E80" s="328" t="n">
        <v>13.804</v>
      </c>
      <c r="F80" s="398" t="n">
        <v>667.83</v>
      </c>
      <c r="G80" s="318">
        <f>ROUND(E80*F80,2)</f>
        <v/>
      </c>
      <c r="H80" s="319">
        <f>G80/$G$136</f>
        <v/>
      </c>
      <c r="I80" s="318">
        <f>ROUND(F80*Прил.10!$D$13,2)</f>
        <v/>
      </c>
      <c r="J80" s="318">
        <f>ROUND(I80*E80,2)</f>
        <v/>
      </c>
    </row>
    <row r="81" hidden="1" outlineLevel="1" ht="14.25" customFormat="1" customHeight="1" s="313">
      <c r="A81" s="388" t="n">
        <v>54</v>
      </c>
      <c r="B81" s="273" t="inlineStr">
        <is>
          <t>20.5.04.04-0016</t>
        </is>
      </c>
      <c r="C81" s="396" t="inlineStr">
        <is>
          <t>Зажим натяжной НАС-600-1</t>
        </is>
      </c>
      <c r="D81" s="388" t="inlineStr">
        <is>
          <t>шт</t>
        </is>
      </c>
      <c r="E81" s="328" t="n">
        <v>25</v>
      </c>
      <c r="F81" s="398" t="n">
        <v>311.42</v>
      </c>
      <c r="G81" s="318">
        <f>ROUND(E81*F81,2)</f>
        <v/>
      </c>
      <c r="H81" s="319">
        <f>G81/$G$136</f>
        <v/>
      </c>
      <c r="I81" s="318">
        <f>ROUND(F81*Прил.10!$D$13,2)</f>
        <v/>
      </c>
      <c r="J81" s="318">
        <f>ROUND(I81*E81,2)</f>
        <v/>
      </c>
    </row>
    <row r="82" hidden="1" outlineLevel="1" ht="25.5" customFormat="1" customHeight="1" s="313">
      <c r="A82" s="388" t="n">
        <v>55</v>
      </c>
      <c r="B82" s="273" t="inlineStr">
        <is>
          <t>21.2.01.02-0089</t>
        </is>
      </c>
      <c r="C82" s="396" t="inlineStr">
        <is>
          <t>Провод неизолированный для воздушных линий электропередачи АС 120/19</t>
        </is>
      </c>
      <c r="D82" s="388" t="inlineStr">
        <is>
          <t>т</t>
        </is>
      </c>
      <c r="E82" s="328" t="n">
        <v>0.236</v>
      </c>
      <c r="F82" s="398" t="n">
        <v>32007.25</v>
      </c>
      <c r="G82" s="318">
        <f>ROUND(E82*F82,2)</f>
        <v/>
      </c>
      <c r="H82" s="319">
        <f>G82/$G$136</f>
        <v/>
      </c>
      <c r="I82" s="318">
        <f>ROUND(F82*Прил.10!$D$13,2)</f>
        <v/>
      </c>
      <c r="J82" s="318">
        <f>ROUND(I82*E82,2)</f>
        <v/>
      </c>
    </row>
    <row r="83" hidden="1" outlineLevel="1" ht="38.25" customFormat="1" customHeight="1" s="313">
      <c r="A83" s="388" t="n">
        <v>56</v>
      </c>
      <c r="B83" s="273" t="inlineStr">
        <is>
          <t>08.4.03.03-0032</t>
        </is>
      </c>
      <c r="C83" s="396" t="inlineStr">
        <is>
          <t>Сталь арматурная, горячекатаная, периодического профиля, класс А-III, диаметр 12 мм</t>
        </is>
      </c>
      <c r="D83" s="388" t="inlineStr">
        <is>
          <t>т</t>
        </is>
      </c>
      <c r="E83" s="328" t="n">
        <v>0.38</v>
      </c>
      <c r="F83" s="398" t="n">
        <v>7997.23</v>
      </c>
      <c r="G83" s="318">
        <f>ROUND(E83*F83,2)</f>
        <v/>
      </c>
      <c r="H83" s="319">
        <f>G83/$G$136</f>
        <v/>
      </c>
      <c r="I83" s="318">
        <f>ROUND(F83*Прил.10!$D$13,2)</f>
        <v/>
      </c>
      <c r="J83" s="318">
        <f>ROUND(I83*E83,2)</f>
        <v/>
      </c>
    </row>
    <row r="84" hidden="1" outlineLevel="1" ht="14.25" customFormat="1" customHeight="1" s="313">
      <c r="A84" s="388" t="n">
        <v>57</v>
      </c>
      <c r="B84" s="273" t="inlineStr">
        <is>
          <t>20.5.04.04-0001</t>
        </is>
      </c>
      <c r="C84" s="396" t="inlineStr">
        <is>
          <t>Зажим натяжной болтовый НБ-2-6</t>
        </is>
      </c>
      <c r="D84" s="388" t="inlineStr">
        <is>
          <t>шт</t>
        </is>
      </c>
      <c r="E84" s="328" t="n">
        <v>29</v>
      </c>
      <c r="F84" s="398" t="n">
        <v>89.44</v>
      </c>
      <c r="G84" s="318">
        <f>ROUND(E84*F84,2)</f>
        <v/>
      </c>
      <c r="H84" s="319">
        <f>G84/$G$136</f>
        <v/>
      </c>
      <c r="I84" s="318">
        <f>ROUND(F84*Прил.10!$D$13,2)</f>
        <v/>
      </c>
      <c r="J84" s="318">
        <f>ROUND(I84*E84,2)</f>
        <v/>
      </c>
    </row>
    <row r="85" hidden="1" outlineLevel="1" ht="14.25" customFormat="1" customHeight="1" s="313">
      <c r="A85" s="388" t="n">
        <v>58</v>
      </c>
      <c r="B85" s="273" t="inlineStr">
        <is>
          <t>01.7.11.07-0032</t>
        </is>
      </c>
      <c r="C85" s="396" t="inlineStr">
        <is>
          <t>Электроды сварочные Э42, диаметр 4 мм</t>
        </is>
      </c>
      <c r="D85" s="388" t="inlineStr">
        <is>
          <t>т</t>
        </is>
      </c>
      <c r="E85" s="328" t="n">
        <v>0.173988</v>
      </c>
      <c r="F85" s="398" t="n">
        <v>10315.01</v>
      </c>
      <c r="G85" s="318">
        <f>ROUND(E85*F85,2)</f>
        <v/>
      </c>
      <c r="H85" s="319">
        <f>G85/$G$136</f>
        <v/>
      </c>
      <c r="I85" s="318">
        <f>ROUND(F85*Прил.10!$D$13,2)</f>
        <v/>
      </c>
      <c r="J85" s="318">
        <f>ROUND(I85*E85,2)</f>
        <v/>
      </c>
    </row>
    <row r="86" hidden="1" outlineLevel="1" ht="38.25" customFormat="1" customHeight="1" s="313">
      <c r="A86" s="388" t="n">
        <v>59</v>
      </c>
      <c r="B86" s="273" t="inlineStr">
        <is>
          <t>04.1.02.05-0040</t>
        </is>
      </c>
      <c r="C86" s="396" t="inlineStr">
        <is>
          <t>Смеси бетонные тяжелого бетона (БСТ), крупность заполнителя 20 мм, класс В7,5 (М100)</t>
        </is>
      </c>
      <c r="D86" s="388" t="inlineStr">
        <is>
          <t>м3</t>
        </is>
      </c>
      <c r="E86" s="328" t="n">
        <v>2.856</v>
      </c>
      <c r="F86" s="398" t="n">
        <v>535.46</v>
      </c>
      <c r="G86" s="318">
        <f>ROUND(E86*F86,2)</f>
        <v/>
      </c>
      <c r="H86" s="319">
        <f>G86/$G$136</f>
        <v/>
      </c>
      <c r="I86" s="318">
        <f>ROUND(F86*Прил.10!$D$13,2)</f>
        <v/>
      </c>
      <c r="J86" s="318">
        <f>ROUND(I86*E86,2)</f>
        <v/>
      </c>
    </row>
    <row r="87" hidden="1" outlineLevel="1" ht="14.25" customFormat="1" customHeight="1" s="313">
      <c r="A87" s="388" t="n">
        <v>60</v>
      </c>
      <c r="B87" s="273" t="inlineStr">
        <is>
          <t>20.1.02.21-0043</t>
        </is>
      </c>
      <c r="C87" s="396" t="inlineStr">
        <is>
          <t>Узел крепления КГП-7-3</t>
        </is>
      </c>
      <c r="D87" s="388" t="inlineStr">
        <is>
          <t>шт</t>
        </is>
      </c>
      <c r="E87" s="328" t="n">
        <v>58</v>
      </c>
      <c r="F87" s="398" t="n">
        <v>25.55</v>
      </c>
      <c r="G87" s="318">
        <f>ROUND(E87*F87,2)</f>
        <v/>
      </c>
      <c r="H87" s="319">
        <f>G87/$G$136</f>
        <v/>
      </c>
      <c r="I87" s="318">
        <f>ROUND(F87*Прил.10!$D$13,2)</f>
        <v/>
      </c>
      <c r="J87" s="318">
        <f>ROUND(I87*E87,2)</f>
        <v/>
      </c>
    </row>
    <row r="88" hidden="1" outlineLevel="1" ht="14.25" customFormat="1" customHeight="1" s="313">
      <c r="A88" s="388" t="n">
        <v>61</v>
      </c>
      <c r="B88" s="273" t="inlineStr">
        <is>
          <t>01.7.15.10-0031</t>
        </is>
      </c>
      <c r="C88" s="396" t="inlineStr">
        <is>
          <t>Скобы СК-7-1А</t>
        </is>
      </c>
      <c r="D88" s="388" t="inlineStr">
        <is>
          <t>шт</t>
        </is>
      </c>
      <c r="E88" s="328" t="n">
        <v>49</v>
      </c>
      <c r="F88" s="398" t="n">
        <v>28.07</v>
      </c>
      <c r="G88" s="318">
        <f>ROUND(E88*F88,2)</f>
        <v/>
      </c>
      <c r="H88" s="319">
        <f>G88/$G$136</f>
        <v/>
      </c>
      <c r="I88" s="318">
        <f>ROUND(F88*Прил.10!$D$13,2)</f>
        <v/>
      </c>
      <c r="J88" s="318">
        <f>ROUND(I88*E88,2)</f>
        <v/>
      </c>
    </row>
    <row r="89" hidden="1" outlineLevel="1" ht="14.25" customFormat="1" customHeight="1" s="313">
      <c r="A89" s="388" t="n">
        <v>62</v>
      </c>
      <c r="B89" s="273" t="inlineStr">
        <is>
          <t>20.1.01.12-0001</t>
        </is>
      </c>
      <c r="C89" s="396" t="inlineStr">
        <is>
          <t>Зажим поддерживающий глухой 2ПГН-5-1</t>
        </is>
      </c>
      <c r="D89" s="388" t="inlineStr">
        <is>
          <t>шт</t>
        </is>
      </c>
      <c r="E89" s="328" t="n">
        <v>3</v>
      </c>
      <c r="F89" s="398" t="n">
        <v>436.39</v>
      </c>
      <c r="G89" s="318">
        <f>ROUND(E89*F89,2)</f>
        <v/>
      </c>
      <c r="H89" s="319">
        <f>G89/$G$136</f>
        <v/>
      </c>
      <c r="I89" s="318">
        <f>ROUND(F89*Прил.10!$D$13,2)</f>
        <v/>
      </c>
      <c r="J89" s="318">
        <f>ROUND(I89*E89,2)</f>
        <v/>
      </c>
    </row>
    <row r="90" hidden="1" outlineLevel="1" ht="38.25" customFormat="1" customHeight="1" s="313">
      <c r="A90" s="388" t="n">
        <v>63</v>
      </c>
      <c r="B90" s="273" t="inlineStr">
        <is>
          <t>20.5.03.03-0005</t>
        </is>
      </c>
      <c r="C90" s="396" t="inlineStr">
        <is>
          <t>Шины прессованные электротехнического назначения из алюминия, марка АДО, без термической обработки, размер 4х30 мм</t>
        </is>
      </c>
      <c r="D90" s="388" t="inlineStr">
        <is>
          <t>кг</t>
        </is>
      </c>
      <c r="E90" s="328" t="n">
        <v>19.4</v>
      </c>
      <c r="F90" s="398" t="n">
        <v>62.65</v>
      </c>
      <c r="G90" s="318">
        <f>ROUND(E90*F90,2)</f>
        <v/>
      </c>
      <c r="H90" s="319">
        <f>G90/$G$136</f>
        <v/>
      </c>
      <c r="I90" s="318">
        <f>ROUND(F90*Прил.10!$D$13,2)</f>
        <v/>
      </c>
      <c r="J90" s="318">
        <f>ROUND(I90*E90,2)</f>
        <v/>
      </c>
    </row>
    <row r="91" hidden="1" outlineLevel="1" ht="25.5" customFormat="1" customHeight="1" s="313">
      <c r="A91" s="388" t="n">
        <v>64</v>
      </c>
      <c r="B91" s="273" t="inlineStr">
        <is>
          <t>22.2.02.04-0044</t>
        </is>
      </c>
      <c r="C91" s="396" t="inlineStr">
        <is>
          <t>Звено промежуточное трехлапчатое ПРТ-7/21-2</t>
        </is>
      </c>
      <c r="D91" s="388" t="inlineStr">
        <is>
          <t>шт</t>
        </is>
      </c>
      <c r="E91" s="328" t="n">
        <v>25</v>
      </c>
      <c r="F91" s="398" t="n">
        <v>45.25</v>
      </c>
      <c r="G91" s="318">
        <f>ROUND(E91*F91,2)</f>
        <v/>
      </c>
      <c r="H91" s="319">
        <f>G91/$G$136</f>
        <v/>
      </c>
      <c r="I91" s="318">
        <f>ROUND(F91*Прил.10!$D$13,2)</f>
        <v/>
      </c>
      <c r="J91" s="318">
        <f>ROUND(I91*E91,2)</f>
        <v/>
      </c>
    </row>
    <row r="92" hidden="1" outlineLevel="1" ht="25.5" customFormat="1" customHeight="1" s="313">
      <c r="A92" s="388" t="n">
        <v>65</v>
      </c>
      <c r="B92" s="273" t="inlineStr">
        <is>
          <t>22.2.02.04-0041</t>
        </is>
      </c>
      <c r="C92" s="396" t="inlineStr">
        <is>
          <t>Звено промежуточное трехлапчатое ПРТ-7-1</t>
        </is>
      </c>
      <c r="D92" s="388" t="inlineStr">
        <is>
          <t>шт</t>
        </is>
      </c>
      <c r="E92" s="328" t="n">
        <v>29</v>
      </c>
      <c r="F92" s="398" t="n">
        <v>36.42</v>
      </c>
      <c r="G92" s="318">
        <f>ROUND(E92*F92,2)</f>
        <v/>
      </c>
      <c r="H92" s="319">
        <f>G92/$G$136</f>
        <v/>
      </c>
      <c r="I92" s="318">
        <f>ROUND(F92*Прил.10!$D$13,2)</f>
        <v/>
      </c>
      <c r="J92" s="318">
        <f>ROUND(I92*E92,2)</f>
        <v/>
      </c>
    </row>
    <row r="93" hidden="1" outlineLevel="1" ht="14.25" customFormat="1" customHeight="1" s="313">
      <c r="A93" s="388" t="n">
        <v>66</v>
      </c>
      <c r="B93" s="273" t="inlineStr">
        <is>
          <t>20.1.02.22-0004</t>
        </is>
      </c>
      <c r="C93" s="396" t="inlineStr">
        <is>
          <t>Ушко: однолапчатое укороченное У1К-7-16</t>
        </is>
      </c>
      <c r="D93" s="388" t="inlineStr">
        <is>
          <t>шт</t>
        </is>
      </c>
      <c r="E93" s="328" t="n">
        <v>29</v>
      </c>
      <c r="F93" s="398" t="n">
        <v>35.75</v>
      </c>
      <c r="G93" s="318">
        <f>ROUND(E93*F93,2)</f>
        <v/>
      </c>
      <c r="H93" s="319">
        <f>G93/$G$136</f>
        <v/>
      </c>
      <c r="I93" s="318">
        <f>ROUND(F93*Прил.10!$D$13,2)</f>
        <v/>
      </c>
      <c r="J93" s="318">
        <f>ROUND(I93*E93,2)</f>
        <v/>
      </c>
    </row>
    <row r="94" hidden="1" outlineLevel="1" ht="76.7" customFormat="1" customHeight="1" s="313">
      <c r="A94" s="388" t="n">
        <v>67</v>
      </c>
      <c r="B94" s="273" t="inlineStr">
        <is>
          <t>08.4.01.02-0013</t>
        </is>
      </c>
      <c r="C94" s="39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94" s="388" t="inlineStr">
        <is>
          <t>т</t>
        </is>
      </c>
      <c r="E94" s="328" t="n">
        <v>0.141</v>
      </c>
      <c r="F94" s="398" t="n">
        <v>6800</v>
      </c>
      <c r="G94" s="318">
        <f>ROUND(E94*F94,2)</f>
        <v/>
      </c>
      <c r="H94" s="319">
        <f>G94/$G$136</f>
        <v/>
      </c>
      <c r="I94" s="318">
        <f>ROUND(F94*Прил.10!$D$13,2)</f>
        <v/>
      </c>
      <c r="J94" s="318">
        <f>ROUND(I94*E94,2)</f>
        <v/>
      </c>
    </row>
    <row r="95" hidden="1" outlineLevel="1" ht="25.5" customFormat="1" customHeight="1" s="313">
      <c r="A95" s="388" t="n">
        <v>68</v>
      </c>
      <c r="B95" s="273" t="inlineStr">
        <is>
          <t>25.1.01.04-0031</t>
        </is>
      </c>
      <c r="C95" s="396" t="inlineStr">
        <is>
          <t>Шпалы непропитанные для железных дорог, тип I</t>
        </is>
      </c>
      <c r="D95" s="388" t="inlineStr">
        <is>
          <t>шт</t>
        </is>
      </c>
      <c r="E95" s="328" t="n">
        <v>2.8</v>
      </c>
      <c r="F95" s="398" t="n">
        <v>266.67</v>
      </c>
      <c r="G95" s="318">
        <f>ROUND(E95*F95,2)</f>
        <v/>
      </c>
      <c r="H95" s="319">
        <f>G95/$G$136</f>
        <v/>
      </c>
      <c r="I95" s="318">
        <f>ROUND(F95*Прил.10!$D$13,2)</f>
        <v/>
      </c>
      <c r="J95" s="318">
        <f>ROUND(I95*E95,2)</f>
        <v/>
      </c>
    </row>
    <row r="96" hidden="1" outlineLevel="1" ht="25.5" customFormat="1" customHeight="1" s="313">
      <c r="A96" s="388" t="n">
        <v>69</v>
      </c>
      <c r="B96" s="273" t="inlineStr">
        <is>
          <t>07.2.07.04-0007</t>
        </is>
      </c>
      <c r="C96" s="396" t="inlineStr">
        <is>
          <t>Конструкции стальные индивидуальные решетчатые сварные, масса до 0,1 т</t>
        </is>
      </c>
      <c r="D96" s="388" t="inlineStr">
        <is>
          <t>т</t>
        </is>
      </c>
      <c r="E96" s="328" t="n">
        <v>0.0648</v>
      </c>
      <c r="F96" s="398" t="n">
        <v>11500</v>
      </c>
      <c r="G96" s="318">
        <f>ROUND(E96*F96,2)</f>
        <v/>
      </c>
      <c r="H96" s="319">
        <f>G96/$G$136</f>
        <v/>
      </c>
      <c r="I96" s="318">
        <f>ROUND(F96*Прил.10!$D$13,2)</f>
        <v/>
      </c>
      <c r="J96" s="318">
        <f>ROUND(I96*E96,2)</f>
        <v/>
      </c>
    </row>
    <row r="97" hidden="1" outlineLevel="1" ht="25.5" customFormat="1" customHeight="1" s="313">
      <c r="A97" s="388" t="n">
        <v>70</v>
      </c>
      <c r="B97" s="336" t="inlineStr">
        <is>
          <t>Прайс из СД ОП</t>
        </is>
      </c>
      <c r="C97" s="396" t="inlineStr">
        <is>
          <t>Зажим поддерживающий глухой, тип ПГГ-30/12-20</t>
        </is>
      </c>
      <c r="D97" s="388" t="inlineStr">
        <is>
          <t>шт</t>
        </is>
      </c>
      <c r="E97" s="328" t="n">
        <v>15</v>
      </c>
      <c r="F97" s="398" t="n">
        <v>44.17</v>
      </c>
      <c r="G97" s="318">
        <f>ROUND(E97*F97,2)</f>
        <v/>
      </c>
      <c r="H97" s="319">
        <f>G97/$G$136</f>
        <v/>
      </c>
      <c r="I97" s="318">
        <f>ROUND(F97*Прил.10!$D$13,2)</f>
        <v/>
      </c>
      <c r="J97" s="318">
        <f>ROUND(I97*E97,2)</f>
        <v/>
      </c>
    </row>
    <row r="98" hidden="1" outlineLevel="1" ht="14.25" customFormat="1" customHeight="1" s="313">
      <c r="A98" s="388" t="n">
        <v>71</v>
      </c>
      <c r="B98" s="273" t="inlineStr">
        <is>
          <t>20.1.02.05-0008</t>
        </is>
      </c>
      <c r="C98" s="396" t="inlineStr">
        <is>
          <t>Коромысло: К2-7-1С</t>
        </is>
      </c>
      <c r="D98" s="388" t="inlineStr">
        <is>
          <t>шт</t>
        </is>
      </c>
      <c r="E98" s="328" t="n">
        <v>13</v>
      </c>
      <c r="F98" s="398" t="n">
        <v>48.16</v>
      </c>
      <c r="G98" s="318">
        <f>ROUND(E98*F98,2)</f>
        <v/>
      </c>
      <c r="H98" s="319">
        <f>G98/$G$136</f>
        <v/>
      </c>
      <c r="I98" s="318">
        <f>ROUND(F98*Прил.10!$D$13,2)</f>
        <v/>
      </c>
      <c r="J98" s="318">
        <f>ROUND(I98*E98,2)</f>
        <v/>
      </c>
    </row>
    <row r="99" hidden="1" outlineLevel="1" ht="14.25" customFormat="1" customHeight="1" s="313">
      <c r="A99" s="388" t="n">
        <v>72</v>
      </c>
      <c r="B99" s="273" t="inlineStr">
        <is>
          <t>20.1.02.22-0005</t>
        </is>
      </c>
      <c r="C99" s="396" t="inlineStr">
        <is>
          <t>Ушко: однолапчатое У1-7-16</t>
        </is>
      </c>
      <c r="D99" s="388" t="inlineStr">
        <is>
          <t>шт</t>
        </is>
      </c>
      <c r="E99" s="328" t="n">
        <v>15</v>
      </c>
      <c r="F99" s="398" t="n">
        <v>39.32</v>
      </c>
      <c r="G99" s="318">
        <f>ROUND(E99*F99,2)</f>
        <v/>
      </c>
      <c r="H99" s="319">
        <f>G99/$G$136</f>
        <v/>
      </c>
      <c r="I99" s="318">
        <f>ROUND(F99*Прил.10!$D$13,2)</f>
        <v/>
      </c>
      <c r="J99" s="318">
        <f>ROUND(I99*E99,2)</f>
        <v/>
      </c>
    </row>
    <row r="100" hidden="1" outlineLevel="1" ht="14.25" customFormat="1" customHeight="1" s="313">
      <c r="A100" s="388" t="n">
        <v>73</v>
      </c>
      <c r="B100" s="273" t="inlineStr">
        <is>
          <t>20.1.02.14-1022</t>
        </is>
      </c>
      <c r="C100" s="396" t="inlineStr">
        <is>
          <t>Серьга СРС-7-16</t>
        </is>
      </c>
      <c r="D100" s="388" t="inlineStr">
        <is>
          <t>шт</t>
        </is>
      </c>
      <c r="E100" s="328" t="n">
        <v>58</v>
      </c>
      <c r="F100" s="398" t="n">
        <v>10.03</v>
      </c>
      <c r="G100" s="318">
        <f>ROUND(E100*F100,2)</f>
        <v/>
      </c>
      <c r="H100" s="319">
        <f>G100/$G$136</f>
        <v/>
      </c>
      <c r="I100" s="318">
        <f>ROUND(F100*Прил.10!$D$13,2)</f>
        <v/>
      </c>
      <c r="J100" s="318">
        <f>ROUND(I100*E100,2)</f>
        <v/>
      </c>
    </row>
    <row r="101" hidden="1" outlineLevel="1" ht="25.5" customFormat="1" customHeight="1" s="313">
      <c r="A101" s="388" t="n">
        <v>74</v>
      </c>
      <c r="B101" s="273" t="inlineStr">
        <is>
          <t>01.7.15.03-0035</t>
        </is>
      </c>
      <c r="C101" s="396" t="inlineStr">
        <is>
          <t>Болты с гайками и шайбами оцинкованные, диаметр 20 мм</t>
        </is>
      </c>
      <c r="D101" s="388" t="inlineStr">
        <is>
          <t>кг</t>
        </is>
      </c>
      <c r="E101" s="328" t="n">
        <v>18.2</v>
      </c>
      <c r="F101" s="398" t="n">
        <v>24.97</v>
      </c>
      <c r="G101" s="318">
        <f>ROUND(E101*F101,2)</f>
        <v/>
      </c>
      <c r="H101" s="319">
        <f>G101/$G$136</f>
        <v/>
      </c>
      <c r="I101" s="318">
        <f>ROUND(F101*Прил.10!$D$13,2)</f>
        <v/>
      </c>
      <c r="J101" s="318">
        <f>ROUND(I101*E101,2)</f>
        <v/>
      </c>
    </row>
    <row r="102" hidden="1" outlineLevel="1" ht="14.25" customFormat="1" customHeight="1" s="313">
      <c r="A102" s="388" t="n">
        <v>75</v>
      </c>
      <c r="B102" s="273" t="inlineStr">
        <is>
          <t>20.1.02.22-0001</t>
        </is>
      </c>
      <c r="C102" s="396" t="inlineStr">
        <is>
          <t>Ушко: двухлапчатое укороченное У2К-7-16</t>
        </is>
      </c>
      <c r="D102" s="388" t="inlineStr">
        <is>
          <t>шт</t>
        </is>
      </c>
      <c r="E102" s="328" t="n">
        <v>13</v>
      </c>
      <c r="F102" s="398" t="n">
        <v>34.73</v>
      </c>
      <c r="G102" s="318">
        <f>ROUND(E102*F102,2)</f>
        <v/>
      </c>
      <c r="H102" s="319">
        <f>G102/$G$136</f>
        <v/>
      </c>
      <c r="I102" s="318">
        <f>ROUND(F102*Прил.10!$D$13,2)</f>
        <v/>
      </c>
      <c r="J102" s="318">
        <f>ROUND(I102*E102,2)</f>
        <v/>
      </c>
    </row>
    <row r="103" hidden="1" outlineLevel="1" ht="14.25" customFormat="1" customHeight="1" s="313">
      <c r="A103" s="388" t="n">
        <v>76</v>
      </c>
      <c r="B103" s="273" t="inlineStr">
        <is>
          <t>07.2.07.13-0171</t>
        </is>
      </c>
      <c r="C103" s="396" t="inlineStr">
        <is>
          <t>Подкладки металлические</t>
        </is>
      </c>
      <c r="D103" s="388" t="inlineStr">
        <is>
          <t>кг</t>
        </is>
      </c>
      <c r="E103" s="328" t="n">
        <v>30.5</v>
      </c>
      <c r="F103" s="398" t="n">
        <v>12.6</v>
      </c>
      <c r="G103" s="318">
        <f>ROUND(E103*F103,2)</f>
        <v/>
      </c>
      <c r="H103" s="319">
        <f>G103/$G$136</f>
        <v/>
      </c>
      <c r="I103" s="318">
        <f>ROUND(F103*Прил.10!$D$13,2)</f>
        <v/>
      </c>
      <c r="J103" s="318">
        <f>ROUND(I103*E103,2)</f>
        <v/>
      </c>
    </row>
    <row r="104" hidden="1" outlineLevel="1" ht="14.25" customFormat="1" customHeight="1" s="313">
      <c r="A104" s="388" t="n">
        <v>77</v>
      </c>
      <c r="B104" s="273" t="inlineStr">
        <is>
          <t>14.4.02.09-0001</t>
        </is>
      </c>
      <c r="C104" s="396" t="inlineStr">
        <is>
          <t>Краска</t>
        </is>
      </c>
      <c r="D104" s="388" t="inlineStr">
        <is>
          <t>кг</t>
        </is>
      </c>
      <c r="E104" s="328" t="n">
        <v>10.6325</v>
      </c>
      <c r="F104" s="398" t="n">
        <v>28.6</v>
      </c>
      <c r="G104" s="318">
        <f>ROUND(E104*F104,2)</f>
        <v/>
      </c>
      <c r="H104" s="319">
        <f>G104/$G$136</f>
        <v/>
      </c>
      <c r="I104" s="318">
        <f>ROUND(F104*Прил.10!$D$13,2)</f>
        <v/>
      </c>
      <c r="J104" s="318">
        <f>ROUND(I104*E104,2)</f>
        <v/>
      </c>
    </row>
    <row r="105" hidden="1" outlineLevel="1" ht="14.25" customFormat="1" customHeight="1" s="313">
      <c r="A105" s="388" t="n">
        <v>78</v>
      </c>
      <c r="B105" s="273" t="inlineStr">
        <is>
          <t>20.1.02.22-0013</t>
        </is>
      </c>
      <c r="C105" s="396" t="inlineStr">
        <is>
          <t>Ушко: специальное УС-7-16</t>
        </is>
      </c>
      <c r="D105" s="388" t="inlineStr">
        <is>
          <t>шт</t>
        </is>
      </c>
      <c r="E105" s="328" t="n">
        <v>3</v>
      </c>
      <c r="F105" s="398" t="n">
        <v>88.97</v>
      </c>
      <c r="G105" s="318">
        <f>ROUND(E105*F105,2)</f>
        <v/>
      </c>
      <c r="H105" s="319">
        <f>G105/$G$136</f>
        <v/>
      </c>
      <c r="I105" s="318">
        <f>ROUND(F105*Прил.10!$D$13,2)</f>
        <v/>
      </c>
      <c r="J105" s="318">
        <f>ROUND(I105*E105,2)</f>
        <v/>
      </c>
    </row>
    <row r="106" hidden="1" outlineLevel="1" ht="25.5" customFormat="1" customHeight="1" s="313">
      <c r="A106" s="388" t="n">
        <v>79</v>
      </c>
      <c r="B106" s="273" t="inlineStr">
        <is>
          <t>20.2.10.03-0002</t>
        </is>
      </c>
      <c r="C106" s="396" t="inlineStr">
        <is>
          <t>Наконечники кабельные медные для электротехнических установок</t>
        </is>
      </c>
      <c r="D106" s="388" t="inlineStr">
        <is>
          <t>100 шт</t>
        </is>
      </c>
      <c r="E106" s="328" t="n">
        <v>0.0612</v>
      </c>
      <c r="F106" s="398" t="n">
        <v>3986</v>
      </c>
      <c r="G106" s="318">
        <f>ROUND(E106*F106,2)</f>
        <v/>
      </c>
      <c r="H106" s="319">
        <f>G106/$G$136</f>
        <v/>
      </c>
      <c r="I106" s="318">
        <f>ROUND(F106*Прил.10!$D$13,2)</f>
        <v/>
      </c>
      <c r="J106" s="318">
        <f>ROUND(I106*E106,2)</f>
        <v/>
      </c>
    </row>
    <row r="107" hidden="1" outlineLevel="1" ht="25.5" customFormat="1" customHeight="1" s="313">
      <c r="A107" s="388" t="n">
        <v>80</v>
      </c>
      <c r="B107" s="273" t="inlineStr">
        <is>
          <t>08.4.01.01-0022</t>
        </is>
      </c>
      <c r="C107" s="396" t="inlineStr">
        <is>
          <t>Детали анкерные с резьбой из прямых или гнутых круглых стержней</t>
        </is>
      </c>
      <c r="D107" s="388" t="inlineStr">
        <is>
          <t>т</t>
        </is>
      </c>
      <c r="E107" s="328" t="n">
        <v>0.01616</v>
      </c>
      <c r="F107" s="398" t="n">
        <v>10100</v>
      </c>
      <c r="G107" s="318">
        <f>ROUND(E107*F107,2)</f>
        <v/>
      </c>
      <c r="H107" s="319">
        <f>G107/$G$136</f>
        <v/>
      </c>
      <c r="I107" s="318">
        <f>ROUND(F107*Прил.10!$D$13,2)</f>
        <v/>
      </c>
      <c r="J107" s="318">
        <f>ROUND(I107*E107,2)</f>
        <v/>
      </c>
    </row>
    <row r="108" hidden="1" outlineLevel="1" ht="25.5" customFormat="1" customHeight="1" s="313">
      <c r="A108" s="388" t="n">
        <v>81</v>
      </c>
      <c r="B108" s="273" t="inlineStr">
        <is>
          <t>999-9950</t>
        </is>
      </c>
      <c r="C108" s="396" t="inlineStr">
        <is>
          <t>Вспомогательные ненормируемые материалы</t>
        </is>
      </c>
      <c r="D108" s="388" t="inlineStr">
        <is>
          <t>руб</t>
        </is>
      </c>
      <c r="E108" s="328" t="n">
        <v>161.577</v>
      </c>
      <c r="F108" s="398" t="n">
        <v>1</v>
      </c>
      <c r="G108" s="318">
        <f>ROUND(E108*F108,2)</f>
        <v/>
      </c>
      <c r="H108" s="319">
        <f>G108/$G$136</f>
        <v/>
      </c>
      <c r="I108" s="318">
        <f>ROUND(F108*Прил.10!$D$13,2)</f>
        <v/>
      </c>
      <c r="J108" s="318">
        <f>ROUND(I108*E108,2)</f>
        <v/>
      </c>
    </row>
    <row r="109" hidden="1" outlineLevel="1" ht="14.25" customFormat="1" customHeight="1" s="313">
      <c r="A109" s="388" t="n">
        <v>82</v>
      </c>
      <c r="B109" s="273" t="inlineStr">
        <is>
          <t>01.7.15.03-0042</t>
        </is>
      </c>
      <c r="C109" s="396" t="inlineStr">
        <is>
          <t>Болты с гайками и шайбами строительные</t>
        </is>
      </c>
      <c r="D109" s="388" t="inlineStr">
        <is>
          <t>кг</t>
        </is>
      </c>
      <c r="E109" s="328" t="n">
        <v>17.0812</v>
      </c>
      <c r="F109" s="398" t="n">
        <v>9.039999999999999</v>
      </c>
      <c r="G109" s="318">
        <f>ROUND(E109*F109,2)</f>
        <v/>
      </c>
      <c r="H109" s="319">
        <f>G109/$G$136</f>
        <v/>
      </c>
      <c r="I109" s="318">
        <f>ROUND(F109*Прил.10!$D$13,2)</f>
        <v/>
      </c>
      <c r="J109" s="318">
        <f>ROUND(I109*E109,2)</f>
        <v/>
      </c>
    </row>
    <row r="110" hidden="1" outlineLevel="1" ht="25.5" customFormat="1" customHeight="1" s="313">
      <c r="A110" s="388" t="n">
        <v>83</v>
      </c>
      <c r="B110" s="273" t="inlineStr">
        <is>
          <t>01.3.01.06-0050</t>
        </is>
      </c>
      <c r="C110" s="396" t="inlineStr">
        <is>
          <t>Смазка универсальная тугоплавкая УТ (консталин жировой)</t>
        </is>
      </c>
      <c r="D110" s="388" t="inlineStr">
        <is>
          <t>т</t>
        </is>
      </c>
      <c r="E110" s="328" t="n">
        <v>0.00687</v>
      </c>
      <c r="F110" s="398" t="n">
        <v>17500</v>
      </c>
      <c r="G110" s="318">
        <f>ROUND(E110*F110,2)</f>
        <v/>
      </c>
      <c r="H110" s="319">
        <f>G110/$G$136</f>
        <v/>
      </c>
      <c r="I110" s="318">
        <f>ROUND(F110*Прил.10!$D$13,2)</f>
        <v/>
      </c>
      <c r="J110" s="318">
        <f>ROUND(I110*E110,2)</f>
        <v/>
      </c>
    </row>
    <row r="111" hidden="1" outlineLevel="1" ht="38.25" customFormat="1" customHeight="1" s="313">
      <c r="A111" s="388" t="n">
        <v>84</v>
      </c>
      <c r="B111" s="273" t="inlineStr">
        <is>
          <t>08.3.07.01-0076</t>
        </is>
      </c>
      <c r="C111" s="396" t="inlineStr">
        <is>
          <t>Прокат полосовой, горячекатаный, марка стали Ст3сп, ширина 50-200 мм, толщина 4-5 мм</t>
        </is>
      </c>
      <c r="D111" s="388" t="inlineStr">
        <is>
          <t>т</t>
        </is>
      </c>
      <c r="E111" s="328" t="n">
        <v>0.01922</v>
      </c>
      <c r="F111" s="398" t="n">
        <v>5000</v>
      </c>
      <c r="G111" s="318">
        <f>ROUND(E111*F111,2)</f>
        <v/>
      </c>
      <c r="H111" s="319">
        <f>G111/$G$136</f>
        <v/>
      </c>
      <c r="I111" s="318">
        <f>ROUND(F111*Прил.10!$D$13,2)</f>
        <v/>
      </c>
      <c r="J111" s="318">
        <f>ROUND(I111*E111,2)</f>
        <v/>
      </c>
    </row>
    <row r="112" hidden="1" outlineLevel="1" ht="25.5" customFormat="1" customHeight="1" s="313">
      <c r="A112" s="388" t="n">
        <v>85</v>
      </c>
      <c r="B112" s="273" t="inlineStr">
        <is>
          <t>01.7.11.07-0040</t>
        </is>
      </c>
      <c r="C112" s="396" t="inlineStr">
        <is>
          <t>Электроды сварочные Э50А, диаметр 4 мм</t>
        </is>
      </c>
      <c r="D112" s="388" t="inlineStr">
        <is>
          <t>т</t>
        </is>
      </c>
      <c r="E112" s="328" t="n">
        <v>0.0078</v>
      </c>
      <c r="F112" s="398" t="n">
        <v>11524</v>
      </c>
      <c r="G112" s="318">
        <f>ROUND(E112*F112,2)</f>
        <v/>
      </c>
      <c r="H112" s="319">
        <f>G112/$G$136</f>
        <v/>
      </c>
      <c r="I112" s="318">
        <f>ROUND(F112*Прил.10!$D$13,2)</f>
        <v/>
      </c>
      <c r="J112" s="318">
        <f>ROUND(I112*E112,2)</f>
        <v/>
      </c>
    </row>
    <row r="113" hidden="1" outlineLevel="1" ht="14.25" customFormat="1" customHeight="1" s="313">
      <c r="A113" s="388" t="n">
        <v>86</v>
      </c>
      <c r="B113" s="273" t="inlineStr">
        <is>
          <t>01.7.03.01-0001</t>
        </is>
      </c>
      <c r="C113" s="396" t="inlineStr">
        <is>
          <t>Вода</t>
        </is>
      </c>
      <c r="D113" s="388" t="inlineStr">
        <is>
          <t>м3</t>
        </is>
      </c>
      <c r="E113" s="328" t="n">
        <v>27.4514</v>
      </c>
      <c r="F113" s="398" t="n">
        <v>2.44</v>
      </c>
      <c r="G113" s="318">
        <f>ROUND(E113*F113,2)</f>
        <v/>
      </c>
      <c r="H113" s="319">
        <f>G113/$G$136</f>
        <v/>
      </c>
      <c r="I113" s="318">
        <f>ROUND(F113*Прил.10!$D$13,2)</f>
        <v/>
      </c>
      <c r="J113" s="318">
        <f>ROUND(I113*E113,2)</f>
        <v/>
      </c>
    </row>
    <row r="114" hidden="1" outlineLevel="1" ht="38.25" customFormat="1" customHeight="1" s="313">
      <c r="A114" s="388" t="n">
        <v>87</v>
      </c>
      <c r="B114" s="273" t="inlineStr">
        <is>
          <t>08.4.03.03-0030</t>
        </is>
      </c>
      <c r="C114" s="396" t="inlineStr">
        <is>
          <t>Сталь арматурная, горячекатаная, периодического профиля, класс А-III, диаметр 8 мм</t>
        </is>
      </c>
      <c r="D114" s="388" t="inlineStr">
        <is>
          <t>т</t>
        </is>
      </c>
      <c r="E114" s="328" t="n">
        <v>0.006</v>
      </c>
      <c r="F114" s="398" t="n">
        <v>8102.64</v>
      </c>
      <c r="G114" s="318">
        <f>ROUND(E114*F114,2)</f>
        <v/>
      </c>
      <c r="H114" s="319">
        <f>G114/$G$136</f>
        <v/>
      </c>
      <c r="I114" s="318">
        <f>ROUND(F114*Прил.10!$D$13,2)</f>
        <v/>
      </c>
      <c r="J114" s="318">
        <f>ROUND(I114*E114,2)</f>
        <v/>
      </c>
    </row>
    <row r="115" hidden="1" outlineLevel="1" ht="25.5" customFormat="1" customHeight="1" s="313">
      <c r="A115" s="388" t="n">
        <v>88</v>
      </c>
      <c r="B115" s="273" t="inlineStr">
        <is>
          <t>08.1.02.11-0023</t>
        </is>
      </c>
      <c r="C115" s="396" t="inlineStr">
        <is>
          <t>Поковки простые строительные (скобы, закрепы, хомуты), масса до 1,6 кг</t>
        </is>
      </c>
      <c r="D115" s="388" t="inlineStr">
        <is>
          <t>кг</t>
        </is>
      </c>
      <c r="E115" s="328" t="n">
        <v>2.8</v>
      </c>
      <c r="F115" s="398" t="n">
        <v>15.14</v>
      </c>
      <c r="G115" s="318">
        <f>ROUND(E115*F115,2)</f>
        <v/>
      </c>
      <c r="H115" s="319">
        <f>G115/$G$136</f>
        <v/>
      </c>
      <c r="I115" s="318">
        <f>ROUND(F115*Прил.10!$D$13,2)</f>
        <v/>
      </c>
      <c r="J115" s="318">
        <f>ROUND(I115*E115,2)</f>
        <v/>
      </c>
    </row>
    <row r="116" hidden="1" outlineLevel="1" ht="25.5" customFormat="1" customHeight="1" s="313">
      <c r="A116" s="388" t="n">
        <v>89</v>
      </c>
      <c r="B116" s="273" t="inlineStr">
        <is>
          <t>01.7.11.07-0034</t>
        </is>
      </c>
      <c r="C116" s="396" t="inlineStr">
        <is>
          <t>Электроды сварочные Э42А, диаметр 4 мм</t>
        </is>
      </c>
      <c r="D116" s="388" t="inlineStr">
        <is>
          <t>кг</t>
        </is>
      </c>
      <c r="E116" s="328" t="n">
        <v>3.775</v>
      </c>
      <c r="F116" s="398" t="n">
        <v>10.57</v>
      </c>
      <c r="G116" s="318">
        <f>ROUND(E116*F116,2)</f>
        <v/>
      </c>
      <c r="H116" s="319">
        <f>G116/$G$136</f>
        <v/>
      </c>
      <c r="I116" s="318">
        <f>ROUND(F116*Прил.10!$D$13,2)</f>
        <v/>
      </c>
      <c r="J116" s="318">
        <f>ROUND(I116*E116,2)</f>
        <v/>
      </c>
    </row>
    <row r="117" hidden="1" outlineLevel="1" ht="14.25" customFormat="1" customHeight="1" s="313">
      <c r="A117" s="388" t="n">
        <v>90</v>
      </c>
      <c r="B117" s="273" t="inlineStr">
        <is>
          <t>01.3.02.08-0001</t>
        </is>
      </c>
      <c r="C117" s="396" t="inlineStr">
        <is>
          <t>Кислород газообразный технический</t>
        </is>
      </c>
      <c r="D117" s="388" t="inlineStr">
        <is>
          <t>м3</t>
        </is>
      </c>
      <c r="E117" s="328" t="n">
        <v>5.9</v>
      </c>
      <c r="F117" s="398" t="n">
        <v>6.22</v>
      </c>
      <c r="G117" s="318">
        <f>ROUND(E117*F117,2)</f>
        <v/>
      </c>
      <c r="H117" s="319">
        <f>G117/$G$136</f>
        <v/>
      </c>
      <c r="I117" s="318">
        <f>ROUND(F117*Прил.10!$D$13,2)</f>
        <v/>
      </c>
      <c r="J117" s="318">
        <f>ROUND(I117*E117,2)</f>
        <v/>
      </c>
    </row>
    <row r="118" hidden="1" outlineLevel="1" ht="14.25" customFormat="1" customHeight="1" s="313">
      <c r="A118" s="388" t="n">
        <v>91</v>
      </c>
      <c r="B118" s="273" t="inlineStr">
        <is>
          <t>01.7.07.12-0024</t>
        </is>
      </c>
      <c r="C118" s="396" t="inlineStr">
        <is>
          <t>Пленка полиэтиленовая, толщина 0,15 мм</t>
        </is>
      </c>
      <c r="D118" s="388" t="inlineStr">
        <is>
          <t>м2</t>
        </is>
      </c>
      <c r="E118" s="328" t="n">
        <v>9.039999999999999</v>
      </c>
      <c r="F118" s="398" t="n">
        <v>3.62</v>
      </c>
      <c r="G118" s="318">
        <f>ROUND(E118*F118,2)</f>
        <v/>
      </c>
      <c r="H118" s="319">
        <f>G118/$G$136</f>
        <v/>
      </c>
      <c r="I118" s="318">
        <f>ROUND(F118*Прил.10!$D$13,2)</f>
        <v/>
      </c>
      <c r="J118" s="318">
        <f>ROUND(I118*E118,2)</f>
        <v/>
      </c>
    </row>
    <row r="119" hidden="1" outlineLevel="1" ht="14.25" customFormat="1" customHeight="1" s="313">
      <c r="A119" s="388" t="n">
        <v>92</v>
      </c>
      <c r="B119" s="273" t="inlineStr">
        <is>
          <t>20.1.02.23-0082</t>
        </is>
      </c>
      <c r="C119" s="396" t="inlineStr">
        <is>
          <t>Перемычки гибкие, тип ПГС-50</t>
        </is>
      </c>
      <c r="D119" s="388" t="inlineStr">
        <is>
          <t>10 шт</t>
        </is>
      </c>
      <c r="E119" s="328" t="n">
        <v>0.78</v>
      </c>
      <c r="F119" s="398" t="n">
        <v>39</v>
      </c>
      <c r="G119" s="318">
        <f>ROUND(E119*F119,2)</f>
        <v/>
      </c>
      <c r="H119" s="319">
        <f>G119/$G$136</f>
        <v/>
      </c>
      <c r="I119" s="318">
        <f>ROUND(F119*Прил.10!$D$13,2)</f>
        <v/>
      </c>
      <c r="J119" s="318">
        <f>ROUND(I119*E119,2)</f>
        <v/>
      </c>
    </row>
    <row r="120" hidden="1" outlineLevel="1" ht="14.25" customFormat="1" customHeight="1" s="313">
      <c r="A120" s="388" t="n">
        <v>93</v>
      </c>
      <c r="B120" s="273" t="inlineStr">
        <is>
          <t>01.3.02.09-0022</t>
        </is>
      </c>
      <c r="C120" s="396" t="inlineStr">
        <is>
          <t>Пропан-бутан смесь техническая</t>
        </is>
      </c>
      <c r="D120" s="388" t="inlineStr">
        <is>
          <t>кг</t>
        </is>
      </c>
      <c r="E120" s="328" t="n">
        <v>3.5</v>
      </c>
      <c r="F120" s="398" t="n">
        <v>6.09</v>
      </c>
      <c r="G120" s="318">
        <f>ROUND(E120*F120,2)</f>
        <v/>
      </c>
      <c r="H120" s="319">
        <f>G120/$G$136</f>
        <v/>
      </c>
      <c r="I120" s="318">
        <f>ROUND(F120*Прил.10!$D$13,2)</f>
        <v/>
      </c>
      <c r="J120" s="318">
        <f>ROUND(I120*E120,2)</f>
        <v/>
      </c>
    </row>
    <row r="121" hidden="1" outlineLevel="1" ht="14.25" customFormat="1" customHeight="1" s="313">
      <c r="A121" s="388" t="n">
        <v>94</v>
      </c>
      <c r="B121" s="273" t="inlineStr">
        <is>
          <t>11.2.13.04-0012</t>
        </is>
      </c>
      <c r="C121" s="396" t="inlineStr">
        <is>
          <t>Щиты из досок, толщина 40 мм</t>
        </is>
      </c>
      <c r="D121" s="388" t="inlineStr">
        <is>
          <t>м2</t>
        </is>
      </c>
      <c r="E121" s="328" t="n">
        <v>0.2448</v>
      </c>
      <c r="F121" s="398" t="n">
        <v>57.63</v>
      </c>
      <c r="G121" s="318">
        <f>ROUND(E121*F121,2)</f>
        <v/>
      </c>
      <c r="H121" s="319">
        <f>G121/$G$136</f>
        <v/>
      </c>
      <c r="I121" s="318">
        <f>ROUND(F121*Прил.10!$D$13,2)</f>
        <v/>
      </c>
      <c r="J121" s="318">
        <f>ROUND(I121*E121,2)</f>
        <v/>
      </c>
    </row>
    <row r="122" hidden="1" outlineLevel="1" ht="14.25" customFormat="1" customHeight="1" s="313">
      <c r="A122" s="388" t="n">
        <v>95</v>
      </c>
      <c r="B122" s="273" t="inlineStr">
        <is>
          <t>01.7.20.08-0031</t>
        </is>
      </c>
      <c r="C122" s="396" t="inlineStr">
        <is>
          <t>Бязь суровая</t>
        </is>
      </c>
      <c r="D122" s="388" t="inlineStr">
        <is>
          <t>10 м2</t>
        </is>
      </c>
      <c r="E122" s="328" t="n">
        <v>0.108</v>
      </c>
      <c r="F122" s="398" t="n">
        <v>79.09999999999999</v>
      </c>
      <c r="G122" s="318">
        <f>ROUND(E122*F122,2)</f>
        <v/>
      </c>
      <c r="H122" s="319">
        <f>G122/$G$136</f>
        <v/>
      </c>
      <c r="I122" s="318">
        <f>ROUND(F122*Прил.10!$D$13,2)</f>
        <v/>
      </c>
      <c r="J122" s="318">
        <f>ROUND(I122*E122,2)</f>
        <v/>
      </c>
    </row>
    <row r="123" hidden="1" outlineLevel="1" ht="25.5" customFormat="1" customHeight="1" s="313">
      <c r="A123" s="388" t="n">
        <v>96</v>
      </c>
      <c r="B123" s="273" t="inlineStr">
        <is>
          <t>08.3.03.06-0002</t>
        </is>
      </c>
      <c r="C123" s="396" t="inlineStr">
        <is>
          <t>Проволока горячекатаная в мотках, диаметр 6,3-6,5 мм</t>
        </is>
      </c>
      <c r="D123" s="388" t="inlineStr">
        <is>
          <t>т</t>
        </is>
      </c>
      <c r="E123" s="328" t="n">
        <v>0.000694</v>
      </c>
      <c r="F123" s="398" t="n">
        <v>4455.2</v>
      </c>
      <c r="G123" s="318">
        <f>ROUND(E123*F123,2)</f>
        <v/>
      </c>
      <c r="H123" s="319">
        <f>G123/$G$136</f>
        <v/>
      </c>
      <c r="I123" s="318">
        <f>ROUND(F123*Прил.10!$D$13,2)</f>
        <v/>
      </c>
      <c r="J123" s="318">
        <f>ROUND(I123*E123,2)</f>
        <v/>
      </c>
    </row>
    <row r="124" hidden="1" outlineLevel="1" ht="38.25" customFormat="1" customHeight="1" s="313">
      <c r="A124" s="388" t="n">
        <v>97</v>
      </c>
      <c r="B124" s="273" t="inlineStr">
        <is>
          <t>11.1.03.06-0095</t>
        </is>
      </c>
      <c r="C124" s="396" t="inlineStr">
        <is>
          <t>Доска обрезная, хвойных пород, ширина 75-150 мм, толщина 44 мм и более, длина 4-6,5 м, сорт III</t>
        </is>
      </c>
      <c r="D124" s="388" t="inlineStr">
        <is>
          <t>м3</t>
        </is>
      </c>
      <c r="E124" s="328" t="n">
        <v>0.00272</v>
      </c>
      <c r="F124" s="398" t="n">
        <v>1056</v>
      </c>
      <c r="G124" s="318">
        <f>ROUND(E124*F124,2)</f>
        <v/>
      </c>
      <c r="H124" s="319">
        <f>G124/$G$136</f>
        <v/>
      </c>
      <c r="I124" s="318">
        <f>ROUND(F124*Прил.10!$D$13,2)</f>
        <v/>
      </c>
      <c r="J124" s="318">
        <f>ROUND(I124*E124,2)</f>
        <v/>
      </c>
    </row>
    <row r="125" hidden="1" outlineLevel="1" ht="14.25" customFormat="1" customHeight="1" s="313">
      <c r="A125" s="388" t="n">
        <v>98</v>
      </c>
      <c r="B125" s="273" t="inlineStr">
        <is>
          <t>24.3.01.01-0001</t>
        </is>
      </c>
      <c r="C125" s="396" t="inlineStr">
        <is>
          <t>Трубка ХВТ</t>
        </is>
      </c>
      <c r="D125" s="388" t="inlineStr">
        <is>
          <t>кг</t>
        </is>
      </c>
      <c r="E125" s="328" t="n">
        <v>0.048</v>
      </c>
      <c r="F125" s="398" t="n">
        <v>41.7</v>
      </c>
      <c r="G125" s="318">
        <f>ROUND(E125*F125,2)</f>
        <v/>
      </c>
      <c r="H125" s="319">
        <f>G125/$G$136</f>
        <v/>
      </c>
      <c r="I125" s="318">
        <f>ROUND(F125*Прил.10!$D$13,2)</f>
        <v/>
      </c>
      <c r="J125" s="318">
        <f>ROUND(I125*E125,2)</f>
        <v/>
      </c>
    </row>
    <row r="126" hidden="1" outlineLevel="1" ht="14.25" customFormat="1" customHeight="1" s="313">
      <c r="A126" s="388" t="n">
        <v>99</v>
      </c>
      <c r="B126" s="273" t="inlineStr">
        <is>
          <t>01.7.06.07-0001</t>
        </is>
      </c>
      <c r="C126" s="396" t="inlineStr">
        <is>
          <t>Лента К226</t>
        </is>
      </c>
      <c r="D126" s="388" t="inlineStr">
        <is>
          <t>100 м</t>
        </is>
      </c>
      <c r="E126" s="328" t="n">
        <v>0.0144</v>
      </c>
      <c r="F126" s="398" t="n">
        <v>120</v>
      </c>
      <c r="G126" s="318">
        <f>ROUND(E126*F126,2)</f>
        <v/>
      </c>
      <c r="H126" s="319">
        <f>G126/$G$136</f>
        <v/>
      </c>
      <c r="I126" s="318">
        <f>ROUND(F126*Прил.10!$D$13,2)</f>
        <v/>
      </c>
      <c r="J126" s="318">
        <f>ROUND(I126*E126,2)</f>
        <v/>
      </c>
    </row>
    <row r="127" hidden="1" outlineLevel="1" ht="14.25" customFormat="1" customHeight="1" s="313">
      <c r="A127" s="388" t="n">
        <v>100</v>
      </c>
      <c r="B127" s="273" t="inlineStr">
        <is>
          <t>01.7.15.06-0111</t>
        </is>
      </c>
      <c r="C127" s="396" t="inlineStr">
        <is>
          <t>Гвозди строительные</t>
        </is>
      </c>
      <c r="D127" s="388" t="inlineStr">
        <is>
          <t>т</t>
        </is>
      </c>
      <c r="E127" s="328" t="n">
        <v>0.000136</v>
      </c>
      <c r="F127" s="398" t="n">
        <v>11978</v>
      </c>
      <c r="G127" s="318">
        <f>ROUND(E127*F127,2)</f>
        <v/>
      </c>
      <c r="H127" s="319">
        <f>G127/$G$136</f>
        <v/>
      </c>
      <c r="I127" s="318">
        <f>ROUND(F127*Прил.10!$D$13,2)</f>
        <v/>
      </c>
      <c r="J127" s="318">
        <f>ROUND(I127*E127,2)</f>
        <v/>
      </c>
    </row>
    <row r="128" hidden="1" outlineLevel="1" ht="14.25" customFormat="1" customHeight="1" s="313">
      <c r="A128" s="388" t="n">
        <v>101</v>
      </c>
      <c r="B128" s="273" t="inlineStr">
        <is>
          <t>01.3.02.02-0001</t>
        </is>
      </c>
      <c r="C128" s="396" t="inlineStr">
        <is>
          <t>Аргон газообразный, сорт I</t>
        </is>
      </c>
      <c r="D128" s="388" t="inlineStr">
        <is>
          <t>м3</t>
        </is>
      </c>
      <c r="E128" s="328" t="n">
        <v>0.0825</v>
      </c>
      <c r="F128" s="398" t="n">
        <v>17.86</v>
      </c>
      <c r="G128" s="318">
        <f>ROUND(E128*F128,2)</f>
        <v/>
      </c>
      <c r="H128" s="319">
        <f>G128/$G$136</f>
        <v/>
      </c>
      <c r="I128" s="318">
        <f>ROUND(F128*Прил.10!$D$13,2)</f>
        <v/>
      </c>
      <c r="J128" s="318">
        <f>ROUND(I128*E128,2)</f>
        <v/>
      </c>
    </row>
    <row r="129" hidden="1" outlineLevel="1" ht="14.25" customFormat="1" customHeight="1" s="313">
      <c r="A129" s="388" t="n">
        <v>102</v>
      </c>
      <c r="B129" s="273" t="inlineStr">
        <is>
          <t>01.7.15.11-0061</t>
        </is>
      </c>
      <c r="C129" s="396" t="inlineStr">
        <is>
          <t>Шайбы пружинные</t>
        </is>
      </c>
      <c r="D129" s="388" t="inlineStr">
        <is>
          <t>т</t>
        </is>
      </c>
      <c r="E129" s="328" t="n">
        <v>4.2e-05</v>
      </c>
      <c r="F129" s="398" t="n">
        <v>31600</v>
      </c>
      <c r="G129" s="318">
        <f>ROUND(E129*F129,2)</f>
        <v/>
      </c>
      <c r="H129" s="319">
        <f>G129/$G$136</f>
        <v/>
      </c>
      <c r="I129" s="318">
        <f>ROUND(F129*Прил.10!$D$13,2)</f>
        <v/>
      </c>
      <c r="J129" s="318">
        <f>ROUND(I129*E129,2)</f>
        <v/>
      </c>
    </row>
    <row r="130" hidden="1" outlineLevel="1" ht="51" customFormat="1" customHeight="1" s="313">
      <c r="A130" s="388" t="n">
        <v>103</v>
      </c>
      <c r="B130" s="273" t="inlineStr">
        <is>
          <t>10.1.02.04-0009</t>
        </is>
      </c>
      <c r="C130" s="39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130" s="388" t="inlineStr">
        <is>
          <t>т</t>
        </is>
      </c>
      <c r="E130" s="328" t="n">
        <v>2e-05</v>
      </c>
      <c r="F130" s="398" t="n">
        <v>55960.01</v>
      </c>
      <c r="G130" s="318">
        <f>ROUND(E130*F130,2)</f>
        <v/>
      </c>
      <c r="H130" s="319">
        <f>G130/$G$136</f>
        <v/>
      </c>
      <c r="I130" s="318">
        <f>ROUND(F130*Прил.10!$D$13,2)</f>
        <v/>
      </c>
      <c r="J130" s="318">
        <f>ROUND(I130*E130,2)</f>
        <v/>
      </c>
    </row>
    <row r="131" hidden="1" outlineLevel="1" ht="25.5" customFormat="1" customHeight="1" s="313">
      <c r="A131" s="388" t="n">
        <v>104</v>
      </c>
      <c r="B131" s="273" t="inlineStr">
        <is>
          <t>10.2.02.10-0013</t>
        </is>
      </c>
      <c r="C131" s="396" t="inlineStr">
        <is>
          <t>Прутки медные, круглые, марка М3, диаметр 20 мм</t>
        </is>
      </c>
      <c r="D131" s="388" t="inlineStr">
        <is>
          <t>т</t>
        </is>
      </c>
      <c r="E131" s="328" t="n">
        <v>9e-06</v>
      </c>
      <c r="F131" s="398" t="n">
        <v>71640</v>
      </c>
      <c r="G131" s="318">
        <f>ROUND(E131*F131,2)</f>
        <v/>
      </c>
      <c r="H131" s="319">
        <f>G131/$G$136</f>
        <v/>
      </c>
      <c r="I131" s="318">
        <f>ROUND(F131*Прил.10!$D$13,2)</f>
        <v/>
      </c>
      <c r="J131" s="318">
        <f>ROUND(I131*E131,2)</f>
        <v/>
      </c>
    </row>
    <row r="132" hidden="1" outlineLevel="1" ht="25.5" customFormat="1" customHeight="1" s="313">
      <c r="A132" s="388" t="n">
        <v>105</v>
      </c>
      <c r="B132" s="273" t="inlineStr">
        <is>
          <t>03.1.02.03-0011</t>
        </is>
      </c>
      <c r="C132" s="396" t="inlineStr">
        <is>
          <t>Известь строительная негашеная комовая, сорт I</t>
        </is>
      </c>
      <c r="D132" s="388" t="inlineStr">
        <is>
          <t>т</t>
        </is>
      </c>
      <c r="E132" s="328" t="n">
        <v>0.00068</v>
      </c>
      <c r="F132" s="398" t="n">
        <v>734.5</v>
      </c>
      <c r="G132" s="318">
        <f>ROUND(E132*F132,2)</f>
        <v/>
      </c>
      <c r="H132" s="319">
        <f>G132/$G$136</f>
        <v/>
      </c>
      <c r="I132" s="318">
        <f>ROUND(F132*Прил.10!$D$13,2)</f>
        <v/>
      </c>
      <c r="J132" s="318">
        <f>ROUND(I132*E132,2)</f>
        <v/>
      </c>
    </row>
    <row r="133" hidden="1" outlineLevel="1" ht="38.25" customFormat="1" customHeight="1" s="313">
      <c r="A133" s="388" t="n">
        <v>106</v>
      </c>
      <c r="B133" s="273" t="inlineStr">
        <is>
          <t>02.2.05.04-1777</t>
        </is>
      </c>
      <c r="C133" s="396" t="inlineStr">
        <is>
          <t>Щебень из природного камня для строительных работ марка: 800, фракция 20-40 мм</t>
        </is>
      </c>
      <c r="D133" s="388" t="inlineStr">
        <is>
          <t>м3</t>
        </is>
      </c>
      <c r="E133" s="328" t="n">
        <v>0.00228</v>
      </c>
      <c r="F133" s="398" t="n">
        <v>108.4</v>
      </c>
      <c r="G133" s="318">
        <f>ROUND(E133*F133,2)</f>
        <v/>
      </c>
      <c r="H133" s="319">
        <f>G133/$G$136</f>
        <v/>
      </c>
      <c r="I133" s="318">
        <f>ROUND(F133*Прил.10!$D$13,2)</f>
        <v/>
      </c>
      <c r="J133" s="318">
        <f>ROUND(I133*E133,2)</f>
        <v/>
      </c>
    </row>
    <row r="134" hidden="1" outlineLevel="1" ht="25.5" customFormat="1" customHeight="1" s="313">
      <c r="A134" s="388" t="n">
        <v>107</v>
      </c>
      <c r="B134" s="273" t="inlineStr">
        <is>
          <t>04.3.02.09-0801</t>
        </is>
      </c>
      <c r="C134" s="396" t="inlineStr">
        <is>
          <t>Смеси сухие гидроизоляционные обмазочные эластичные</t>
        </is>
      </c>
      <c r="D134" s="388" t="inlineStr">
        <is>
          <t>кг</t>
        </is>
      </c>
      <c r="E134" s="328" t="n">
        <v>0.00016</v>
      </c>
      <c r="F134" s="398" t="n">
        <v>37.22</v>
      </c>
      <c r="G134" s="318">
        <f>ROUND(E134*F134,2)</f>
        <v/>
      </c>
      <c r="H134" s="319">
        <f>G134/$G$136</f>
        <v/>
      </c>
      <c r="I134" s="318">
        <f>ROUND(F134*Прил.10!$D$13,2)</f>
        <v/>
      </c>
      <c r="J134" s="318">
        <f>ROUND(I134*E134,2)</f>
        <v/>
      </c>
    </row>
    <row r="135" collapsed="1" ht="14.25" customFormat="1" customHeight="1" s="313">
      <c r="A135" s="388" t="n"/>
      <c r="B135" s="388" t="n"/>
      <c r="C135" s="396" t="inlineStr">
        <is>
          <t>Итого прочие материалы</t>
        </is>
      </c>
      <c r="D135" s="388" t="n"/>
      <c r="E135" s="328" t="n"/>
      <c r="F135" s="398" t="n"/>
      <c r="G135" s="318">
        <f>SUM(G77:G134)</f>
        <v/>
      </c>
      <c r="H135" s="319">
        <f>G135/$G$136</f>
        <v/>
      </c>
      <c r="I135" s="318" t="n"/>
      <c r="J135" s="318">
        <f>SUM(J77:J134)</f>
        <v/>
      </c>
    </row>
    <row r="136" ht="14.25" customFormat="1" customHeight="1" s="313">
      <c r="A136" s="388" t="n"/>
      <c r="B136" s="388" t="n"/>
      <c r="C136" s="377" t="inlineStr">
        <is>
          <t>Итого по разделу «Материалы»</t>
        </is>
      </c>
      <c r="D136" s="388" t="n"/>
      <c r="E136" s="397" t="n"/>
      <c r="F136" s="398" t="n"/>
      <c r="G136" s="318">
        <f>G76+G135</f>
        <v/>
      </c>
      <c r="H136" s="399">
        <f>G136/$G$136</f>
        <v/>
      </c>
      <c r="I136" s="318" t="n"/>
      <c r="J136" s="318">
        <f>J76+J135</f>
        <v/>
      </c>
    </row>
    <row r="137" ht="14.25" customFormat="1" customHeight="1" s="313">
      <c r="A137" s="388" t="n"/>
      <c r="B137" s="388" t="n"/>
      <c r="C137" s="396" t="inlineStr">
        <is>
          <t>ИТОГО ПО РМ</t>
        </is>
      </c>
      <c r="D137" s="388" t="n"/>
      <c r="E137" s="397" t="n"/>
      <c r="F137" s="398" t="n"/>
      <c r="G137" s="318">
        <f>G14+G53+G136</f>
        <v/>
      </c>
      <c r="H137" s="399" t="n"/>
      <c r="I137" s="318" t="n"/>
      <c r="J137" s="318">
        <f>J14+J53+J136</f>
        <v/>
      </c>
    </row>
    <row r="138" ht="14.25" customFormat="1" customHeight="1" s="313">
      <c r="A138" s="388" t="n"/>
      <c r="B138" s="388" t="n"/>
      <c r="C138" s="396" t="inlineStr">
        <is>
          <t>Накладные расходы</t>
        </is>
      </c>
      <c r="D138" s="212">
        <f>ROUND(G138/(G$16+$G$14),2)</f>
        <v/>
      </c>
      <c r="E138" s="397" t="n"/>
      <c r="F138" s="398" t="n"/>
      <c r="G138" s="318" t="n">
        <v>33451.06</v>
      </c>
      <c r="H138" s="399" t="n"/>
      <c r="I138" s="318" t="n"/>
      <c r="J138" s="318">
        <f>ROUND(D138*(J14+J16),2)</f>
        <v/>
      </c>
    </row>
    <row r="139" ht="14.25" customFormat="1" customHeight="1" s="313">
      <c r="A139" s="388" t="n"/>
      <c r="B139" s="388" t="n"/>
      <c r="C139" s="396" t="inlineStr">
        <is>
          <t>Сметная прибыль</t>
        </is>
      </c>
      <c r="D139" s="212">
        <f>ROUND(G139/(G$14+G$16),2)</f>
        <v/>
      </c>
      <c r="E139" s="397" t="n"/>
      <c r="F139" s="398" t="n"/>
      <c r="G139" s="318" t="n">
        <v>20527.48</v>
      </c>
      <c r="H139" s="399" t="n"/>
      <c r="I139" s="318" t="n"/>
      <c r="J139" s="318">
        <f>ROUND(D139*(J14+J16),2)</f>
        <v/>
      </c>
    </row>
    <row r="140" ht="14.25" customFormat="1" customHeight="1" s="313">
      <c r="A140" s="388" t="n"/>
      <c r="B140" s="388" t="n"/>
      <c r="C140" s="396" t="inlineStr">
        <is>
          <t>Итого СМР (с НР и СП)</t>
        </is>
      </c>
      <c r="D140" s="388" t="n"/>
      <c r="E140" s="397" t="n"/>
      <c r="F140" s="398" t="n"/>
      <c r="G140" s="318">
        <f>G14+G53+G136+G138+G139</f>
        <v/>
      </c>
      <c r="H140" s="399" t="n"/>
      <c r="I140" s="318" t="n"/>
      <c r="J140" s="318">
        <f>J14+J53+J136+J138+J139</f>
        <v/>
      </c>
    </row>
    <row r="141" ht="14.25" customFormat="1" customHeight="1" s="313">
      <c r="A141" s="388" t="n"/>
      <c r="B141" s="388" t="n"/>
      <c r="C141" s="396" t="inlineStr">
        <is>
          <t>ВСЕГО СМР + ОБОРУДОВАНИЕ</t>
        </is>
      </c>
      <c r="D141" s="388" t="n"/>
      <c r="E141" s="397" t="n"/>
      <c r="F141" s="398" t="n"/>
      <c r="G141" s="318">
        <f>G140+G64</f>
        <v/>
      </c>
      <c r="H141" s="399" t="n"/>
      <c r="I141" s="318" t="n"/>
      <c r="J141" s="318">
        <f>J140+J64</f>
        <v/>
      </c>
    </row>
    <row r="142" ht="34.5" customFormat="1" customHeight="1" s="313">
      <c r="A142" s="388" t="n"/>
      <c r="B142" s="388" t="n"/>
      <c r="C142" s="396" t="inlineStr">
        <is>
          <t>ИТОГО ПОКАЗАТЕЛЬ НА ЕД. ИЗМ.</t>
        </is>
      </c>
      <c r="D142" s="388" t="inlineStr">
        <is>
          <t>1 ед.</t>
        </is>
      </c>
      <c r="E142" s="397" t="n">
        <v>1</v>
      </c>
      <c r="F142" s="398" t="n"/>
      <c r="G142" s="318">
        <f>G141/E142</f>
        <v/>
      </c>
      <c r="H142" s="399" t="n"/>
      <c r="I142" s="318" t="n"/>
      <c r="J142" s="318">
        <f>J141/E142</f>
        <v/>
      </c>
    </row>
    <row r="144" ht="14.25" customFormat="1" customHeight="1" s="313">
      <c r="A144" s="302" t="inlineStr">
        <is>
          <t>Составил ______________________    Д.Ю. Нефедова</t>
        </is>
      </c>
      <c r="E144" s="285" t="n"/>
    </row>
    <row r="145" ht="14.25" customFormat="1" customHeight="1" s="313">
      <c r="A145" s="310" t="inlineStr">
        <is>
          <t xml:space="preserve">                         (подпись, инициалы, фамилия)</t>
        </is>
      </c>
      <c r="E145" s="285" t="n"/>
    </row>
    <row r="146" ht="14.25" customFormat="1" customHeight="1" s="313">
      <c r="A146" s="302" t="n"/>
      <c r="E146" s="285" t="n"/>
    </row>
    <row r="147" ht="14.25" customFormat="1" customHeight="1" s="313">
      <c r="A147" s="302" t="inlineStr">
        <is>
          <t>Проверил ______________________        А.В. Костянецкая</t>
        </is>
      </c>
      <c r="E147" s="285" t="n"/>
    </row>
    <row r="148" ht="14.25" customFormat="1" customHeight="1" s="313">
      <c r="A148" s="310" t="inlineStr">
        <is>
          <t xml:space="preserve">                        (подпись, инициалы, фамилия)</t>
        </is>
      </c>
      <c r="E148" s="285" t="n"/>
    </row>
  </sheetData>
  <mergeCells count="21">
    <mergeCell ref="H9:H10"/>
    <mergeCell ref="B55:H55"/>
    <mergeCell ref="A4:J4"/>
    <mergeCell ref="B15:H15"/>
    <mergeCell ref="H2:J2"/>
    <mergeCell ref="C9:C10"/>
    <mergeCell ref="E9:E10"/>
    <mergeCell ref="A7:H7"/>
    <mergeCell ref="B54:H54"/>
    <mergeCell ref="B66:H66"/>
    <mergeCell ref="B9:B10"/>
    <mergeCell ref="D9:D10"/>
    <mergeCell ref="B18:H18"/>
    <mergeCell ref="B12:H12"/>
    <mergeCell ref="D6:J6"/>
    <mergeCell ref="A8:H8"/>
    <mergeCell ref="B67:H67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5"/>
  <sheetViews>
    <sheetView view="pageBreakPreview" topLeftCell="A16" workbookViewId="0">
      <selection activeCell="E26" sqref="E26:F26"/>
    </sheetView>
  </sheetViews>
  <sheetFormatPr baseColWidth="8" defaultRowHeight="15"/>
  <cols>
    <col width="5.7109375" customWidth="1" style="314" min="1" max="1"/>
    <col width="17.7109375" customWidth="1" style="314" min="2" max="2"/>
    <col width="39.140625" customWidth="1" style="314" min="3" max="3"/>
    <col width="10.7109375" customWidth="1" style="314" min="4" max="4"/>
    <col width="13.85546875" customWidth="1" style="314" min="5" max="5"/>
    <col width="13.28515625" customWidth="1" style="314" min="6" max="6"/>
    <col width="14.140625" customWidth="1" style="314" min="7" max="7"/>
  </cols>
  <sheetData>
    <row r="1">
      <c r="A1" s="404" t="inlineStr">
        <is>
          <t>Приложение №6</t>
        </is>
      </c>
    </row>
    <row r="2" ht="21.75" customHeight="1" s="314">
      <c r="A2" s="404" t="n"/>
      <c r="B2" s="404" t="n"/>
      <c r="C2" s="404" t="n"/>
      <c r="D2" s="404" t="n"/>
      <c r="E2" s="404" t="n"/>
      <c r="F2" s="404" t="n"/>
      <c r="G2" s="404" t="n"/>
    </row>
    <row r="3">
      <c r="A3" s="362" t="inlineStr">
        <is>
          <t>Расчет стоимости оборудования</t>
        </is>
      </c>
    </row>
    <row r="4" ht="25.5" customHeight="1" s="314">
      <c r="A4" s="365" t="inlineStr">
        <is>
          <t>Наименование разрабатываемого показателя УНЦ — УПГ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.2" customHeight="1" s="314">
      <c r="A6" s="409" t="inlineStr">
        <is>
          <t>№ пп.</t>
        </is>
      </c>
      <c r="B6" s="409" t="inlineStr">
        <is>
          <t>Код ресурса</t>
        </is>
      </c>
      <c r="C6" s="409" t="inlineStr">
        <is>
          <t>Наименование</t>
        </is>
      </c>
      <c r="D6" s="409" t="inlineStr">
        <is>
          <t>Ед. изм.</t>
        </is>
      </c>
      <c r="E6" s="388" t="inlineStr">
        <is>
          <t>Кол-во единиц по проектным данным</t>
        </is>
      </c>
      <c r="F6" s="409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88" t="inlineStr">
        <is>
          <t>на ед. изм.</t>
        </is>
      </c>
      <c r="G7" s="388" t="inlineStr">
        <is>
          <t>общая</t>
        </is>
      </c>
    </row>
    <row r="8">
      <c r="A8" s="388" t="n">
        <v>1</v>
      </c>
      <c r="B8" s="388" t="n">
        <v>2</v>
      </c>
      <c r="C8" s="388" t="n">
        <v>3</v>
      </c>
      <c r="D8" s="388" t="n">
        <v>4</v>
      </c>
      <c r="E8" s="388" t="n">
        <v>5</v>
      </c>
      <c r="F8" s="388" t="n">
        <v>6</v>
      </c>
      <c r="G8" s="388" t="n">
        <v>7</v>
      </c>
    </row>
    <row r="9" ht="15" customHeight="1" s="314">
      <c r="A9" s="327" t="n"/>
      <c r="B9" s="396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14">
      <c r="A10" s="388" t="n"/>
      <c r="B10" s="377" t="n"/>
      <c r="C10" s="396" t="inlineStr">
        <is>
          <t>ИТОГО ИНЖЕНЕРНОЕ ОБОРУДОВАНИЕ</t>
        </is>
      </c>
      <c r="D10" s="377" t="n"/>
      <c r="E10" s="143" t="n"/>
      <c r="F10" s="398" t="n"/>
      <c r="G10" s="398" t="n">
        <v>0</v>
      </c>
    </row>
    <row r="11">
      <c r="A11" s="388" t="n"/>
      <c r="B11" s="396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40.15" customHeight="1" s="314">
      <c r="A12" s="388" t="n">
        <v>1</v>
      </c>
      <c r="B12" s="288">
        <f>'Прил.5 Расчет СМР и ОБ'!B56</f>
        <v/>
      </c>
      <c r="C12" s="279">
        <f>'Прил.5 Расчет СМР и ОБ'!C56</f>
        <v/>
      </c>
      <c r="D12" s="280">
        <f>'Прил.5 Расчет СМР и ОБ'!D56</f>
        <v/>
      </c>
      <c r="E12" s="292">
        <f>'Прил.5 Расчет СМР и ОБ'!E56</f>
        <v/>
      </c>
      <c r="F12" s="280">
        <f>'Прил.5 Расчет СМР и ОБ'!F56</f>
        <v/>
      </c>
      <c r="G12" s="318">
        <f>ROUND(E12*F12,2)</f>
        <v/>
      </c>
    </row>
    <row r="13" ht="53.45" customHeight="1" s="314">
      <c r="A13" s="388" t="n">
        <v>2</v>
      </c>
      <c r="B13" s="288">
        <f>'Прил.5 Расчет СМР и ОБ'!B58</f>
        <v/>
      </c>
      <c r="C13" s="279">
        <f>'Прил.5 Расчет СМР и ОБ'!C58</f>
        <v/>
      </c>
      <c r="D13" s="280">
        <f>'Прил.5 Расчет СМР и ОБ'!D58</f>
        <v/>
      </c>
      <c r="E13" s="292">
        <f>'Прил.5 Расчет СМР и ОБ'!E58</f>
        <v/>
      </c>
      <c r="F13" s="280">
        <f>'Прил.5 Расчет СМР и ОБ'!F58</f>
        <v/>
      </c>
      <c r="G13" s="318">
        <f>ROUND(E13*F13,2)</f>
        <v/>
      </c>
    </row>
    <row r="14" ht="27" customHeight="1" s="314">
      <c r="A14" s="388" t="n">
        <v>3</v>
      </c>
      <c r="B14" s="288">
        <f>'Прил.5 Расчет СМР и ОБ'!B59</f>
        <v/>
      </c>
      <c r="C14" s="279">
        <f>'Прил.5 Расчет СМР и ОБ'!C59</f>
        <v/>
      </c>
      <c r="D14" s="280">
        <f>'Прил.5 Расчет СМР и ОБ'!D59</f>
        <v/>
      </c>
      <c r="E14" s="292">
        <f>'Прил.5 Расчет СМР и ОБ'!E59</f>
        <v/>
      </c>
      <c r="F14" s="280">
        <f>'Прил.5 Расчет СМР и ОБ'!F59</f>
        <v/>
      </c>
      <c r="G14" s="318">
        <f>ROUND(E14*F14,2)</f>
        <v/>
      </c>
    </row>
    <row r="15" ht="27" customHeight="1" s="314">
      <c r="A15" s="388" t="n">
        <v>4</v>
      </c>
      <c r="B15" s="288">
        <f>'Прил.5 Расчет СМР и ОБ'!B60</f>
        <v/>
      </c>
      <c r="C15" s="279">
        <f>'Прил.5 Расчет СМР и ОБ'!C60</f>
        <v/>
      </c>
      <c r="D15" s="280">
        <f>'Прил.5 Расчет СМР и ОБ'!D60</f>
        <v/>
      </c>
      <c r="E15" s="292">
        <f>'Прил.5 Расчет СМР и ОБ'!E60</f>
        <v/>
      </c>
      <c r="F15" s="280">
        <f>'Прил.5 Расчет СМР и ОБ'!F60</f>
        <v/>
      </c>
      <c r="G15" s="318">
        <f>ROUND(E15*F15,2)</f>
        <v/>
      </c>
    </row>
    <row r="16" ht="27" customHeight="1" s="314">
      <c r="A16" s="388" t="n">
        <v>5</v>
      </c>
      <c r="B16" s="288">
        <f>'Прил.5 Расчет СМР и ОБ'!B61</f>
        <v/>
      </c>
      <c r="C16" s="279">
        <f>'Прил.5 Расчет СМР и ОБ'!C61</f>
        <v/>
      </c>
      <c r="D16" s="280">
        <f>'Прил.5 Расчет СМР и ОБ'!D61</f>
        <v/>
      </c>
      <c r="E16" s="292">
        <f>'Прил.5 Расчет СМР и ОБ'!E61</f>
        <v/>
      </c>
      <c r="F16" s="280">
        <f>'Прил.5 Расчет СМР и ОБ'!F61</f>
        <v/>
      </c>
      <c r="G16" s="318">
        <f>ROUND(E16*F16,2)</f>
        <v/>
      </c>
    </row>
    <row r="17" ht="27" customHeight="1" s="314">
      <c r="A17" s="388" t="n">
        <v>6</v>
      </c>
      <c r="B17" s="288">
        <f>'Прил.5 Расчет СМР и ОБ'!B62</f>
        <v/>
      </c>
      <c r="C17" s="279">
        <f>'Прил.5 Расчет СМР и ОБ'!C62</f>
        <v/>
      </c>
      <c r="D17" s="280">
        <f>'Прил.5 Расчет СМР и ОБ'!D62</f>
        <v/>
      </c>
      <c r="E17" s="292">
        <f>'Прил.5 Расчет СМР и ОБ'!E62</f>
        <v/>
      </c>
      <c r="F17" s="280">
        <f>'Прил.5 Расчет СМР и ОБ'!F62</f>
        <v/>
      </c>
      <c r="G17" s="318">
        <f>ROUND(E17*F17,2)</f>
        <v/>
      </c>
    </row>
    <row r="18" ht="25.5" customHeight="1" s="314">
      <c r="A18" s="388" t="n"/>
      <c r="B18" s="396" t="n"/>
      <c r="C18" s="396" t="inlineStr">
        <is>
          <t>ИТОГО ТЕХНОЛОГИЧЕСКОЕ ОБОРУДОВАНИЕ</t>
        </is>
      </c>
      <c r="D18" s="396" t="n"/>
      <c r="E18" s="408" t="n"/>
      <c r="F18" s="398" t="n"/>
      <c r="G18" s="318">
        <f>SUM(G12:G17)</f>
        <v/>
      </c>
    </row>
    <row r="19" ht="19.5" customHeight="1" s="314">
      <c r="A19" s="388" t="n"/>
      <c r="B19" s="396" t="n"/>
      <c r="C19" s="396" t="inlineStr">
        <is>
          <t>Всего по разделу «Оборудование»</t>
        </is>
      </c>
      <c r="D19" s="396" t="n"/>
      <c r="E19" s="408" t="n"/>
      <c r="F19" s="398" t="n"/>
      <c r="G19" s="318">
        <f>G10+G18</f>
        <v/>
      </c>
    </row>
    <row r="20">
      <c r="A20" s="307" t="n"/>
      <c r="B20" s="308" t="n"/>
      <c r="C20" s="307" t="n"/>
      <c r="D20" s="307" t="n"/>
      <c r="E20" s="307" t="n"/>
      <c r="F20" s="307" t="n"/>
      <c r="G20" s="307" t="n"/>
    </row>
    <row r="21">
      <c r="A21" s="302" t="inlineStr">
        <is>
          <t>Составил ______________________    Д.Ю. Нефедова</t>
        </is>
      </c>
      <c r="B21" s="313" t="n"/>
      <c r="C21" s="313" t="n"/>
      <c r="D21" s="307" t="n"/>
      <c r="E21" s="307" t="n"/>
      <c r="F21" s="307" t="n"/>
      <c r="G21" s="307" t="n"/>
    </row>
    <row r="22">
      <c r="A22" s="310" t="inlineStr">
        <is>
          <t xml:space="preserve">                         (подпись, инициалы, фамилия)</t>
        </is>
      </c>
      <c r="B22" s="313" t="n"/>
      <c r="C22" s="313" t="n"/>
      <c r="D22" s="307" t="n"/>
      <c r="E22" s="307" t="n"/>
      <c r="F22" s="307" t="n"/>
      <c r="G22" s="307" t="n"/>
    </row>
    <row r="23">
      <c r="A23" s="302" t="n"/>
      <c r="B23" s="313" t="n"/>
      <c r="C23" s="313" t="n"/>
      <c r="D23" s="307" t="n"/>
      <c r="E23" s="307" t="n"/>
      <c r="F23" s="307" t="n"/>
      <c r="G23" s="307" t="n"/>
    </row>
    <row r="24">
      <c r="A24" s="302" t="inlineStr">
        <is>
          <t>Проверил ______________________        А.В. Костянецкая</t>
        </is>
      </c>
      <c r="B24" s="313" t="n"/>
      <c r="C24" s="313" t="n"/>
      <c r="D24" s="307" t="n"/>
      <c r="E24" s="307" t="n"/>
      <c r="F24" s="307" t="n"/>
      <c r="G24" s="307" t="n"/>
    </row>
    <row r="25">
      <c r="A25" s="310" t="inlineStr">
        <is>
          <t xml:space="preserve">                        (подпись, инициалы, фамилия)</t>
        </is>
      </c>
      <c r="B25" s="313" t="n"/>
      <c r="C25" s="313" t="n"/>
      <c r="D25" s="307" t="n"/>
      <c r="E25" s="307" t="n"/>
      <c r="F25" s="307" t="n"/>
      <c r="G25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14" min="1" max="1"/>
    <col width="29.5703125" customWidth="1" style="314" min="2" max="2"/>
    <col width="39.140625" customWidth="1" style="314" min="3" max="3"/>
    <col width="48.140625" customWidth="1" style="314" min="4" max="4"/>
    <col width="8.85546875" customWidth="1" style="314" min="5" max="5"/>
  </cols>
  <sheetData>
    <row r="1">
      <c r="B1" s="302" t="n"/>
      <c r="C1" s="302" t="n"/>
      <c r="D1" s="404" t="inlineStr">
        <is>
          <t>Приложение №7</t>
        </is>
      </c>
    </row>
    <row r="2">
      <c r="A2" s="404" t="n"/>
      <c r="B2" s="404" t="n"/>
      <c r="C2" s="404" t="n"/>
      <c r="D2" s="404" t="n"/>
    </row>
    <row r="3" ht="24.75" customHeight="1" s="314">
      <c r="A3" s="362" t="inlineStr">
        <is>
          <t>Расчет показателя УНЦ</t>
        </is>
      </c>
    </row>
    <row r="4" ht="24.75" customHeight="1" s="314">
      <c r="A4" s="362" t="n"/>
      <c r="B4" s="362" t="n"/>
      <c r="C4" s="362" t="n"/>
      <c r="D4" s="362" t="n"/>
    </row>
    <row r="5" ht="24.6" customHeight="1" s="314">
      <c r="A5" s="365" t="inlineStr">
        <is>
          <t xml:space="preserve">Наименование разрабатываемого показателя УНЦ - </t>
        </is>
      </c>
      <c r="D5" s="365">
        <f>'Прил.5 Расчет СМР и ОБ'!D6:J6</f>
        <v/>
      </c>
    </row>
    <row r="6" ht="19.9" customHeight="1" s="314">
      <c r="A6" s="365" t="inlineStr">
        <is>
          <t>Единица измерения  — 1 ед.</t>
        </is>
      </c>
      <c r="D6" s="365" t="n"/>
    </row>
    <row r="7">
      <c r="A7" s="302" t="n"/>
      <c r="B7" s="302" t="n"/>
      <c r="C7" s="302" t="n"/>
      <c r="D7" s="302" t="n"/>
    </row>
    <row r="8" ht="14.45" customHeight="1" s="314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14">
      <c r="A9" s="458" t="n"/>
      <c r="B9" s="458" t="n"/>
      <c r="C9" s="458" t="n"/>
      <c r="D9" s="458" t="n"/>
    </row>
    <row r="10">
      <c r="A10" s="388" t="n">
        <v>1</v>
      </c>
      <c r="B10" s="388" t="n">
        <v>2</v>
      </c>
      <c r="C10" s="388" t="n">
        <v>3</v>
      </c>
      <c r="D10" s="388" t="n">
        <v>4</v>
      </c>
    </row>
    <row r="11" ht="41.45" customHeight="1" s="314">
      <c r="A11" s="388" t="inlineStr">
        <is>
          <t>У1-01</t>
        </is>
      </c>
      <c r="B11" s="388" t="inlineStr">
        <is>
          <t xml:space="preserve">УНЦ УПГ </t>
        </is>
      </c>
      <c r="C11" s="304">
        <f>D5</f>
        <v/>
      </c>
      <c r="D11" s="305">
        <f>'Прил.4 РМ'!C41/1000</f>
        <v/>
      </c>
      <c r="E11" s="306" t="n"/>
    </row>
    <row r="12">
      <c r="A12" s="307" t="n"/>
      <c r="B12" s="308" t="n"/>
      <c r="C12" s="307" t="n"/>
      <c r="D12" s="307" t="n"/>
    </row>
    <row r="13">
      <c r="A13" s="302" t="inlineStr">
        <is>
          <t>Составил ______________________      Д.Ю. Нефедова</t>
        </is>
      </c>
      <c r="B13" s="313" t="n"/>
      <c r="C13" s="313" t="n"/>
      <c r="D13" s="307" t="n"/>
    </row>
    <row r="14">
      <c r="A14" s="310" t="inlineStr">
        <is>
          <t xml:space="preserve">                         (подпись, инициалы, фамилия)</t>
        </is>
      </c>
      <c r="B14" s="313" t="n"/>
      <c r="C14" s="313" t="n"/>
      <c r="D14" s="307" t="n"/>
    </row>
    <row r="15">
      <c r="A15" s="302" t="n"/>
      <c r="B15" s="313" t="n"/>
      <c r="C15" s="313" t="n"/>
      <c r="D15" s="307" t="n"/>
    </row>
    <row r="16">
      <c r="A16" s="302" t="inlineStr">
        <is>
          <t>Проверил ______________________        А.В. Костянецкая</t>
        </is>
      </c>
      <c r="B16" s="313" t="n"/>
      <c r="C16" s="313" t="n"/>
      <c r="D16" s="307" t="n"/>
    </row>
    <row r="17">
      <c r="A17" s="310" t="inlineStr">
        <is>
          <t xml:space="preserve">                        (подпись, инициалы, фамилия)</t>
        </is>
      </c>
      <c r="B17" s="313" t="n"/>
      <c r="C17" s="313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3" zoomScale="60" zoomScaleNormal="85" workbookViewId="0">
      <selection activeCell="D24" sqref="D24"/>
    </sheetView>
  </sheetViews>
  <sheetFormatPr baseColWidth="8" defaultColWidth="9.140625" defaultRowHeight="15"/>
  <cols>
    <col width="9.140625" customWidth="1" style="314" min="1" max="1"/>
    <col width="40.7109375" customWidth="1" style="314" min="2" max="2"/>
    <col width="37" customWidth="1" style="314" min="3" max="3"/>
    <col width="32" customWidth="1" style="314" min="4" max="4"/>
    <col width="9.140625" customWidth="1" style="314" min="5" max="5"/>
  </cols>
  <sheetData>
    <row r="4" ht="15.75" customHeight="1" s="314">
      <c r="B4" s="369" t="inlineStr">
        <is>
          <t>Приложение № 10</t>
        </is>
      </c>
    </row>
    <row r="5" ht="18.75" customHeight="1" s="314">
      <c r="B5" s="184" t="n"/>
    </row>
    <row r="6" ht="15.75" customHeight="1" s="314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0" t="n"/>
    </row>
    <row r="8">
      <c r="B8" s="410" t="n"/>
      <c r="C8" s="410" t="n"/>
      <c r="D8" s="410" t="n"/>
      <c r="E8" s="410" t="n"/>
    </row>
    <row r="9" ht="47.25" customHeight="1" s="314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75" customHeight="1" s="314">
      <c r="B10" s="375" t="n">
        <v>1</v>
      </c>
      <c r="C10" s="375" t="n">
        <v>2</v>
      </c>
      <c r="D10" s="375" t="n">
        <v>3</v>
      </c>
    </row>
    <row r="11" ht="45" customHeight="1" s="314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14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14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14">
      <c r="B14" s="375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75" t="n">
        <v>6.26</v>
      </c>
    </row>
    <row r="15" ht="89.45" customHeight="1" s="314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7" t="n">
        <v>0.039</v>
      </c>
    </row>
    <row r="16" ht="78.75" customHeight="1" s="314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31.7" customHeight="1" s="314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87" t="n">
        <v>0.0214</v>
      </c>
    </row>
    <row r="18" ht="31.7" customHeight="1" s="314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87" t="n">
        <v>0.002</v>
      </c>
    </row>
    <row r="19" ht="24" customHeight="1" s="314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87" t="n">
        <v>0.03</v>
      </c>
    </row>
    <row r="20" ht="18.75" customHeight="1" s="314">
      <c r="B20" s="264" t="n"/>
    </row>
    <row r="21" ht="18.75" customHeight="1" s="314">
      <c r="B21" s="264" t="n"/>
    </row>
    <row r="22" ht="18.75" customHeight="1" s="314">
      <c r="B22" s="264" t="n"/>
    </row>
    <row r="23" ht="18.75" customHeight="1" s="314">
      <c r="B23" s="264" t="n"/>
    </row>
    <row r="26">
      <c r="B26" s="302" t="inlineStr">
        <is>
          <t>Составил ______________________        Д.Ю. Нефедова</t>
        </is>
      </c>
      <c r="C26" s="313" t="n"/>
    </row>
    <row r="27">
      <c r="B27" s="310" t="inlineStr">
        <is>
          <t xml:space="preserve">                         (подпись, инициалы, фамилия)</t>
        </is>
      </c>
      <c r="C27" s="313" t="n"/>
    </row>
    <row r="28">
      <c r="B28" s="302" t="n"/>
      <c r="C28" s="313" t="n"/>
    </row>
    <row r="29">
      <c r="B29" s="302" t="inlineStr">
        <is>
          <t>Проверил ______________________        А.В. Костянецкая</t>
        </is>
      </c>
      <c r="C29" s="313" t="n"/>
    </row>
    <row r="30">
      <c r="B30" s="310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314" min="1" max="1"/>
    <col width="44.85546875" customWidth="1" style="314" min="2" max="2"/>
    <col width="13" customWidth="1" style="314" min="3" max="3"/>
    <col width="22.85546875" customWidth="1" style="314" min="4" max="4"/>
    <col width="21.7109375" customWidth="1" style="314" min="5" max="5"/>
    <col width="43.85546875" customWidth="1" style="314" min="6" max="6"/>
    <col width="9.140625" customWidth="1" style="314" min="7" max="7"/>
  </cols>
  <sheetData>
    <row r="2" ht="17.45" customHeight="1" s="314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14">
      <c r="A4" s="168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14">
      <c r="A5" s="170" t="inlineStr">
        <is>
          <t>№ пп.</t>
        </is>
      </c>
      <c r="B5" s="170" t="inlineStr">
        <is>
          <t>Наименование элемента</t>
        </is>
      </c>
      <c r="C5" s="170" t="inlineStr">
        <is>
          <t>Обозначение</t>
        </is>
      </c>
      <c r="D5" s="170" t="inlineStr">
        <is>
          <t>Формула</t>
        </is>
      </c>
      <c r="E5" s="170" t="inlineStr">
        <is>
          <t>Величина элемента</t>
        </is>
      </c>
      <c r="F5" s="170" t="inlineStr">
        <is>
          <t>Наименования обосновывающих документов</t>
        </is>
      </c>
      <c r="G5" s="343" t="n"/>
    </row>
    <row r="6" ht="15.75" customHeight="1" s="314">
      <c r="A6" s="170" t="n">
        <v>1</v>
      </c>
      <c r="B6" s="170" t="n">
        <v>2</v>
      </c>
      <c r="C6" s="170" t="n">
        <v>3</v>
      </c>
      <c r="D6" s="170" t="n">
        <v>4</v>
      </c>
      <c r="E6" s="170" t="n">
        <v>5</v>
      </c>
      <c r="F6" s="170" t="n">
        <v>6</v>
      </c>
      <c r="G6" s="343" t="n"/>
    </row>
    <row r="7" ht="110.25" customHeight="1" s="314">
      <c r="A7" s="171" t="inlineStr">
        <is>
          <t>1.1</t>
        </is>
      </c>
      <c r="B7" s="17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174" t="n">
        <v>47872.94</v>
      </c>
      <c r="F7" s="17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7" customHeight="1" s="314">
      <c r="A8" s="171" t="inlineStr">
        <is>
          <t>1.2</t>
        </is>
      </c>
      <c r="B8" s="175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174">
        <f>1973/12</f>
        <v/>
      </c>
      <c r="F8" s="175" t="inlineStr">
        <is>
          <t>Производственный календарь 2023 год
(40-часов.неделя)</t>
        </is>
      </c>
      <c r="G8" s="177" t="n"/>
    </row>
    <row r="9" ht="15.75" customHeight="1" s="314">
      <c r="A9" s="171" t="inlineStr">
        <is>
          <t>1.3</t>
        </is>
      </c>
      <c r="B9" s="175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174" t="n">
        <v>1</v>
      </c>
      <c r="F9" s="175" t="n"/>
      <c r="G9" s="177" t="n"/>
    </row>
    <row r="10" ht="15.75" customHeight="1" s="314">
      <c r="A10" s="171" t="inlineStr">
        <is>
          <t>1.4</t>
        </is>
      </c>
      <c r="B10" s="175" t="inlineStr">
        <is>
          <t>Средний разряд работ</t>
        </is>
      </c>
      <c r="C10" s="375" t="n"/>
      <c r="D10" s="375" t="n"/>
      <c r="E10" s="178" t="n">
        <v>3.1</v>
      </c>
      <c r="F10" s="175" t="inlineStr">
        <is>
          <t>РТМ</t>
        </is>
      </c>
      <c r="G10" s="177" t="n"/>
    </row>
    <row r="11" ht="78.75" customHeight="1" s="314">
      <c r="A11" s="171" t="inlineStr">
        <is>
          <t>1.5</t>
        </is>
      </c>
      <c r="B11" s="175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260" t="n">
        <v>1.202</v>
      </c>
      <c r="F11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14">
      <c r="A12" s="171" t="inlineStr">
        <is>
          <t>1.6</t>
        </is>
      </c>
      <c r="B12" s="361" t="inlineStr">
        <is>
          <t>Коэффициент инфляции, определяемый поквартально</t>
        </is>
      </c>
      <c r="C12" s="375" t="inlineStr">
        <is>
          <t>Кинф</t>
        </is>
      </c>
      <c r="D12" s="375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7" t="n"/>
    </row>
    <row r="13" ht="63" customHeight="1" s="314">
      <c r="A13" s="171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75" t="inlineStr">
        <is>
          <t>ФОТр.тек.</t>
        </is>
      </c>
      <c r="D13" s="375" t="inlineStr">
        <is>
          <t>(С1ср/tср*КТ*Т*Кув)*Кинф</t>
        </is>
      </c>
      <c r="E13" s="183">
        <f>((E7*E9/E8)*E11)*E12</f>
        <v/>
      </c>
      <c r="F13" s="17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2025-01-24T12:19:06Z</dcterms:modified>
  <cp:lastModifiedBy>REDMIBOOK</cp:lastModifiedBy>
  <cp:lastPrinted>2023-12-01T12:00:00Z</cp:lastPrinted>
</cp:coreProperties>
</file>