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'Прил.3'!$A$1:$H$99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_-* #,##0.00\ _₽_-;\-* #,##0.00\ _₽_-;_-* &quot;-&quot;??\ _₽_-;_-@_-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9" fillId="0" borderId="0" applyAlignment="1" pivotButton="0" quotePrefix="0" xfId="0">
      <alignment horizontal="justify" vertical="center"/>
    </xf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4" fontId="18" fillId="0" borderId="1" applyAlignment="1" pivotButton="0" quotePrefix="0" xfId="0">
      <alignment vertical="center"/>
    </xf>
    <xf numFmtId="0" fontId="1" fillId="4" borderId="1" applyAlignment="1" pivotButton="0" quotePrefix="0" xfId="0">
      <alignment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0" fillId="0" borderId="0" pivotButton="0" quotePrefix="0" xfId="0"/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9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65" fontId="1" fillId="4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vertical="center" wrapText="1"/>
    </xf>
    <xf numFmtId="170" fontId="16" fillId="0" borderId="0" pivotButton="0" quotePrefix="0" xfId="0"/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1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0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5"/>
  <sheetViews>
    <sheetView view="pageBreakPreview" topLeftCell="A24" workbookViewId="0">
      <selection activeCell="D29" sqref="D29"/>
    </sheetView>
  </sheetViews>
  <sheetFormatPr baseColWidth="8" defaultColWidth="9.140625" defaultRowHeight="15"/>
  <cols>
    <col width="9.140625" customWidth="1" style="301" min="1" max="2"/>
    <col width="36.85546875" customWidth="1" style="301" min="3" max="3"/>
    <col width="39.42578125" customWidth="1" style="301" min="4" max="4"/>
    <col width="9.140625" customWidth="1" style="301" min="5" max="5"/>
  </cols>
  <sheetData>
    <row r="3" ht="15.75" customHeight="1" s="301">
      <c r="B3" s="336" t="inlineStr">
        <is>
          <t>Приложение № 1</t>
        </is>
      </c>
    </row>
    <row r="4" ht="18.75" customHeight="1" s="301">
      <c r="B4" s="337" t="inlineStr">
        <is>
          <t>Сравнительная таблица отбора объекта-представителя</t>
        </is>
      </c>
    </row>
    <row r="5" ht="91.5" customHeight="1" s="301">
      <c r="B5" s="3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1">
      <c r="B6" s="288" t="n"/>
      <c r="C6" s="288" t="n"/>
      <c r="D6" s="288" t="n"/>
    </row>
    <row r="7" ht="36" customHeight="1" s="301">
      <c r="B7" s="335" t="inlineStr">
        <is>
          <t>Наименование разрабатываемого показателя УНЦ —  УНЦ ДГУ.</t>
        </is>
      </c>
    </row>
    <row r="8" ht="15.75" customHeight="1" s="301">
      <c r="B8" s="335" t="inlineStr">
        <is>
          <t>Сопоставимый уровень цен: 4 кв. 2017</t>
        </is>
      </c>
    </row>
    <row r="9" ht="15.75" customHeight="1" s="301">
      <c r="B9" s="335" t="inlineStr">
        <is>
          <t>Единица измерения  — 1 кВт</t>
        </is>
      </c>
    </row>
    <row r="10" ht="18.75" customHeight="1" s="301">
      <c r="B10" s="289" t="n"/>
    </row>
    <row r="11" ht="15.75" customHeight="1" s="301">
      <c r="B11" s="341" t="inlineStr">
        <is>
          <t>№ п/п</t>
        </is>
      </c>
      <c r="C11" s="341" t="inlineStr">
        <is>
          <t>Параметр</t>
        </is>
      </c>
      <c r="D11" s="341" t="inlineStr">
        <is>
          <t xml:space="preserve">Объект-представитель </t>
        </is>
      </c>
    </row>
    <row r="12" ht="78.75" customHeight="1" s="301">
      <c r="B12" s="341" t="n">
        <v>1</v>
      </c>
      <c r="C12" s="327" t="inlineStr">
        <is>
          <t>Наименование объекта-представителя</t>
        </is>
      </c>
      <c r="D12" s="341" t="inlineStr">
        <is>
          <t>Строительство ВЛ-220 кВ Нерюнгринская ГРЭС – Нижний Куранах – Томмот –Майя с ПС 220 Томмот и ПС 220 Майя, Республика Саха (Якутия)</t>
        </is>
      </c>
      <c r="E12" s="293" t="n"/>
      <c r="F12" s="293" t="n"/>
      <c r="G12" s="293" t="n"/>
      <c r="H12" s="293" t="n"/>
      <c r="I12" s="293" t="n"/>
      <c r="J12" s="293" t="n"/>
      <c r="K12" s="293" t="n"/>
      <c r="L12" s="293" t="n"/>
    </row>
    <row r="13" ht="31.5" customHeight="1" s="301">
      <c r="B13" s="341" t="n">
        <v>2</v>
      </c>
      <c r="C13" s="327" t="inlineStr">
        <is>
          <t>Наименование субъекта Российской Федерации</t>
        </is>
      </c>
      <c r="D13" s="341" t="inlineStr">
        <is>
          <t>Республика Саха (Якутия)</t>
        </is>
      </c>
    </row>
    <row r="14" ht="15.75" customHeight="1" s="301">
      <c r="B14" s="341" t="n">
        <v>3</v>
      </c>
      <c r="C14" s="327" t="inlineStr">
        <is>
          <t>Климатический район и подрайон</t>
        </is>
      </c>
      <c r="D14" s="341" t="inlineStr">
        <is>
          <t>IА</t>
        </is>
      </c>
    </row>
    <row r="15" ht="15.75" customHeight="1" s="301">
      <c r="B15" s="341" t="n">
        <v>4</v>
      </c>
      <c r="C15" s="327" t="inlineStr">
        <is>
          <t>Мощность объекта</t>
        </is>
      </c>
      <c r="D15" s="341" t="n">
        <v>1000</v>
      </c>
    </row>
    <row r="16" ht="94.5" customHeight="1" s="301">
      <c r="B16" s="341" t="n">
        <v>5</v>
      </c>
      <c r="C16" s="29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6" t="inlineStr">
        <is>
          <t>Дизель-генераторная установка на ДТ контейнерный 1 кВ 1000 кВт - 1 компл</t>
        </is>
      </c>
    </row>
    <row r="17" ht="78.75" customHeight="1" s="301">
      <c r="B17" s="341" t="n">
        <v>6</v>
      </c>
      <c r="C17" s="29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SUM(D18:D21)</f>
        <v/>
      </c>
    </row>
    <row r="18" ht="15.75" customHeight="1" s="301">
      <c r="B18" s="326" t="inlineStr">
        <is>
          <t>6.1</t>
        </is>
      </c>
      <c r="C18" s="327" t="inlineStr">
        <is>
          <t>строительно-монтажные работы</t>
        </is>
      </c>
      <c r="D18" s="322">
        <f>74.858974632+101.536295148</f>
        <v/>
      </c>
    </row>
    <row r="19" ht="15.75" customHeight="1" s="301">
      <c r="B19" s="326" t="inlineStr">
        <is>
          <t>6.2</t>
        </is>
      </c>
      <c r="C19" s="327" t="inlineStr">
        <is>
          <t>оборудование и инвентарь</t>
        </is>
      </c>
      <c r="D19" s="322" t="n">
        <v>7622.97828</v>
      </c>
    </row>
    <row r="20" ht="15.75" customHeight="1" s="301">
      <c r="B20" s="326" t="inlineStr">
        <is>
          <t>6.3</t>
        </is>
      </c>
      <c r="C20" s="327" t="inlineStr">
        <is>
          <t>пусконаладочные работы</t>
        </is>
      </c>
      <c r="D20" s="322" t="n"/>
    </row>
    <row r="21" ht="15.75" customHeight="1" s="301">
      <c r="B21" s="326" t="inlineStr">
        <is>
          <t>6.4</t>
        </is>
      </c>
      <c r="C21" s="327" t="inlineStr">
        <is>
          <t>прочие и лимитированные затраты</t>
        </is>
      </c>
      <c r="D21" s="322">
        <f>D18*3.9%+(D18+D18*3.9%)*7%</f>
        <v/>
      </c>
    </row>
    <row r="22" ht="15.75" customHeight="1" s="301">
      <c r="B22" s="341" t="n">
        <v>7</v>
      </c>
      <c r="C22" s="327" t="inlineStr">
        <is>
          <t>Сопоставимый уровень цен</t>
        </is>
      </c>
      <c r="D22" s="325" t="inlineStr">
        <is>
          <t>4 кв. 2017</t>
        </is>
      </c>
    </row>
    <row r="23" ht="110.25" customHeight="1" s="301">
      <c r="B23" s="341" t="n">
        <v>8</v>
      </c>
      <c r="C23" s="29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</row>
    <row r="24" ht="47.25" customHeight="1" s="301">
      <c r="B24" s="341" t="n">
        <v>9</v>
      </c>
      <c r="C24" s="295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</row>
    <row r="25" ht="48.2" customHeight="1" s="301">
      <c r="A25" s="236" t="n"/>
      <c r="B25" s="341" t="n">
        <v>10</v>
      </c>
      <c r="C25" s="327" t="inlineStr">
        <is>
          <t>Примечание</t>
        </is>
      </c>
      <c r="D25" s="341" t="n"/>
      <c r="E25" s="236" t="n"/>
      <c r="F25" s="236" t="n"/>
    </row>
    <row r="26" ht="15.75" customHeight="1" s="301">
      <c r="A26" s="236" t="n"/>
      <c r="B26" s="323" t="n"/>
      <c r="C26" s="324" t="n"/>
      <c r="D26" s="324" t="n"/>
      <c r="E26" s="236" t="n"/>
      <c r="F26" s="236" t="n"/>
    </row>
    <row r="27" ht="37.5" customHeight="1" s="301">
      <c r="A27" s="236" t="n"/>
      <c r="B27" s="237" t="n"/>
      <c r="C27" s="236" t="n"/>
      <c r="D27" s="236" t="n"/>
      <c r="E27" s="236" t="n"/>
      <c r="F27" s="236" t="n"/>
    </row>
    <row r="28" ht="15.75" customHeight="1" s="301">
      <c r="A28" s="236" t="n"/>
      <c r="B28" s="236" t="inlineStr">
        <is>
          <t>Составил ______________________    Д.Ю. Нефедова</t>
        </is>
      </c>
      <c r="C28" s="236" t="n"/>
      <c r="D28" s="236" t="n"/>
      <c r="E28" s="236" t="n"/>
      <c r="F28" s="236" t="n"/>
    </row>
    <row r="29" ht="15.75" customHeight="1" s="301">
      <c r="A29" s="236" t="n"/>
      <c r="B29" s="237" t="inlineStr">
        <is>
          <t xml:space="preserve">                         (подпись, инициалы, фамилия)</t>
        </is>
      </c>
      <c r="C29" s="236" t="n"/>
      <c r="D29" s="236" t="n"/>
      <c r="E29" s="236" t="n"/>
      <c r="F29" s="236" t="n"/>
    </row>
    <row r="30" ht="15.75" customHeight="1" s="301">
      <c r="A30" s="236" t="n"/>
      <c r="B30" s="236" t="n"/>
      <c r="C30" s="236" t="n"/>
      <c r="D30" s="236" t="n"/>
      <c r="E30" s="236" t="n"/>
      <c r="F30" s="236" t="n"/>
    </row>
    <row r="31" ht="15.75" customHeight="1" s="301">
      <c r="A31" s="236" t="n"/>
      <c r="B31" s="236" t="inlineStr">
        <is>
          <t>Проверил ______________________        А.В. Костянецкая</t>
        </is>
      </c>
      <c r="C31" s="236" t="n"/>
      <c r="D31" s="236" t="n"/>
      <c r="E31" s="236" t="n"/>
      <c r="F31" s="236" t="n"/>
    </row>
    <row r="32" ht="15.75" customHeight="1" s="301">
      <c r="A32" s="236" t="n"/>
      <c r="B32" s="237" t="inlineStr">
        <is>
          <t xml:space="preserve">                        (подпись, инициалы, фамилия)</t>
        </is>
      </c>
      <c r="C32" s="236" t="n"/>
      <c r="D32" s="236" t="n"/>
      <c r="E32" s="236" t="n"/>
      <c r="F32" s="236" t="n"/>
    </row>
    <row r="33" ht="15.75" customHeight="1" s="301">
      <c r="A33" s="236" t="n"/>
      <c r="B33" s="236" t="n"/>
      <c r="C33" s="236" t="n"/>
      <c r="D33" s="236" t="n"/>
      <c r="E33" s="236" t="n"/>
      <c r="F33" s="236" t="n"/>
    </row>
    <row r="34" ht="15.75" customHeight="1" s="301">
      <c r="A34" s="236" t="n"/>
      <c r="B34" s="236" t="n"/>
      <c r="C34" s="236" t="n"/>
      <c r="D34" s="236" t="n"/>
      <c r="E34" s="236" t="n"/>
      <c r="F34" s="236" t="n"/>
    </row>
    <row r="35" ht="15.75" customHeight="1" s="301">
      <c r="A35" s="236" t="n"/>
      <c r="B35" s="236" t="n"/>
      <c r="C35" s="236" t="n"/>
      <c r="D35" s="236" t="n"/>
      <c r="E35" s="236" t="n"/>
      <c r="F35" s="236" t="n"/>
    </row>
    <row r="36" s="301"/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3"/>
  <sheetViews>
    <sheetView view="pageBreakPreview" zoomScale="70" zoomScaleNormal="70" workbookViewId="0">
      <selection activeCell="H21" sqref="H21"/>
    </sheetView>
  </sheetViews>
  <sheetFormatPr baseColWidth="8" defaultColWidth="9.140625" defaultRowHeight="15.75"/>
  <cols>
    <col width="5.5703125" customWidth="1" style="236" min="1" max="1"/>
    <col width="9.140625" customWidth="1" style="236" min="2" max="2"/>
    <col width="35.28515625" customWidth="1" style="236" min="3" max="3"/>
    <col width="13.85546875" customWidth="1" style="236" min="4" max="4"/>
    <col width="24.85546875" customWidth="1" style="236" min="5" max="5"/>
    <col width="15.5703125" customWidth="1" style="236" min="6" max="6"/>
    <col width="14.85546875" customWidth="1" style="236" min="7" max="7"/>
    <col width="16.7109375" customWidth="1" style="236" min="8" max="8"/>
    <col width="13" customWidth="1" style="236" min="9" max="10"/>
    <col width="9.140625" customWidth="1" style="236" min="11" max="11"/>
  </cols>
  <sheetData>
    <row r="3">
      <c r="B3" s="336" t="inlineStr">
        <is>
          <t>Приложение № 2</t>
        </is>
      </c>
    </row>
    <row r="4">
      <c r="B4" s="340" t="inlineStr">
        <is>
          <t>Расчет стоимости основных видов работ для выбора объекта-представителя</t>
        </is>
      </c>
    </row>
    <row r="5"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</row>
    <row r="6" ht="29.25" customHeight="1" s="301">
      <c r="B6" s="335" t="inlineStr">
        <is>
          <t>Наименование разрабатываемого показателя УНЦ —  УНЦ ДГУ.</t>
        </is>
      </c>
    </row>
    <row r="7">
      <c r="B7" s="335" t="inlineStr">
        <is>
          <t>Единица измерения  — 1 кВт</t>
        </is>
      </c>
    </row>
    <row r="8" ht="18.75" customHeight="1" s="301">
      <c r="B8" s="289" t="n"/>
    </row>
    <row r="9" ht="15.75" customFormat="1" customHeight="1" s="236">
      <c r="B9" s="341" t="inlineStr">
        <is>
          <t>№ п/п</t>
        </is>
      </c>
      <c r="C9" s="3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1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Format="1" customHeight="1" s="236">
      <c r="B10" s="422" t="n"/>
      <c r="C10" s="422" t="n"/>
      <c r="D10" s="341" t="inlineStr">
        <is>
          <t>Номер сметы</t>
        </is>
      </c>
      <c r="E10" s="341" t="inlineStr">
        <is>
          <t>Наименование сметы</t>
        </is>
      </c>
      <c r="F10" s="341" t="inlineStr">
        <is>
          <t>Сметная стоимость в уровне цен 4 кв. 2017 г., тыс. руб.</t>
        </is>
      </c>
      <c r="G10" s="420" t="n"/>
      <c r="H10" s="420" t="n"/>
      <c r="I10" s="420" t="n"/>
      <c r="J10" s="421" t="n"/>
    </row>
    <row r="11" ht="31.5" customFormat="1" customHeight="1" s="236">
      <c r="B11" s="423" t="n"/>
      <c r="C11" s="423" t="n"/>
      <c r="D11" s="423" t="n"/>
      <c r="E11" s="423" t="n"/>
      <c r="F11" s="341" t="inlineStr">
        <is>
          <t>Строительные работы</t>
        </is>
      </c>
      <c r="G11" s="341" t="inlineStr">
        <is>
          <t>Монтажные работы</t>
        </is>
      </c>
      <c r="H11" s="341" t="inlineStr">
        <is>
          <t>Оборудование</t>
        </is>
      </c>
      <c r="I11" s="341" t="inlineStr">
        <is>
          <t>Прочее</t>
        </is>
      </c>
      <c r="J11" s="341" t="inlineStr">
        <is>
          <t>Всего</t>
        </is>
      </c>
    </row>
    <row r="12" ht="63" customFormat="1" customHeight="1" s="236">
      <c r="B12" s="341" t="n">
        <v>1</v>
      </c>
      <c r="C12" s="341" t="inlineStr">
        <is>
          <t>Дизель-генераторная установка на ДТ контейнерный 1 кВ 1000 кВт - 1 компл</t>
        </is>
      </c>
      <c r="D12" s="326" t="inlineStr">
        <is>
          <t>04-01-01</t>
        </is>
      </c>
      <c r="E12" s="327" t="inlineStr">
        <is>
          <t>Дизель-генераторная установка. Конструктивно-строительные решения</t>
        </is>
      </c>
      <c r="F12" s="318">
        <f>6266/1000*12.15*1.02*0.964</f>
        <v/>
      </c>
      <c r="G12" s="318" t="n"/>
      <c r="H12" s="318" t="n"/>
      <c r="I12" s="318" t="n"/>
      <c r="J12" s="318">
        <f>SUM(F12:I12)</f>
        <v/>
      </c>
      <c r="K12" s="424" t="n"/>
      <c r="L12" s="424" t="n"/>
    </row>
    <row r="13" ht="63" customFormat="1" customHeight="1" s="236">
      <c r="B13" s="423" t="n"/>
      <c r="C13" s="423" t="n"/>
      <c r="D13" s="326" t="inlineStr">
        <is>
          <t>04-01-02</t>
        </is>
      </c>
      <c r="E13" s="327" t="inlineStr">
        <is>
          <t>Дизель-генераторная установка. Электротехнические решения</t>
        </is>
      </c>
      <c r="F13" s="318" t="n"/>
      <c r="G13" s="318">
        <f>8499/1000*12.15*1.02*0.964</f>
        <v/>
      </c>
      <c r="H13" s="318">
        <f>1716887/1000*4.44</f>
        <v/>
      </c>
      <c r="I13" s="318" t="n"/>
      <c r="J13" s="318">
        <f>SUM(F13:I13)</f>
        <v/>
      </c>
    </row>
    <row r="14" ht="15.6" customFormat="1" customHeight="1" s="236">
      <c r="B14" s="339" t="inlineStr">
        <is>
          <t>Всего по объекту:</t>
        </is>
      </c>
      <c r="C14" s="420" t="n"/>
      <c r="D14" s="420" t="n"/>
      <c r="E14" s="421" t="n"/>
      <c r="F14" s="320">
        <f>SUM(F12:F13)</f>
        <v/>
      </c>
      <c r="G14" s="320">
        <f>SUM(G12:G13)</f>
        <v/>
      </c>
      <c r="H14" s="320">
        <f>SUM(H12:H13)</f>
        <v/>
      </c>
      <c r="I14" s="320">
        <f>SUM(I12:I13)</f>
        <v/>
      </c>
      <c r="J14" s="320">
        <f>SUM(F14:I14)</f>
        <v/>
      </c>
    </row>
    <row r="15" ht="28.5" customFormat="1" customHeight="1" s="236">
      <c r="B15" s="339" t="inlineStr">
        <is>
          <t>Всего по объекту в сопоставимом уровне цен 4 кв. 2017 г:</t>
        </is>
      </c>
      <c r="C15" s="420" t="n"/>
      <c r="D15" s="420" t="n"/>
      <c r="E15" s="421" t="n"/>
      <c r="F15" s="321">
        <f>F14</f>
        <v/>
      </c>
      <c r="G15" s="321">
        <f>G14</f>
        <v/>
      </c>
      <c r="H15" s="321">
        <f>H14</f>
        <v/>
      </c>
      <c r="I15" s="321">
        <f>I14</f>
        <v/>
      </c>
      <c r="J15" s="321">
        <f>SUM(F15:I15)</f>
        <v/>
      </c>
    </row>
    <row r="16" ht="15.6" customFormat="1" customHeight="1" s="236">
      <c r="B16" s="335" t="n"/>
    </row>
    <row r="17" ht="15.6" customFormat="1" customHeight="1" s="236"/>
    <row r="18" ht="15.6" customFormat="1" customHeight="1" s="236"/>
    <row r="19" ht="15.6" customFormat="1" customHeight="1" s="236">
      <c r="C19" s="236" t="inlineStr">
        <is>
          <t>Составил ______________________         Д.Ю. Нефедова</t>
        </is>
      </c>
    </row>
    <row r="20" ht="15.6" customFormat="1" customHeight="1" s="236">
      <c r="C20" s="237" t="inlineStr">
        <is>
          <t xml:space="preserve">                         (подпись, инициалы, фамилия)</t>
        </is>
      </c>
    </row>
    <row r="21" ht="15.6" customFormat="1" customHeight="1" s="236"/>
    <row r="22" ht="15.6" customFormat="1" customHeight="1" s="236">
      <c r="C22" s="236" t="inlineStr">
        <is>
          <t>Проверил ______________________         А.В. Костянецкая</t>
        </is>
      </c>
    </row>
    <row r="23" ht="15.6" customFormat="1" customHeight="1" s="236">
      <c r="C23" s="237" t="inlineStr">
        <is>
          <t xml:space="preserve">                        (подпись, инициалы, фамилия)</t>
        </is>
      </c>
    </row>
    <row r="24" ht="15.6" customFormat="1" customHeight="1" s="236"/>
    <row r="25" ht="15" customHeight="1" s="301"/>
    <row r="26" ht="15" customHeight="1" s="301"/>
    <row r="27" ht="15" customHeight="1" s="301"/>
    <row r="28" ht="15" customHeight="1" s="301"/>
    <row r="29" ht="15" customHeight="1" s="301"/>
    <row r="30" ht="15" customHeight="1" s="301"/>
    <row r="31" ht="15" customHeight="1" s="301"/>
    <row r="32" ht="15" customHeight="1" s="301"/>
    <row r="33" ht="15" customHeight="1" s="301"/>
  </sheetData>
  <mergeCells count="14">
    <mergeCell ref="B7:J7"/>
    <mergeCell ref="B3:J3"/>
    <mergeCell ref="D10:D11"/>
    <mergeCell ref="D9:J9"/>
    <mergeCell ref="B12:B13"/>
    <mergeCell ref="C12:C13"/>
    <mergeCell ref="F10:J10"/>
    <mergeCell ref="B15:E15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P97"/>
  <sheetViews>
    <sheetView view="pageBreakPreview" topLeftCell="A71" zoomScale="70" zoomScaleSheetLayoutView="70" workbookViewId="0">
      <selection activeCell="D95" sqref="D95"/>
    </sheetView>
  </sheetViews>
  <sheetFormatPr baseColWidth="8" defaultColWidth="9.140625" defaultRowHeight="15.75"/>
  <cols>
    <col width="9.140625" customWidth="1" style="238" min="1" max="1"/>
    <col width="12.5703125" customWidth="1" style="236" min="2" max="2"/>
    <col width="22.42578125" customWidth="1" style="236" min="3" max="3"/>
    <col width="49.7109375" customWidth="1" style="237" min="4" max="4"/>
    <col width="10.140625" customWidth="1" style="236" min="5" max="5"/>
    <col width="20.7109375" customWidth="1" style="236" min="6" max="6"/>
    <col width="20" customWidth="1" style="237" min="7" max="7"/>
    <col width="16.7109375" customWidth="1" style="237" min="8" max="8"/>
    <col width="9.140625" customWidth="1" style="236" min="9" max="9"/>
    <col width="15" customWidth="1" style="301" min="11" max="11"/>
    <col width="9.140625" customWidth="1" style="236" min="16" max="16"/>
  </cols>
  <sheetData>
    <row r="2" s="301">
      <c r="A2" s="238" t="n"/>
      <c r="B2" s="236" t="n"/>
      <c r="C2" s="236" t="n"/>
      <c r="D2" s="237" t="n"/>
      <c r="E2" s="236" t="n"/>
      <c r="F2" s="236" t="n"/>
      <c r="G2" s="237" t="n"/>
      <c r="H2" s="237" t="n"/>
      <c r="I2" s="236" t="n"/>
      <c r="P2" s="236" t="n"/>
    </row>
    <row r="3">
      <c r="A3" s="336" t="inlineStr">
        <is>
          <t xml:space="preserve">Приложение № 3 </t>
        </is>
      </c>
    </row>
    <row r="4">
      <c r="A4" s="340" t="inlineStr">
        <is>
          <t>Объектная ресурсная ведомость</t>
        </is>
      </c>
    </row>
    <row r="5" ht="18.75" customHeight="1" s="301">
      <c r="A5" s="337" t="n"/>
      <c r="B5" s="337" t="n"/>
      <c r="C5" s="3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>
      <c r="A7" s="342" t="inlineStr">
        <is>
          <t>Наименование разрабатываемого показателя УНЦ -  ДГУ напряжение 0,4 кВ</t>
        </is>
      </c>
    </row>
    <row r="8">
      <c r="B8" s="342" t="n"/>
      <c r="C8" s="342" t="n"/>
      <c r="D8" s="342" t="n"/>
      <c r="E8" s="342" t="n"/>
      <c r="F8" s="342" t="n"/>
      <c r="G8" s="342" t="n"/>
      <c r="H8" s="342" t="n"/>
    </row>
    <row r="9" ht="38.25" customHeight="1" s="301">
      <c r="A9" s="341" t="inlineStr">
        <is>
          <t>п/п</t>
        </is>
      </c>
      <c r="B9" s="341" t="inlineStr">
        <is>
          <t>№ЛСР</t>
        </is>
      </c>
      <c r="C9" s="341" t="inlineStr">
        <is>
          <t>Код ресурса</t>
        </is>
      </c>
      <c r="D9" s="341" t="inlineStr">
        <is>
          <t>Наименование ресурса</t>
        </is>
      </c>
      <c r="E9" s="341" t="inlineStr">
        <is>
          <t>Ед. изм.</t>
        </is>
      </c>
      <c r="F9" s="341" t="inlineStr">
        <is>
          <t>Кол-во единиц по данным объекта-представителя</t>
        </is>
      </c>
      <c r="G9" s="341" t="inlineStr">
        <is>
          <t>Сметная стоимость в ценах на 01.01.2000 (руб.)</t>
        </is>
      </c>
      <c r="H9" s="421" t="n"/>
    </row>
    <row r="10" ht="40.7" customHeight="1" s="301">
      <c r="A10" s="423" t="n"/>
      <c r="B10" s="423" t="n"/>
      <c r="C10" s="423" t="n"/>
      <c r="D10" s="423" t="n"/>
      <c r="E10" s="423" t="n"/>
      <c r="F10" s="423" t="n"/>
      <c r="G10" s="341" t="inlineStr">
        <is>
          <t>на ед.изм.</t>
        </is>
      </c>
      <c r="H10" s="341" t="inlineStr">
        <is>
          <t>общая</t>
        </is>
      </c>
    </row>
    <row r="11">
      <c r="A11" s="244" t="n">
        <v>1</v>
      </c>
      <c r="B11" s="244" t="n"/>
      <c r="C11" s="244" t="n">
        <v>2</v>
      </c>
      <c r="D11" s="244" t="inlineStr">
        <is>
          <t>З</t>
        </is>
      </c>
      <c r="E11" s="244" t="n">
        <v>4</v>
      </c>
      <c r="F11" s="244" t="n">
        <v>5</v>
      </c>
      <c r="G11" s="244" t="n">
        <v>6</v>
      </c>
      <c r="H11" s="244" t="n">
        <v>7</v>
      </c>
    </row>
    <row r="12" customFormat="1" s="241">
      <c r="A12" s="345" t="inlineStr">
        <is>
          <t>Затраты труда рабочих</t>
        </is>
      </c>
      <c r="B12" s="420" t="n"/>
      <c r="C12" s="420" t="n"/>
      <c r="D12" s="420" t="n"/>
      <c r="E12" s="421" t="n"/>
      <c r="F12" s="260">
        <f>SUM(F13:F22)</f>
        <v/>
      </c>
      <c r="G12" s="262" t="n"/>
      <c r="H12" s="260">
        <f>SUM(H13:H22)</f>
        <v/>
      </c>
    </row>
    <row r="13">
      <c r="A13" s="356" t="n">
        <v>1</v>
      </c>
      <c r="B13" s="243" t="n"/>
      <c r="C13" s="267" t="inlineStr">
        <is>
          <t>1-4-0</t>
        </is>
      </c>
      <c r="D13" s="355" t="inlineStr">
        <is>
          <t>Затраты труда рабочих (средний разряд работы 4,0)</t>
        </is>
      </c>
      <c r="E13" s="374" t="inlineStr">
        <is>
          <t>чел.-ч</t>
        </is>
      </c>
      <c r="F13" s="267" t="n">
        <v>242</v>
      </c>
      <c r="G13" s="275" t="n">
        <v>9.619999999999999</v>
      </c>
      <c r="H13" s="220">
        <f>ROUND(F13*G13,2)</f>
        <v/>
      </c>
    </row>
    <row r="14">
      <c r="A14" s="356" t="n">
        <v>2</v>
      </c>
      <c r="B14" s="243" t="n"/>
      <c r="C14" s="267" t="inlineStr">
        <is>
          <t>1-2-9</t>
        </is>
      </c>
      <c r="D14" s="355" t="inlineStr">
        <is>
          <t>Затраты труда рабочих (средний разряд работы 2,9)</t>
        </is>
      </c>
      <c r="E14" s="374" t="inlineStr">
        <is>
          <t>чел.-ч</t>
        </is>
      </c>
      <c r="F14" s="267" t="n">
        <v>24.3456</v>
      </c>
      <c r="G14" s="275" t="n">
        <v>8.460000000000001</v>
      </c>
      <c r="H14" s="220">
        <f>ROUND(F14*G14,2)</f>
        <v/>
      </c>
    </row>
    <row r="15">
      <c r="A15" s="356" t="n">
        <v>3</v>
      </c>
      <c r="B15" s="243" t="n"/>
      <c r="C15" s="267" t="inlineStr">
        <is>
          <t>1-3-0</t>
        </is>
      </c>
      <c r="D15" s="355" t="inlineStr">
        <is>
          <t>Затраты труда рабочих (средний разряд работы 3,0)</t>
        </is>
      </c>
      <c r="E15" s="374" t="inlineStr">
        <is>
          <t>чел.-ч</t>
        </is>
      </c>
      <c r="F15" s="267" t="n">
        <v>17.762668</v>
      </c>
      <c r="G15" s="275" t="n">
        <v>8.529999999999999</v>
      </c>
      <c r="H15" s="220">
        <f>ROUND(F15*G15,2)</f>
        <v/>
      </c>
    </row>
    <row r="16">
      <c r="A16" s="356" t="n">
        <v>4</v>
      </c>
      <c r="B16" s="243" t="n"/>
      <c r="C16" s="267" t="inlineStr">
        <is>
          <t>1-2-5</t>
        </is>
      </c>
      <c r="D16" s="355" t="inlineStr">
        <is>
          <t>Затраты труда рабочих (средний разряд работы 2,5)</t>
        </is>
      </c>
      <c r="E16" s="374" t="inlineStr">
        <is>
          <t>чел.-ч</t>
        </is>
      </c>
      <c r="F16" s="267" t="n">
        <v>14.72</v>
      </c>
      <c r="G16" s="275" t="n">
        <v>8.17</v>
      </c>
      <c r="H16" s="220">
        <f>ROUND(F16*G16,2)</f>
        <v/>
      </c>
    </row>
    <row r="17">
      <c r="A17" s="356" t="n">
        <v>5</v>
      </c>
      <c r="B17" s="243" t="n"/>
      <c r="C17" s="267" t="inlineStr">
        <is>
          <t>1-3-5</t>
        </is>
      </c>
      <c r="D17" s="355" t="inlineStr">
        <is>
          <t>Затраты труда рабочих (средний разряд работы 3,5)</t>
        </is>
      </c>
      <c r="E17" s="374" t="inlineStr">
        <is>
          <t>чел.-ч</t>
        </is>
      </c>
      <c r="F17" s="267" t="n">
        <v>7.320876</v>
      </c>
      <c r="G17" s="275" t="n">
        <v>9.07</v>
      </c>
      <c r="H17" s="220">
        <f>ROUND(F17*G17,2)</f>
        <v/>
      </c>
    </row>
    <row r="18">
      <c r="A18" s="356" t="n">
        <v>6</v>
      </c>
      <c r="B18" s="243" t="n"/>
      <c r="C18" s="267" t="inlineStr">
        <is>
          <t>1-2-0</t>
        </is>
      </c>
      <c r="D18" s="355" t="inlineStr">
        <is>
          <t>Затраты труда рабочих (средний разряд работы 2,0)</t>
        </is>
      </c>
      <c r="E18" s="374" t="inlineStr">
        <is>
          <t>чел.-ч</t>
        </is>
      </c>
      <c r="F18" s="267" t="n">
        <v>8.081286</v>
      </c>
      <c r="G18" s="275" t="n">
        <v>7.8</v>
      </c>
      <c r="H18" s="220">
        <f>ROUND(F18*G18,2)</f>
        <v/>
      </c>
    </row>
    <row r="19">
      <c r="A19" s="356" t="n">
        <v>7</v>
      </c>
      <c r="B19" s="243" t="n"/>
      <c r="C19" s="267" t="inlineStr">
        <is>
          <t>1-3-7</t>
        </is>
      </c>
      <c r="D19" s="355" t="inlineStr">
        <is>
          <t>Затраты труда рабочих (средний разряд работы 3,7)</t>
        </is>
      </c>
      <c r="E19" s="374" t="inlineStr">
        <is>
          <t>чел.-ч</t>
        </is>
      </c>
      <c r="F19" s="267" t="n">
        <v>6.048</v>
      </c>
      <c r="G19" s="275" t="n">
        <v>9.289999999999999</v>
      </c>
      <c r="H19" s="220">
        <f>ROUND(F19*G19,2)</f>
        <v/>
      </c>
    </row>
    <row r="20">
      <c r="A20" s="356" t="n">
        <v>8</v>
      </c>
      <c r="B20" s="243" t="n"/>
      <c r="C20" s="267" t="inlineStr">
        <is>
          <t>1-3-9</t>
        </is>
      </c>
      <c r="D20" s="355" t="inlineStr">
        <is>
          <t>Затраты труда рабочих (средний разряд работы 3,9)</t>
        </is>
      </c>
      <c r="E20" s="374" t="inlineStr">
        <is>
          <t>чел.-ч</t>
        </is>
      </c>
      <c r="F20" s="267" t="n">
        <v>2.12</v>
      </c>
      <c r="G20" s="275" t="n">
        <v>9.51</v>
      </c>
      <c r="H20" s="220">
        <f>ROUND(F20*G20,2)</f>
        <v/>
      </c>
    </row>
    <row r="21">
      <c r="A21" s="356" t="n">
        <v>9</v>
      </c>
      <c r="B21" s="243" t="n"/>
      <c r="C21" s="267" t="inlineStr">
        <is>
          <t>1-2-4</t>
        </is>
      </c>
      <c r="D21" s="355" t="inlineStr">
        <is>
          <t>Затраты труда рабочих (средний разряд работы 2,4)</t>
        </is>
      </c>
      <c r="E21" s="374" t="inlineStr">
        <is>
          <t>чел.-ч</t>
        </is>
      </c>
      <c r="F21" s="267" t="n">
        <v>0.91922</v>
      </c>
      <c r="G21" s="275" t="n">
        <v>8.09</v>
      </c>
      <c r="H21" s="220">
        <f>ROUND(F21*G21,2)</f>
        <v/>
      </c>
    </row>
    <row r="22">
      <c r="A22" s="356" t="n">
        <v>10</v>
      </c>
      <c r="B22" s="243" t="n"/>
      <c r="C22" s="267" t="inlineStr">
        <is>
          <t>1-4-9</t>
        </is>
      </c>
      <c r="D22" s="355" t="inlineStr">
        <is>
          <t>Затраты труда рабочих (средний разряд работы 4,9)</t>
        </is>
      </c>
      <c r="E22" s="374" t="inlineStr">
        <is>
          <t>чел.-ч</t>
        </is>
      </c>
      <c r="F22" s="267" t="n">
        <v>0.0784</v>
      </c>
      <c r="G22" s="275" t="n">
        <v>10.94</v>
      </c>
      <c r="H22" s="220">
        <f>ROUND(F22*G22,2)</f>
        <v/>
      </c>
    </row>
    <row r="23">
      <c r="A23" s="344" t="inlineStr">
        <is>
          <t>Затраты труда машинистов</t>
        </is>
      </c>
      <c r="B23" s="420" t="n"/>
      <c r="C23" s="420" t="n"/>
      <c r="D23" s="420" t="n"/>
      <c r="E23" s="421" t="n"/>
      <c r="F23" s="345" t="n"/>
      <c r="G23" s="276" t="n"/>
      <c r="H23" s="260">
        <f>H24</f>
        <v/>
      </c>
    </row>
    <row r="24">
      <c r="A24" s="356" t="n">
        <v>11</v>
      </c>
      <c r="B24" s="346" t="n"/>
      <c r="C24" s="270" t="n">
        <v>2</v>
      </c>
      <c r="D24" s="355" t="inlineStr">
        <is>
          <t>Затраты труда машинистов(справочно)</t>
        </is>
      </c>
      <c r="E24" s="374" t="inlineStr">
        <is>
          <t>чел.-ч</t>
        </is>
      </c>
      <c r="F24" s="374" t="n">
        <v>34.98</v>
      </c>
      <c r="G24" s="220" t="n"/>
      <c r="H24" s="358" t="n">
        <v>480.85</v>
      </c>
    </row>
    <row r="25" customFormat="1" s="241">
      <c r="A25" s="345" t="inlineStr">
        <is>
          <t>Машины и механизмы</t>
        </is>
      </c>
      <c r="B25" s="420" t="n"/>
      <c r="C25" s="420" t="n"/>
      <c r="D25" s="420" t="n"/>
      <c r="E25" s="421" t="n"/>
      <c r="F25" s="345" t="n"/>
      <c r="G25" s="276" t="n"/>
      <c r="H25" s="260">
        <f>SUM(H26:H51)</f>
        <v/>
      </c>
    </row>
    <row r="26" ht="25.5" customHeight="1" s="301">
      <c r="A26" s="356" t="n">
        <v>12</v>
      </c>
      <c r="B26" s="346" t="n"/>
      <c r="C26" s="267" t="inlineStr">
        <is>
          <t>91.05.08-007</t>
        </is>
      </c>
      <c r="D26" s="355" t="inlineStr">
        <is>
          <t>Краны на пневмоколесном ходу, грузоподъемность 25 т</t>
        </is>
      </c>
      <c r="E26" s="356" t="inlineStr">
        <is>
          <t>маш.-ч</t>
        </is>
      </c>
      <c r="F26" s="267" t="n">
        <v>14.38</v>
      </c>
      <c r="G26" s="358" t="n">
        <v>102.51</v>
      </c>
      <c r="H26" s="220">
        <f>ROUND(F26*G26,2)</f>
        <v/>
      </c>
      <c r="I26" s="263" t="n"/>
    </row>
    <row r="27" customFormat="1" s="241">
      <c r="A27" s="356" t="n">
        <v>13</v>
      </c>
      <c r="B27" s="346" t="n"/>
      <c r="C27" s="267" t="inlineStr">
        <is>
          <t>91.05.06-007</t>
        </is>
      </c>
      <c r="D27" s="355" t="inlineStr">
        <is>
          <t>Краны на гусеничном ходу, грузоподъемность 25 т</t>
        </is>
      </c>
      <c r="E27" s="356" t="inlineStr">
        <is>
          <t>маш.-ч</t>
        </is>
      </c>
      <c r="F27" s="267" t="n">
        <v>4.59</v>
      </c>
      <c r="G27" s="358" t="n">
        <v>120.04</v>
      </c>
      <c r="H27" s="220">
        <f>ROUND(F27*G27,2)</f>
        <v/>
      </c>
      <c r="I27" s="263" t="n"/>
    </row>
    <row r="28">
      <c r="A28" s="356" t="n">
        <v>14</v>
      </c>
      <c r="B28" s="346" t="n"/>
      <c r="C28" s="267" t="inlineStr">
        <is>
          <t>91.14.03-002</t>
        </is>
      </c>
      <c r="D28" s="355" t="inlineStr">
        <is>
          <t>Автомобили-самосвалы, грузоподъемность до 10 т</t>
        </is>
      </c>
      <c r="E28" s="356" t="inlineStr">
        <is>
          <t>маш.-ч</t>
        </is>
      </c>
      <c r="F28" s="267" t="n">
        <v>4.660705</v>
      </c>
      <c r="G28" s="358" t="n">
        <v>87.48999999999999</v>
      </c>
      <c r="H28" s="220">
        <f>ROUND(F28*G28,2)</f>
        <v/>
      </c>
      <c r="I28" s="263" t="n"/>
    </row>
    <row r="29" ht="25.5" customHeight="1" s="301">
      <c r="A29" s="356" t="n">
        <v>15</v>
      </c>
      <c r="B29" s="346" t="n"/>
      <c r="C29" s="267" t="inlineStr">
        <is>
          <t>91.15.02-024</t>
        </is>
      </c>
      <c r="D29" s="355" t="inlineStr">
        <is>
          <t>Тракторы на гусеничном ходу, мощность 79 кВт (108 л.с.)</t>
        </is>
      </c>
      <c r="E29" s="356" t="inlineStr">
        <is>
          <t>маш.-ч</t>
        </is>
      </c>
      <c r="F29" s="267" t="n">
        <v>3.71</v>
      </c>
      <c r="G29" s="358" t="n">
        <v>83.09999999999999</v>
      </c>
      <c r="H29" s="220">
        <f>ROUND(F29*G29,2)</f>
        <v/>
      </c>
      <c r="I29" s="263" t="n"/>
    </row>
    <row r="30">
      <c r="A30" s="356" t="n">
        <v>16</v>
      </c>
      <c r="B30" s="346" t="n"/>
      <c r="C30" s="267" t="inlineStr">
        <is>
          <t>91.05.01-017</t>
        </is>
      </c>
      <c r="D30" s="355" t="inlineStr">
        <is>
          <t>Краны башенные, грузоподъемность 8 т</t>
        </is>
      </c>
      <c r="E30" s="356" t="inlineStr">
        <is>
          <t>маш.-ч</t>
        </is>
      </c>
      <c r="F30" s="267" t="n">
        <v>2.73742</v>
      </c>
      <c r="G30" s="358" t="n">
        <v>86.40000000000001</v>
      </c>
      <c r="H30" s="220">
        <f>ROUND(F30*G30,2)</f>
        <v/>
      </c>
      <c r="I30" s="263" t="n"/>
    </row>
    <row r="31" ht="25.5" customHeight="1" s="301">
      <c r="A31" s="356" t="n">
        <v>17</v>
      </c>
      <c r="B31" s="346" t="n"/>
      <c r="C31" s="267" t="inlineStr">
        <is>
          <t>91.08.03-030</t>
        </is>
      </c>
      <c r="D31" s="355" t="inlineStr">
        <is>
          <t>Катки самоходные пневмоколесные статические, масса 30 т</t>
        </is>
      </c>
      <c r="E31" s="356" t="inlineStr">
        <is>
          <t>маш.-ч</t>
        </is>
      </c>
      <c r="F31" s="267" t="n">
        <v>0.46398</v>
      </c>
      <c r="G31" s="358" t="n">
        <v>364.07</v>
      </c>
      <c r="H31" s="220">
        <f>ROUND(F31*G31,2)</f>
        <v/>
      </c>
      <c r="I31" s="263" t="n"/>
    </row>
    <row r="32">
      <c r="A32" s="356" t="n">
        <v>18</v>
      </c>
      <c r="B32" s="346" t="n"/>
      <c r="C32" s="267" t="inlineStr">
        <is>
          <t>91.14.01-002</t>
        </is>
      </c>
      <c r="D32" s="355" t="inlineStr">
        <is>
          <t>Автобетоносмесители, объем барабана 5 м3</t>
        </is>
      </c>
      <c r="E32" s="356" t="inlineStr">
        <is>
          <t>маш.-ч</t>
        </is>
      </c>
      <c r="F32" s="267" t="n">
        <v>0.82467</v>
      </c>
      <c r="G32" s="358" t="n">
        <v>173.51</v>
      </c>
      <c r="H32" s="220">
        <f>ROUND(F32*G32,2)</f>
        <v/>
      </c>
      <c r="I32" s="263" t="n"/>
    </row>
    <row r="33" ht="38.25" customHeight="1" s="301">
      <c r="A33" s="356" t="n">
        <v>19</v>
      </c>
      <c r="B33" s="346" t="n"/>
      <c r="C33" s="267" t="inlineStr">
        <is>
          <t>91.18.01-007</t>
        </is>
      </c>
      <c r="D33" s="35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3" s="356" t="inlineStr">
        <is>
          <t>маш.-ч</t>
        </is>
      </c>
      <c r="F33" s="267" t="n">
        <v>1.531264</v>
      </c>
      <c r="G33" s="358" t="n">
        <v>90</v>
      </c>
      <c r="H33" s="220">
        <f>ROUND(F33*G33,2)</f>
        <v/>
      </c>
    </row>
    <row r="34" ht="25.5" customHeight="1" s="301">
      <c r="A34" s="356" t="n">
        <v>20</v>
      </c>
      <c r="B34" s="346" t="n"/>
      <c r="C34" s="267" t="inlineStr">
        <is>
          <t>91.17.04-233</t>
        </is>
      </c>
      <c r="D34" s="355" t="inlineStr">
        <is>
          <t>Установки для сварки ручной дуговой (постоянного тока)</t>
        </is>
      </c>
      <c r="E34" s="356" t="inlineStr">
        <is>
          <t>маш.-ч</t>
        </is>
      </c>
      <c r="F34" s="267" t="n">
        <v>11.4211</v>
      </c>
      <c r="G34" s="358" t="n">
        <v>8.1</v>
      </c>
      <c r="H34" s="220">
        <f>ROUND(F34*G34,2)</f>
        <v/>
      </c>
    </row>
    <row r="35" ht="25.5" customHeight="1" s="301">
      <c r="A35" s="356" t="n">
        <v>21</v>
      </c>
      <c r="B35" s="346" t="n"/>
      <c r="C35" s="267" t="inlineStr">
        <is>
          <t>91.06.05-057</t>
        </is>
      </c>
      <c r="D35" s="355" t="inlineStr">
        <is>
          <t>Погрузчики одноковшовые универсальные фронтальные пневмоколесные, грузоподъемность 3 т</t>
        </is>
      </c>
      <c r="E35" s="356" t="inlineStr">
        <is>
          <t>маш.-ч</t>
        </is>
      </c>
      <c r="F35" s="267" t="n">
        <v>0.512</v>
      </c>
      <c r="G35" s="358" t="n">
        <v>90.40000000000001</v>
      </c>
      <c r="H35" s="220">
        <f>ROUND(F35*G35,2)</f>
        <v/>
      </c>
    </row>
    <row r="36" ht="25.5" customHeight="1" s="301">
      <c r="A36" s="356" t="n">
        <v>22</v>
      </c>
      <c r="B36" s="346" t="n"/>
      <c r="C36" s="267" t="inlineStr">
        <is>
          <t>91.05.05-014</t>
        </is>
      </c>
      <c r="D36" s="355" t="inlineStr">
        <is>
          <t>Краны на автомобильном ходу, грузоподъемность 10 т</t>
        </is>
      </c>
      <c r="E36" s="356" t="inlineStr">
        <is>
          <t>маш.-ч</t>
        </is>
      </c>
      <c r="F36" s="267" t="n">
        <v>0.31843</v>
      </c>
      <c r="G36" s="358" t="n">
        <v>111.99</v>
      </c>
      <c r="H36" s="220">
        <f>ROUND(F36*G36,2)</f>
        <v/>
      </c>
    </row>
    <row r="37" ht="25.5" customHeight="1" s="301">
      <c r="A37" s="356" t="n">
        <v>23</v>
      </c>
      <c r="B37" s="346" t="n"/>
      <c r="C37" s="267" t="inlineStr">
        <is>
          <t>91.01.05-084</t>
        </is>
      </c>
      <c r="D37" s="355" t="inlineStr">
        <is>
          <t>Экскаваторы одноковшовые дизельные на гусеничном ходу, емкость ковша 0,4 м3</t>
        </is>
      </c>
      <c r="E37" s="356" t="inlineStr">
        <is>
          <t>маш.-ч</t>
        </is>
      </c>
      <c r="F37" s="267" t="n">
        <v>0.5905899999999999</v>
      </c>
      <c r="G37" s="358" t="n">
        <v>54.81</v>
      </c>
      <c r="H37" s="220">
        <f>ROUND(F37*G37,2)</f>
        <v/>
      </c>
    </row>
    <row r="38">
      <c r="A38" s="356" t="n">
        <v>24</v>
      </c>
      <c r="B38" s="346" t="n"/>
      <c r="C38" s="267" t="inlineStr">
        <is>
          <t>91.08.09-001</t>
        </is>
      </c>
      <c r="D38" s="355" t="inlineStr">
        <is>
          <t>Виброплиты с двигателем внутреннего сгорания</t>
        </is>
      </c>
      <c r="E38" s="356" t="inlineStr">
        <is>
          <t>маш.-ч</t>
        </is>
      </c>
      <c r="F38" s="267" t="n">
        <v>0.34</v>
      </c>
      <c r="G38" s="358" t="n">
        <v>60</v>
      </c>
      <c r="H38" s="220">
        <f>ROUND(F38*G38,2)</f>
        <v/>
      </c>
    </row>
    <row r="39">
      <c r="A39" s="356" t="n">
        <v>25</v>
      </c>
      <c r="B39" s="346" t="n"/>
      <c r="C39" s="267" t="inlineStr">
        <is>
          <t>91.14.02-001</t>
        </is>
      </c>
      <c r="D39" s="355" t="inlineStr">
        <is>
          <t>Автомобили бортовые, грузоподъемность до 5 т</t>
        </is>
      </c>
      <c r="E39" s="356" t="inlineStr">
        <is>
          <t>маш.-ч</t>
        </is>
      </c>
      <c r="F39" s="267" t="n">
        <v>0.183986</v>
      </c>
      <c r="G39" s="358" t="n">
        <v>65.70999999999999</v>
      </c>
      <c r="H39" s="220">
        <f>ROUND(F39*G39,2)</f>
        <v/>
      </c>
    </row>
    <row r="40">
      <c r="A40" s="356" t="n">
        <v>26</v>
      </c>
      <c r="B40" s="346" t="n"/>
      <c r="C40" s="267" t="inlineStr">
        <is>
          <t>91.06.05-011</t>
        </is>
      </c>
      <c r="D40" s="355" t="inlineStr">
        <is>
          <t>Погрузчики, грузоподъемность 5 т</t>
        </is>
      </c>
      <c r="E40" s="356" t="inlineStr">
        <is>
          <t>маш.-ч</t>
        </is>
      </c>
      <c r="F40" s="267" t="n">
        <v>0.12647</v>
      </c>
      <c r="G40" s="358" t="n">
        <v>89.98999999999999</v>
      </c>
      <c r="H40" s="220">
        <f>ROUND(F40*G40,2)</f>
        <v/>
      </c>
    </row>
    <row r="41" ht="25.5" customHeight="1" s="301">
      <c r="A41" s="356" t="n">
        <v>27</v>
      </c>
      <c r="B41" s="346" t="n"/>
      <c r="C41" s="267" t="inlineStr">
        <is>
          <t>91.01.02-004</t>
        </is>
      </c>
      <c r="D41" s="355" t="inlineStr">
        <is>
          <t>Автогрейдеры среднего типа, мощность 99 кВт (135 л.с.)</t>
        </is>
      </c>
      <c r="E41" s="356" t="inlineStr">
        <is>
          <t>маш.-ч</t>
        </is>
      </c>
      <c r="F41" s="267" t="n">
        <v>0.08740000000000001</v>
      </c>
      <c r="G41" s="358" t="n">
        <v>123</v>
      </c>
      <c r="H41" s="220">
        <f>ROUND(F41*G41,2)</f>
        <v/>
      </c>
    </row>
    <row r="42">
      <c r="A42" s="356" t="n">
        <v>28</v>
      </c>
      <c r="B42" s="346" t="n"/>
      <c r="C42" s="267" t="inlineStr">
        <is>
          <t>91.01.01-035</t>
        </is>
      </c>
      <c r="D42" s="355" t="inlineStr">
        <is>
          <t>Бульдозеры, мощность 79 кВт (108 л.с.)</t>
        </is>
      </c>
      <c r="E42" s="356" t="inlineStr">
        <is>
          <t>маш.-ч</t>
        </is>
      </c>
      <c r="F42" s="267" t="n">
        <v>0.135584</v>
      </c>
      <c r="G42" s="358" t="n">
        <v>79.06999999999999</v>
      </c>
      <c r="H42" s="220">
        <f>ROUND(F42*G42,2)</f>
        <v/>
      </c>
    </row>
    <row r="43">
      <c r="A43" s="356" t="n">
        <v>29</v>
      </c>
      <c r="B43" s="346" t="n"/>
      <c r="C43" s="267" t="inlineStr">
        <is>
          <t>91.08.04-021</t>
        </is>
      </c>
      <c r="D43" s="355" t="inlineStr">
        <is>
          <t>Котлы битумные передвижные 400 л</t>
        </is>
      </c>
      <c r="E43" s="356" t="inlineStr">
        <is>
          <t>маш.-ч</t>
        </is>
      </c>
      <c r="F43" s="267" t="n">
        <v>0.195</v>
      </c>
      <c r="G43" s="358" t="n">
        <v>30</v>
      </c>
      <c r="H43" s="220">
        <f>ROUND(F43*G43,2)</f>
        <v/>
      </c>
    </row>
    <row r="44">
      <c r="A44" s="356" t="n">
        <v>30</v>
      </c>
      <c r="B44" s="346" t="n"/>
      <c r="C44" s="267" t="inlineStr">
        <is>
          <t>91.13.01-038</t>
        </is>
      </c>
      <c r="D44" s="355" t="inlineStr">
        <is>
          <t>Машины поливомоечные 6000 л</t>
        </is>
      </c>
      <c r="E44" s="356" t="inlineStr">
        <is>
          <t>маш.-ч</t>
        </is>
      </c>
      <c r="F44" s="267" t="n">
        <v>0.03952</v>
      </c>
      <c r="G44" s="358" t="n">
        <v>110</v>
      </c>
      <c r="H44" s="220">
        <f>ROUND(F44*G44,2)</f>
        <v/>
      </c>
    </row>
    <row r="45" ht="25.5" customHeight="1" s="301">
      <c r="A45" s="356" t="n">
        <v>31</v>
      </c>
      <c r="B45" s="346" t="n"/>
      <c r="C45" s="267" t="inlineStr">
        <is>
          <t>91.01.05-086</t>
        </is>
      </c>
      <c r="D45" s="355" t="inlineStr">
        <is>
          <t>Экскаваторы одноковшовые дизельные на гусеничном ходу, емкость ковша 0,65 м3</t>
        </is>
      </c>
      <c r="E45" s="356" t="inlineStr">
        <is>
          <t>маш.-ч</t>
        </is>
      </c>
      <c r="F45" s="267" t="n">
        <v>0.022968</v>
      </c>
      <c r="G45" s="358" t="n">
        <v>115.27</v>
      </c>
      <c r="H45" s="220">
        <f>ROUND(F45*G45,2)</f>
        <v/>
      </c>
    </row>
    <row r="46" ht="25.5" customHeight="1" s="301">
      <c r="A46" s="356" t="n">
        <v>32</v>
      </c>
      <c r="B46" s="346" t="n"/>
      <c r="C46" s="267" t="inlineStr">
        <is>
          <t>91.08.09-023</t>
        </is>
      </c>
      <c r="D46" s="355" t="inlineStr">
        <is>
          <t>Трамбовки пневматические при работе от передвижных компрессорных станций</t>
        </is>
      </c>
      <c r="E46" s="356" t="inlineStr">
        <is>
          <t>маш.-ч</t>
        </is>
      </c>
      <c r="F46" s="267" t="n">
        <v>3.438288</v>
      </c>
      <c r="G46" s="358" t="n">
        <v>0.55</v>
      </c>
      <c r="H46" s="220">
        <f>ROUND(F46*G46,2)</f>
        <v/>
      </c>
    </row>
    <row r="47">
      <c r="A47" s="356" t="n">
        <v>33</v>
      </c>
      <c r="B47" s="346" t="n"/>
      <c r="C47" s="267" t="inlineStr">
        <is>
          <t>91.07.04-001</t>
        </is>
      </c>
      <c r="D47" s="355" t="inlineStr">
        <is>
          <t>Вибраторы глубинные</t>
        </is>
      </c>
      <c r="E47" s="356" t="inlineStr">
        <is>
          <t>маш.-ч</t>
        </is>
      </c>
      <c r="F47" s="267" t="n">
        <v>0.82467</v>
      </c>
      <c r="G47" s="358" t="n">
        <v>1.9</v>
      </c>
      <c r="H47" s="220">
        <f>ROUND(F47*G47,2)</f>
        <v/>
      </c>
    </row>
    <row r="48">
      <c r="A48" s="356" t="n">
        <v>34</v>
      </c>
      <c r="B48" s="346" t="n"/>
      <c r="C48" s="267" t="inlineStr">
        <is>
          <t>91.17.04-042</t>
        </is>
      </c>
      <c r="D48" s="355" t="inlineStr">
        <is>
          <t>Аппараты для газовой сварки и резки</t>
        </is>
      </c>
      <c r="E48" s="356" t="inlineStr">
        <is>
          <t>маш.-ч</t>
        </is>
      </c>
      <c r="F48" s="267" t="n">
        <v>0.97</v>
      </c>
      <c r="G48" s="358" t="n">
        <v>1.2</v>
      </c>
      <c r="H48" s="220">
        <f>ROUND(F48*G48,2)</f>
        <v/>
      </c>
    </row>
    <row r="49">
      <c r="A49" s="356" t="n">
        <v>35</v>
      </c>
      <c r="B49" s="346" t="n"/>
      <c r="C49" s="267" t="inlineStr">
        <is>
          <t>91.07.04-002</t>
        </is>
      </c>
      <c r="D49" s="355" t="inlineStr">
        <is>
          <t>Вибраторы поверхностные</t>
        </is>
      </c>
      <c r="E49" s="356" t="inlineStr">
        <is>
          <t>маш.-ч</t>
        </is>
      </c>
      <c r="F49" s="267" t="n">
        <v>1.9488</v>
      </c>
      <c r="G49" s="358" t="n">
        <v>0.5</v>
      </c>
      <c r="H49" s="220">
        <f>ROUND(F49*G49,2)</f>
        <v/>
      </c>
    </row>
    <row r="50" ht="25.5" customFormat="1" customHeight="1" s="241">
      <c r="A50" s="356" t="n">
        <v>36</v>
      </c>
      <c r="B50" s="346" t="n"/>
      <c r="C50" s="267" t="inlineStr">
        <is>
          <t>91.21.01-012</t>
        </is>
      </c>
      <c r="D50" s="355" t="inlineStr">
        <is>
          <t>Агрегаты окрасочные высокого давления для окраски поверхностей конструкций, мощность 1 кВт</t>
        </is>
      </c>
      <c r="E50" s="356" t="inlineStr">
        <is>
          <t>маш.-ч</t>
        </is>
      </c>
      <c r="F50" s="267" t="n">
        <v>0.0224</v>
      </c>
      <c r="G50" s="358" t="n">
        <v>6.82</v>
      </c>
      <c r="H50" s="220">
        <f>ROUND(F50*G50,2)</f>
        <v/>
      </c>
    </row>
    <row r="51">
      <c r="A51" s="356" t="n">
        <v>37</v>
      </c>
      <c r="B51" s="346" t="n"/>
      <c r="C51" s="267" t="inlineStr">
        <is>
          <t>91.14.03-001</t>
        </is>
      </c>
      <c r="D51" s="355" t="inlineStr">
        <is>
          <t>Автомобили-самосвалы, грузоподъемность до 7 т</t>
        </is>
      </c>
      <c r="E51" s="356" t="inlineStr">
        <is>
          <t>маш.-ч</t>
        </is>
      </c>
      <c r="F51" s="267" t="n">
        <v>0.000798</v>
      </c>
      <c r="G51" s="358" t="n">
        <v>89.54000000000001</v>
      </c>
      <c r="H51" s="220">
        <f>ROUND(F51*G51,2)</f>
        <v/>
      </c>
    </row>
    <row r="52" ht="15" customHeight="1" s="301">
      <c r="A52" s="344" t="inlineStr">
        <is>
          <t>Оборудование</t>
        </is>
      </c>
      <c r="B52" s="420" t="n"/>
      <c r="C52" s="420" t="n"/>
      <c r="D52" s="420" t="n"/>
      <c r="E52" s="421" t="n"/>
      <c r="F52" s="262" t="n"/>
      <c r="G52" s="262" t="n"/>
      <c r="H52" s="260">
        <f>SUM(H53:H53)</f>
        <v/>
      </c>
    </row>
    <row r="53" ht="31.15" customHeight="1" s="301">
      <c r="A53" s="274" t="n">
        <v>38</v>
      </c>
      <c r="B53" s="344" t="n"/>
      <c r="C53" s="284" t="inlineStr">
        <is>
          <t>Прайс из СД ОП</t>
        </is>
      </c>
      <c r="D53" s="277" t="inlineStr">
        <is>
          <t>Дизель-генераторная установка БКЭМ "НОРД-0660/0.4-У1"</t>
        </is>
      </c>
      <c r="E53" s="284" t="inlineStr">
        <is>
          <t>комплект</t>
        </is>
      </c>
      <c r="F53" s="284" t="n">
        <v>1</v>
      </c>
      <c r="G53" s="313" t="n">
        <v>3278079</v>
      </c>
      <c r="H53" s="280">
        <f>ROUND(F53*G53,2)</f>
        <v/>
      </c>
      <c r="I53" s="259" t="n"/>
    </row>
    <row r="54">
      <c r="A54" s="345" t="inlineStr">
        <is>
          <t>Материалы</t>
        </is>
      </c>
      <c r="B54" s="420" t="n"/>
      <c r="C54" s="420" t="n"/>
      <c r="D54" s="420" t="n"/>
      <c r="E54" s="421" t="n"/>
      <c r="F54" s="345" t="n"/>
      <c r="G54" s="276" t="n"/>
      <c r="H54" s="260">
        <f>SUM(H55:H90)</f>
        <v/>
      </c>
    </row>
    <row r="55" ht="25.5" customHeight="1" s="301">
      <c r="A55" s="274" t="n">
        <v>39</v>
      </c>
      <c r="B55" s="346" t="n"/>
      <c r="C55" s="267" t="inlineStr">
        <is>
          <t>04.1.02.05-0040</t>
        </is>
      </c>
      <c r="D55" s="355" t="inlineStr">
        <is>
          <t>Смеси бетонные тяжелого бетона (БСТ), крупность заполнителя 20 мм, класс В7,5 (М100)</t>
        </is>
      </c>
      <c r="E55" s="356" t="inlineStr">
        <is>
          <t>м3</t>
        </is>
      </c>
      <c r="F55" s="267" t="n">
        <v>12.1403</v>
      </c>
      <c r="G55" s="358" t="n">
        <v>535.46</v>
      </c>
      <c r="H55" s="220">
        <f>ROUND(F55*G55,2)</f>
        <v/>
      </c>
      <c r="I55" s="259" t="n"/>
    </row>
    <row r="56" ht="25.5" customHeight="1" s="301">
      <c r="A56" s="274" t="n">
        <v>40</v>
      </c>
      <c r="B56" s="346" t="n"/>
      <c r="C56" s="267" t="inlineStr">
        <is>
          <t>04.1.02.05-0043</t>
        </is>
      </c>
      <c r="D56" s="355" t="inlineStr">
        <is>
          <t>Смеси бетонные тяжелого бетона (БСТ), крупность заполнителя 20 мм, класс В15 (М200)</t>
        </is>
      </c>
      <c r="E56" s="356" t="inlineStr">
        <is>
          <t>м3</t>
        </is>
      </c>
      <c r="F56" s="267" t="n">
        <v>3.9576</v>
      </c>
      <c r="G56" s="358" t="n">
        <v>665</v>
      </c>
      <c r="H56" s="220">
        <f>ROUND(F56*G56,2)</f>
        <v/>
      </c>
      <c r="I56" s="259" t="n"/>
    </row>
    <row r="57" ht="25.5" customHeight="1" s="301">
      <c r="A57" s="274" t="n">
        <v>41</v>
      </c>
      <c r="B57" s="346" t="n"/>
      <c r="C57" s="267" t="inlineStr">
        <is>
          <t>04.2.02.01-0013</t>
        </is>
      </c>
      <c r="D57" s="355" t="inlineStr">
        <is>
          <t>Асфальт литой: для покрытий тротуаров тип II (жесткий)</t>
        </is>
      </c>
      <c r="E57" s="356" t="inlineStr">
        <is>
          <t>т</t>
        </is>
      </c>
      <c r="F57" s="267" t="n">
        <v>2.856</v>
      </c>
      <c r="G57" s="358" t="n">
        <v>455.39</v>
      </c>
      <c r="H57" s="220">
        <f>ROUND(F57*G57,2)</f>
        <v/>
      </c>
      <c r="I57" s="259" t="n"/>
    </row>
    <row r="58" ht="25.5" customHeight="1" s="301">
      <c r="A58" s="274" t="n">
        <v>42</v>
      </c>
      <c r="B58" s="346" t="n"/>
      <c r="C58" s="267" t="inlineStr">
        <is>
          <t>04.1.02.05-0006</t>
        </is>
      </c>
      <c r="D58" s="355" t="inlineStr">
        <is>
          <t>Смеси бетонные тяжелого бетона (БСТ), класс В15 (М200)</t>
        </is>
      </c>
      <c r="E58" s="356" t="inlineStr">
        <is>
          <t>м3</t>
        </is>
      </c>
      <c r="F58" s="267" t="n">
        <v>1.888</v>
      </c>
      <c r="G58" s="358" t="n">
        <v>592.76</v>
      </c>
      <c r="H58" s="220">
        <f>ROUND(F58*G58,2)</f>
        <v/>
      </c>
      <c r="I58" s="259" t="n"/>
    </row>
    <row r="59" ht="25.5" customHeight="1" s="301">
      <c r="A59" s="274" t="n">
        <v>43</v>
      </c>
      <c r="B59" s="346" t="n"/>
      <c r="C59" s="267" t="inlineStr">
        <is>
          <t>08.4.03.03-0004</t>
        </is>
      </c>
      <c r="D59" s="355" t="inlineStr">
        <is>
          <t>Сталь арматурная рифленая свариваемая, класс А500С, диаметр 12 мм</t>
        </is>
      </c>
      <c r="E59" s="356" t="inlineStr">
        <is>
          <t>т</t>
        </is>
      </c>
      <c r="F59" s="267" t="n">
        <v>0.177</v>
      </c>
      <c r="G59" s="358" t="n">
        <v>5584.58</v>
      </c>
      <c r="H59" s="220">
        <f>ROUND(F59*G59,2)</f>
        <v/>
      </c>
      <c r="I59" s="259" t="n"/>
    </row>
    <row r="60">
      <c r="A60" s="274" t="n">
        <v>44</v>
      </c>
      <c r="B60" s="346" t="n"/>
      <c r="C60" s="267" t="inlineStr">
        <is>
          <t>25.1.01.04-0031</t>
        </is>
      </c>
      <c r="D60" s="355" t="inlineStr">
        <is>
          <t>Шпалы непропитанные для железных дорог, тип I</t>
        </is>
      </c>
      <c r="E60" s="356" t="inlineStr">
        <is>
          <t>шт</t>
        </is>
      </c>
      <c r="F60" s="267" t="n">
        <v>3.2</v>
      </c>
      <c r="G60" s="358" t="n">
        <v>266.67</v>
      </c>
      <c r="H60" s="220">
        <f>ROUND(F60*G60,2)</f>
        <v/>
      </c>
      <c r="I60" s="259" t="n"/>
    </row>
    <row r="61" ht="63.75" customHeight="1" s="301">
      <c r="A61" s="274" t="n">
        <v>45</v>
      </c>
      <c r="B61" s="346" t="n"/>
      <c r="C61" s="267" t="inlineStr">
        <is>
          <t>08.4.01.02-0013</t>
        </is>
      </c>
      <c r="D61" s="355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61" s="356" t="inlineStr">
        <is>
          <t>т</t>
        </is>
      </c>
      <c r="F61" s="267" t="n">
        <v>0.1158</v>
      </c>
      <c r="G61" s="358" t="n">
        <v>6800</v>
      </c>
      <c r="H61" s="220">
        <f>ROUND(F61*G61,2)</f>
        <v/>
      </c>
      <c r="I61" s="259" t="n"/>
    </row>
    <row r="62" ht="25.5" customHeight="1" s="301">
      <c r="A62" s="274" t="n">
        <v>46</v>
      </c>
      <c r="B62" s="346" t="n"/>
      <c r="C62" s="267" t="inlineStr">
        <is>
          <t>05.2.03.03-0031</t>
        </is>
      </c>
      <c r="D62" s="355" t="inlineStr">
        <is>
          <t>Камни бортовые БР 100.20.8, бетон В22,5 (М300), объем 0,016 м3</t>
        </is>
      </c>
      <c r="E62" s="356" t="inlineStr">
        <is>
          <t>шт</t>
        </is>
      </c>
      <c r="F62" s="267" t="n">
        <v>32</v>
      </c>
      <c r="G62" s="358" t="n">
        <v>22.36</v>
      </c>
      <c r="H62" s="220">
        <f>ROUND(F62*G62,2)</f>
        <v/>
      </c>
      <c r="I62" s="259" t="n"/>
    </row>
    <row r="63">
      <c r="A63" s="274" t="n">
        <v>47</v>
      </c>
      <c r="B63" s="346" t="n"/>
      <c r="C63" s="267" t="inlineStr">
        <is>
          <t>02.2.05.04-1772</t>
        </is>
      </c>
      <c r="D63" s="355" t="inlineStr">
        <is>
          <t>Щебень М 600, фракция 20-40 мм, группа 2</t>
        </is>
      </c>
      <c r="E63" s="356" t="inlineStr">
        <is>
          <t>м3</t>
        </is>
      </c>
      <c r="F63" s="267" t="n">
        <v>4.788</v>
      </c>
      <c r="G63" s="358" t="n">
        <v>114.13</v>
      </c>
      <c r="H63" s="220">
        <f>ROUND(F63*G63,2)</f>
        <v/>
      </c>
      <c r="I63" s="259" t="n"/>
    </row>
    <row r="64" ht="102.2" customHeight="1" s="301">
      <c r="A64" s="274" t="n">
        <v>48</v>
      </c>
      <c r="B64" s="346" t="n"/>
      <c r="C64" s="267" t="inlineStr">
        <is>
          <t>01.2.03.03-0122</t>
        </is>
      </c>
      <c r="D64" s="355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64" s="356" t="inlineStr">
        <is>
          <t>кг</t>
        </is>
      </c>
      <c r="F64" s="267" t="n">
        <v>35</v>
      </c>
      <c r="G64" s="358" t="n">
        <v>13.91</v>
      </c>
      <c r="H64" s="220">
        <f>ROUND(F64*G64,2)</f>
        <v/>
      </c>
      <c r="I64" s="259" t="n"/>
    </row>
    <row r="65">
      <c r="A65" s="274" t="n">
        <v>49</v>
      </c>
      <c r="B65" s="346" t="n"/>
      <c r="C65" s="267" t="inlineStr">
        <is>
          <t>02.3.01.02-1011</t>
        </is>
      </c>
      <c r="D65" s="355" t="inlineStr">
        <is>
          <t>Песок природный I класс, средний, круглые сита</t>
        </is>
      </c>
      <c r="E65" s="356" t="inlineStr">
        <is>
          <t>м3</t>
        </is>
      </c>
      <c r="F65" s="267" t="n">
        <v>7.88</v>
      </c>
      <c r="G65" s="358" t="n">
        <v>54.95</v>
      </c>
      <c r="H65" s="220">
        <f>ROUND(F65*G65,2)</f>
        <v/>
      </c>
      <c r="I65" s="259" t="n"/>
    </row>
    <row r="66">
      <c r="A66" s="274" t="n">
        <v>50</v>
      </c>
      <c r="B66" s="346" t="n"/>
      <c r="C66" s="267" t="inlineStr">
        <is>
          <t>07.2.07.13-0171</t>
        </is>
      </c>
      <c r="D66" s="355" t="inlineStr">
        <is>
          <t>Подкладки металлические</t>
        </is>
      </c>
      <c r="E66" s="356" t="inlineStr">
        <is>
          <t>кг</t>
        </is>
      </c>
      <c r="F66" s="267" t="n">
        <v>30.5</v>
      </c>
      <c r="G66" s="358" t="n">
        <v>12.6</v>
      </c>
      <c r="H66" s="220">
        <f>ROUND(F66*G66,2)</f>
        <v/>
      </c>
      <c r="I66" s="259" t="n"/>
    </row>
    <row r="67">
      <c r="A67" s="274" t="n">
        <v>51</v>
      </c>
      <c r="B67" s="346" t="n"/>
      <c r="C67" s="267" t="inlineStr">
        <is>
          <t>08.4.02.03-0002</t>
        </is>
      </c>
      <c r="D67" s="355" t="inlineStr">
        <is>
          <t>Каркасы арматурные класса А-I диаметром: 10 мм</t>
        </is>
      </c>
      <c r="E67" s="356" t="inlineStr">
        <is>
          <t>т</t>
        </is>
      </c>
      <c r="F67" s="267" t="n">
        <v>0.0472</v>
      </c>
      <c r="G67" s="358" t="n">
        <v>7370</v>
      </c>
      <c r="H67" s="220">
        <f>ROUND(F67*G67,2)</f>
        <v/>
      </c>
      <c r="I67" s="259" t="n"/>
    </row>
    <row r="68" ht="25.5" customFormat="1" customHeight="1" s="241">
      <c r="A68" s="274" t="n">
        <v>52</v>
      </c>
      <c r="B68" s="346" t="n"/>
      <c r="C68" s="267" t="inlineStr">
        <is>
          <t>08.4.03.03-0003</t>
        </is>
      </c>
      <c r="D68" s="355" t="inlineStr">
        <is>
          <t>Сталь арматурная рифленая свариваемая, класс А500С, диаметр 10 мм</t>
        </is>
      </c>
      <c r="E68" s="356" t="inlineStr">
        <is>
          <t>т</t>
        </is>
      </c>
      <c r="F68" s="267" t="n">
        <v>0.0235</v>
      </c>
      <c r="G68" s="358" t="n">
        <v>5802.77</v>
      </c>
      <c r="H68" s="220">
        <f>ROUND(F68*G68,2)</f>
        <v/>
      </c>
      <c r="I68" s="259" t="n"/>
    </row>
    <row r="69">
      <c r="A69" s="274" t="n">
        <v>53</v>
      </c>
      <c r="B69" s="346" t="n"/>
      <c r="C69" s="267" t="inlineStr">
        <is>
          <t>01.7.11.07-0040</t>
        </is>
      </c>
      <c r="D69" s="355" t="inlineStr">
        <is>
          <t>Электроды сварочные Э50А, диаметр 4 мм</t>
        </is>
      </c>
      <c r="E69" s="356" t="inlineStr">
        <is>
          <t>т</t>
        </is>
      </c>
      <c r="F69" s="267" t="n">
        <v>0.0086</v>
      </c>
      <c r="G69" s="358" t="n">
        <v>11524</v>
      </c>
      <c r="H69" s="220">
        <f>ROUND(F69*G69,2)</f>
        <v/>
      </c>
      <c r="I69" s="259" t="n"/>
    </row>
    <row r="70">
      <c r="A70" s="274" t="n">
        <v>54</v>
      </c>
      <c r="B70" s="346" t="n"/>
      <c r="C70" s="267" t="inlineStr">
        <is>
          <t>14.2.01.05-0003</t>
        </is>
      </c>
      <c r="D70" s="355" t="inlineStr">
        <is>
          <t>Композиция цинконаполненная</t>
        </is>
      </c>
      <c r="E70" s="356" t="inlineStr">
        <is>
          <t>кг</t>
        </is>
      </c>
      <c r="F70" s="267" t="n">
        <v>0.5600000000000001</v>
      </c>
      <c r="G70" s="358" t="n">
        <v>114.42</v>
      </c>
      <c r="H70" s="220">
        <f>ROUND(F70*G70,2)</f>
        <v/>
      </c>
      <c r="I70" s="259" t="n"/>
    </row>
    <row r="71" ht="25.5" customHeight="1" s="301">
      <c r="A71" s="274" t="n">
        <v>55</v>
      </c>
      <c r="B71" s="346" t="n"/>
      <c r="C71" s="267" t="inlineStr">
        <is>
          <t>08.1.02.11-0023</t>
        </is>
      </c>
      <c r="D71" s="355" t="inlineStr">
        <is>
          <t>Поковки простые строительные (скобы, закрепы, хомуты), масса до 1,6 кг</t>
        </is>
      </c>
      <c r="E71" s="356" t="inlineStr">
        <is>
          <t>кг</t>
        </is>
      </c>
      <c r="F71" s="267" t="n">
        <v>3.2</v>
      </c>
      <c r="G71" s="358" t="n">
        <v>15.14</v>
      </c>
      <c r="H71" s="220">
        <f>ROUND(F71*G71,2)</f>
        <v/>
      </c>
      <c r="I71" s="259" t="n"/>
    </row>
    <row r="72" ht="25.5" customHeight="1" s="301">
      <c r="A72" s="274" t="n">
        <v>56</v>
      </c>
      <c r="B72" s="346" t="n"/>
      <c r="C72" s="267" t="inlineStr">
        <is>
          <t>11.1.03.03-0012</t>
        </is>
      </c>
      <c r="D72" s="355" t="inlineStr">
        <is>
          <t>Брусья необрезные, хвойных пород, длина 4-6,5 м, все ширины, толщина 100, 125 мм, сорт IV</t>
        </is>
      </c>
      <c r="E72" s="356" t="inlineStr">
        <is>
          <t>м3</t>
        </is>
      </c>
      <c r="F72" s="267" t="n">
        <v>0.0544</v>
      </c>
      <c r="G72" s="358" t="n">
        <v>880.01</v>
      </c>
      <c r="H72" s="220">
        <f>ROUND(F72*G72,2)</f>
        <v/>
      </c>
      <c r="I72" s="259" t="n"/>
    </row>
    <row r="73">
      <c r="A73" s="274" t="n">
        <v>57</v>
      </c>
      <c r="B73" s="346" t="n"/>
      <c r="C73" s="267" t="inlineStr">
        <is>
          <t>999-9950</t>
        </is>
      </c>
      <c r="D73" s="355" t="inlineStr">
        <is>
          <t>Вспомогательные ненормируемые материалы</t>
        </is>
      </c>
      <c r="E73" s="356" t="inlineStr">
        <is>
          <t>руб</t>
        </is>
      </c>
      <c r="F73" s="267" t="n">
        <v>46.56</v>
      </c>
      <c r="G73" s="358" t="n">
        <v>1</v>
      </c>
      <c r="H73" s="220">
        <f>ROUND(F73*G73,2)</f>
        <v/>
      </c>
    </row>
    <row r="74">
      <c r="A74" s="274" t="n">
        <v>58</v>
      </c>
      <c r="B74" s="346" t="n"/>
      <c r="C74" s="267" t="inlineStr">
        <is>
          <t>01.7.07.12-0024</t>
        </is>
      </c>
      <c r="D74" s="355" t="inlineStr">
        <is>
          <t>Пленка полиэтиленовая, толщина 0,15 мм</t>
        </is>
      </c>
      <c r="E74" s="356" t="inlineStr">
        <is>
          <t>м2</t>
        </is>
      </c>
      <c r="F74" s="267" t="n">
        <v>12.46</v>
      </c>
      <c r="G74" s="358" t="n">
        <v>3.62</v>
      </c>
      <c r="H74" s="220">
        <f>ROUND(F74*G74,2)</f>
        <v/>
      </c>
    </row>
    <row r="75" ht="25.5" customHeight="1" s="301">
      <c r="A75" s="274" t="n">
        <v>59</v>
      </c>
      <c r="B75" s="346" t="n"/>
      <c r="C75" s="267" t="inlineStr">
        <is>
          <t>01.2.01.01-0019</t>
        </is>
      </c>
      <c r="D75" s="355" t="inlineStr">
        <is>
          <t>Битумы нефтяные дорожные вязкие БНД 60/90, БНД 90/130</t>
        </is>
      </c>
      <c r="E75" s="356" t="inlineStr">
        <is>
          <t>т</t>
        </is>
      </c>
      <c r="F75" s="267" t="n">
        <v>0.024</v>
      </c>
      <c r="G75" s="358" t="n">
        <v>1690</v>
      </c>
      <c r="H75" s="220">
        <f>ROUND(F75*G75,2)</f>
        <v/>
      </c>
    </row>
    <row r="76">
      <c r="A76" s="274" t="n">
        <v>60</v>
      </c>
      <c r="B76" s="346" t="n"/>
      <c r="C76" s="267" t="inlineStr">
        <is>
          <t>01.3.02.08-0001</t>
        </is>
      </c>
      <c r="D76" s="355" t="inlineStr">
        <is>
          <t>Кислород газообразный технический</t>
        </is>
      </c>
      <c r="E76" s="356" t="inlineStr">
        <is>
          <t>м3</t>
        </is>
      </c>
      <c r="F76" s="267" t="n">
        <v>5.9</v>
      </c>
      <c r="G76" s="358" t="n">
        <v>6.22</v>
      </c>
      <c r="H76" s="220">
        <f>ROUND(F76*G76,2)</f>
        <v/>
      </c>
    </row>
    <row r="77" ht="63.75" customHeight="1" s="301">
      <c r="A77" s="274" t="n">
        <v>61</v>
      </c>
      <c r="B77" s="346" t="n"/>
      <c r="C77" s="267" t="inlineStr">
        <is>
          <t>01.2.03.05-0011</t>
        </is>
      </c>
      <c r="D77" s="355" t="inlineStr">
        <is>
          <t>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0,25-0,35 л/м2</t>
        </is>
      </c>
      <c r="E77" s="356" t="inlineStr">
        <is>
          <t>л</t>
        </is>
      </c>
      <c r="F77" s="267" t="n">
        <v>3</v>
      </c>
      <c r="G77" s="358" t="n">
        <v>8.44</v>
      </c>
      <c r="H77" s="220">
        <f>ROUND(F77*G77,2)</f>
        <v/>
      </c>
    </row>
    <row r="78">
      <c r="A78" s="274" t="n">
        <v>62</v>
      </c>
      <c r="B78" s="346" t="n"/>
      <c r="C78" s="267" t="inlineStr">
        <is>
          <t>01.3.02.09-0022</t>
        </is>
      </c>
      <c r="D78" s="355" t="inlineStr">
        <is>
          <t>Пропан-бутан смесь техническая</t>
        </is>
      </c>
      <c r="E78" s="356" t="inlineStr">
        <is>
          <t>кг</t>
        </is>
      </c>
      <c r="F78" s="267" t="n">
        <v>3.5</v>
      </c>
      <c r="G78" s="358" t="n">
        <v>6.09</v>
      </c>
      <c r="H78" s="220">
        <f>ROUND(F78*G78,2)</f>
        <v/>
      </c>
    </row>
    <row r="79">
      <c r="A79" s="274" t="n">
        <v>63</v>
      </c>
      <c r="B79" s="346" t="n"/>
      <c r="C79" s="267" t="inlineStr">
        <is>
          <t>11.2.13.04-0012</t>
        </is>
      </c>
      <c r="D79" s="355" t="inlineStr">
        <is>
          <t>Щиты из досок, толщина 40 мм</t>
        </is>
      </c>
      <c r="E79" s="356" t="inlineStr">
        <is>
          <t>м2</t>
        </is>
      </c>
      <c r="F79" s="267" t="n">
        <v>0.2772</v>
      </c>
      <c r="G79" s="358" t="n">
        <v>57.63</v>
      </c>
      <c r="H79" s="220">
        <f>ROUND(F79*G79,2)</f>
        <v/>
      </c>
    </row>
    <row r="80">
      <c r="A80" s="274" t="n">
        <v>64</v>
      </c>
      <c r="B80" s="346" t="n"/>
      <c r="C80" s="267" t="inlineStr">
        <is>
          <t>04.3.01.09-0014</t>
        </is>
      </c>
      <c r="D80" s="355" t="inlineStr">
        <is>
          <t>Раствор готовый кладочный, цементный, М100</t>
        </is>
      </c>
      <c r="E80" s="356" t="inlineStr">
        <is>
          <t>м3</t>
        </is>
      </c>
      <c r="F80" s="267" t="n">
        <v>0.0192</v>
      </c>
      <c r="G80" s="358" t="n">
        <v>519.8</v>
      </c>
      <c r="H80" s="220">
        <f>ROUND(F80*G80,2)</f>
        <v/>
      </c>
    </row>
    <row r="81">
      <c r="A81" s="274" t="n">
        <v>65</v>
      </c>
      <c r="B81" s="346" t="n"/>
      <c r="C81" s="267" t="inlineStr">
        <is>
          <t>01.3.01.03-0002</t>
        </is>
      </c>
      <c r="D81" s="355" t="inlineStr">
        <is>
          <t>Керосин для технических целей</t>
        </is>
      </c>
      <c r="E81" s="356" t="inlineStr">
        <is>
          <t>т</t>
        </is>
      </c>
      <c r="F81" s="267" t="n">
        <v>0.0024</v>
      </c>
      <c r="G81" s="358" t="n">
        <v>2606.9</v>
      </c>
      <c r="H81" s="220">
        <f>ROUND(F81*G81,2)</f>
        <v/>
      </c>
    </row>
    <row r="82">
      <c r="A82" s="274" t="n">
        <v>66</v>
      </c>
      <c r="B82" s="346" t="n"/>
      <c r="C82" s="267" t="inlineStr">
        <is>
          <t>01.7.15.06-0111</t>
        </is>
      </c>
      <c r="D82" s="355" t="inlineStr">
        <is>
          <t>Гвозди строительные</t>
        </is>
      </c>
      <c r="E82" s="356" t="inlineStr">
        <is>
          <t>т</t>
        </is>
      </c>
      <c r="F82" s="267" t="n">
        <v>0.000474</v>
      </c>
      <c r="G82" s="358" t="n">
        <v>11978</v>
      </c>
      <c r="H82" s="220">
        <f>ROUND(F82*G82,2)</f>
        <v/>
      </c>
    </row>
    <row r="83" customFormat="1" s="241">
      <c r="A83" s="274" t="n">
        <v>67</v>
      </c>
      <c r="B83" s="346" t="n"/>
      <c r="C83" s="267" t="inlineStr">
        <is>
          <t>01.7.11.07-0032</t>
        </is>
      </c>
      <c r="D83" s="355" t="inlineStr">
        <is>
          <t>Электроды сварочные Э42, диаметр 4 мм</t>
        </is>
      </c>
      <c r="E83" s="356" t="inlineStr">
        <is>
          <t>т</t>
        </is>
      </c>
      <c r="F83" s="267" t="n">
        <v>0.000385</v>
      </c>
      <c r="G83" s="358" t="n">
        <v>10315.01</v>
      </c>
      <c r="H83" s="220">
        <f>ROUND(F83*G83,2)</f>
        <v/>
      </c>
    </row>
    <row r="84" ht="25.5" customHeight="1" s="301">
      <c r="A84" s="274" t="n">
        <v>68</v>
      </c>
      <c r="B84" s="346" t="n"/>
      <c r="C84" s="267" t="inlineStr">
        <is>
          <t>08.3.03.06-0002</t>
        </is>
      </c>
      <c r="D84" s="355" t="inlineStr">
        <is>
          <t>Проволока горячекатаная в мотках, диаметр 6,3-6,5 мм</t>
        </is>
      </c>
      <c r="E84" s="356" t="inlineStr">
        <is>
          <t>т</t>
        </is>
      </c>
      <c r="F84" s="267" t="n">
        <v>0.000785</v>
      </c>
      <c r="G84" s="358" t="n">
        <v>4455.2</v>
      </c>
      <c r="H84" s="220">
        <f>ROUND(F84*G84,2)</f>
        <v/>
      </c>
    </row>
    <row r="85" ht="25.5" customHeight="1" s="301">
      <c r="A85" s="274" t="n">
        <v>69</v>
      </c>
      <c r="B85" s="346" t="n"/>
      <c r="C85" s="267" t="inlineStr">
        <is>
          <t>11.1.03.06-0095</t>
        </is>
      </c>
      <c r="D85" s="355" t="inlineStr">
        <is>
          <t>Доска обрезная, хвойных пород, ширина 75-150 мм, толщина 44 мм и более, длина 4-6,5 м, сорт III</t>
        </is>
      </c>
      <c r="E85" s="356" t="inlineStr">
        <is>
          <t>м3</t>
        </is>
      </c>
      <c r="F85" s="267" t="n">
        <v>0.00308</v>
      </c>
      <c r="G85" s="358" t="n">
        <v>1056</v>
      </c>
      <c r="H85" s="220">
        <f>ROUND(F85*G85,2)</f>
        <v/>
      </c>
    </row>
    <row r="86">
      <c r="A86" s="274" t="n">
        <v>70</v>
      </c>
      <c r="B86" s="346" t="n"/>
      <c r="C86" s="267" t="inlineStr">
        <is>
          <t>01.7.03.01-0001</t>
        </is>
      </c>
      <c r="D86" s="355" t="inlineStr">
        <is>
          <t>Вода</t>
        </is>
      </c>
      <c r="E86" s="356" t="inlineStr">
        <is>
          <t>м3</t>
        </is>
      </c>
      <c r="F86" s="267" t="n">
        <v>1.29033</v>
      </c>
      <c r="G86" s="358" t="n">
        <v>2.44</v>
      </c>
      <c r="H86" s="220">
        <f>ROUND(F86*G86,2)</f>
        <v/>
      </c>
    </row>
    <row r="87">
      <c r="A87" s="274" t="n">
        <v>71</v>
      </c>
      <c r="B87" s="346" t="n"/>
      <c r="C87" s="267" t="inlineStr">
        <is>
          <t>14.5.09.07-0032</t>
        </is>
      </c>
      <c r="D87" s="355" t="inlineStr">
        <is>
          <t>Растворитель Р-5</t>
        </is>
      </c>
      <c r="E87" s="356" t="inlineStr">
        <is>
          <t>т</t>
        </is>
      </c>
      <c r="F87" s="267" t="n">
        <v>8.4e-05</v>
      </c>
      <c r="G87" s="358" t="n">
        <v>8897</v>
      </c>
      <c r="H87" s="220">
        <f>ROUND(F87*G87,2)</f>
        <v/>
      </c>
    </row>
    <row r="88">
      <c r="A88" s="274" t="n">
        <v>72</v>
      </c>
      <c r="B88" s="346" t="n"/>
      <c r="C88" s="267" t="inlineStr">
        <is>
          <t>03.1.02.03-0011</t>
        </is>
      </c>
      <c r="D88" s="355" t="inlineStr">
        <is>
          <t>Известь строительная негашеная комовая, сорт I</t>
        </is>
      </c>
      <c r="E88" s="356" t="inlineStr">
        <is>
          <t>т</t>
        </is>
      </c>
      <c r="F88" s="267" t="n">
        <v>0.00077</v>
      </c>
      <c r="G88" s="358" t="n">
        <v>734.5</v>
      </c>
      <c r="H88" s="220">
        <f>ROUND(F88*G88,2)</f>
        <v/>
      </c>
    </row>
    <row r="89">
      <c r="A89" s="274" t="n">
        <v>73</v>
      </c>
      <c r="B89" s="346" t="n"/>
      <c r="C89" s="267" t="inlineStr">
        <is>
          <t>01.7.20.08-0051</t>
        </is>
      </c>
      <c r="D89" s="355" t="inlineStr">
        <is>
          <t>Ветошь</t>
        </is>
      </c>
      <c r="E89" s="356" t="inlineStr">
        <is>
          <t>кг</t>
        </is>
      </c>
      <c r="F89" s="267" t="n">
        <v>0.01</v>
      </c>
      <c r="G89" s="358" t="n">
        <v>1.82</v>
      </c>
      <c r="H89" s="220">
        <f>ROUND(F89*G89,2)</f>
        <v/>
      </c>
    </row>
    <row r="90">
      <c r="A90" s="274" t="n">
        <v>74</v>
      </c>
      <c r="B90" s="346" t="n"/>
      <c r="C90" s="267" t="inlineStr">
        <is>
          <t>02.2.05.04-1777</t>
        </is>
      </c>
      <c r="D90" s="355" t="inlineStr">
        <is>
          <t>Щебень М 800, фракция 20-40 мм, группа 2</t>
        </is>
      </c>
      <c r="E90" s="356" t="inlineStr">
        <is>
          <t>м3</t>
        </is>
      </c>
      <c r="F90" s="267" t="n">
        <v>0.000228</v>
      </c>
      <c r="G90" s="358" t="n">
        <v>108.4</v>
      </c>
      <c r="H90" s="220">
        <f>ROUND(F90*G90,2)</f>
        <v/>
      </c>
    </row>
    <row r="93">
      <c r="B93" s="236" t="inlineStr">
        <is>
          <t>Составил ______________________     Д.Ю. Нефедова</t>
        </is>
      </c>
    </row>
    <row r="94">
      <c r="B94" s="237" t="inlineStr">
        <is>
          <t xml:space="preserve">                         (подпись, инициалы, фамилия)</t>
        </is>
      </c>
    </row>
    <row r="96">
      <c r="B96" s="236" t="inlineStr">
        <is>
          <t>Проверил ______________________        А.В. Костянецкая</t>
        </is>
      </c>
    </row>
    <row r="97">
      <c r="B97" s="237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12:E12"/>
    <mergeCell ref="D9:D10"/>
    <mergeCell ref="E9:E10"/>
    <mergeCell ref="A3:H3"/>
    <mergeCell ref="C9:C10"/>
    <mergeCell ref="A54:E54"/>
    <mergeCell ref="A7:H7"/>
    <mergeCell ref="A52:E52"/>
    <mergeCell ref="A9:A10"/>
    <mergeCell ref="A25:E25"/>
    <mergeCell ref="C5:H5"/>
    <mergeCell ref="F9:F10"/>
    <mergeCell ref="A23:E23"/>
    <mergeCell ref="G9:H9"/>
  </mergeCells>
  <conditionalFormatting sqref="C26:C51">
    <cfRule type="duplicateValues" priority="1" dxfId="0"/>
  </conditionalFormatting>
  <conditionalFormatting sqref="C55:C90">
    <cfRule type="duplicateValues" priority="2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zoomScale="130" workbookViewId="0">
      <selection activeCell="D45" sqref="D45"/>
    </sheetView>
  </sheetViews>
  <sheetFormatPr baseColWidth="8" defaultColWidth="9.140625" defaultRowHeight="15"/>
  <cols>
    <col width="4.140625" customWidth="1" style="301" min="1" max="1"/>
    <col width="36.28515625" customWidth="1" style="301" min="2" max="2"/>
    <col width="18.85546875" customWidth="1" style="301" min="3" max="3"/>
    <col width="18.28515625" customWidth="1" style="301" min="4" max="4"/>
    <col width="18.85546875" customWidth="1" style="301" min="5" max="5"/>
    <col width="11.42578125" customWidth="1" style="301" min="6" max="6"/>
    <col width="14.42578125" customWidth="1" style="301" min="7" max="7"/>
    <col width="9.140625" customWidth="1" style="301" min="8" max="11"/>
    <col width="13.5703125" customWidth="1" style="301" min="12" max="12"/>
    <col width="9.140625" customWidth="1" style="301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69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28" t="inlineStr">
        <is>
          <t>Ресурсная модель</t>
        </is>
      </c>
    </row>
    <row r="6">
      <c r="B6" s="254" t="n"/>
      <c r="C6" s="304" t="n"/>
      <c r="D6" s="304" t="n"/>
      <c r="E6" s="304" t="n"/>
    </row>
    <row r="7" ht="25.5" customHeight="1" s="301">
      <c r="B7" s="348" t="inlineStr">
        <is>
          <t>Наименование разрабатываемого показателя УНЦ — ДГУ напряжение 0,4 кВ</t>
        </is>
      </c>
    </row>
    <row r="8">
      <c r="B8" s="349" t="inlineStr">
        <is>
          <t>Единица измерения  — 1 кВт</t>
        </is>
      </c>
    </row>
    <row r="9">
      <c r="B9" s="254" t="n"/>
      <c r="C9" s="304" t="n"/>
      <c r="D9" s="304" t="n"/>
      <c r="E9" s="304" t="n"/>
    </row>
    <row r="10" ht="51" customHeight="1" s="301">
      <c r="B10" s="356" t="inlineStr">
        <is>
          <t>Наименование</t>
        </is>
      </c>
      <c r="C10" s="356" t="inlineStr">
        <is>
          <t>Сметная стоимость в ценах на 01.01.2023
 (руб.)</t>
        </is>
      </c>
      <c r="D10" s="356" t="inlineStr">
        <is>
          <t>Удельный вес, 
(в СМР)</t>
        </is>
      </c>
      <c r="E10" s="356" t="inlineStr">
        <is>
          <t>Удельный вес, % 
(от всего по РМ)</t>
        </is>
      </c>
    </row>
    <row r="11">
      <c r="B11" s="247" t="inlineStr">
        <is>
          <t>Оплата труда рабочих</t>
        </is>
      </c>
      <c r="C11" s="306">
        <f>'Прил.5 Расчет СМР и ОБ'!J14</f>
        <v/>
      </c>
      <c r="D11" s="249">
        <f>C11/$C$24</f>
        <v/>
      </c>
      <c r="E11" s="249">
        <f>C11/$C$40</f>
        <v/>
      </c>
    </row>
    <row r="12">
      <c r="B12" s="247" t="inlineStr">
        <is>
          <t>Эксплуатация машин основных</t>
        </is>
      </c>
      <c r="C12" s="306">
        <f>'Прил.5 Расчет СМР и ОБ'!J26</f>
        <v/>
      </c>
      <c r="D12" s="249">
        <f>C12/$C$24</f>
        <v/>
      </c>
      <c r="E12" s="249">
        <f>C12/$C$40</f>
        <v/>
      </c>
    </row>
    <row r="13">
      <c r="B13" s="247" t="inlineStr">
        <is>
          <t>Эксплуатация машин прочих</t>
        </is>
      </c>
      <c r="C13" s="306">
        <f>'Прил.5 Расчет СМР и ОБ'!J46</f>
        <v/>
      </c>
      <c r="D13" s="249">
        <f>C13/$C$24</f>
        <v/>
      </c>
      <c r="E13" s="249">
        <f>C13/$C$40</f>
        <v/>
      </c>
    </row>
    <row r="14">
      <c r="B14" s="247" t="inlineStr">
        <is>
          <t>ЭКСПЛУАТАЦИЯ МАШИН, ВСЕГО:</t>
        </is>
      </c>
      <c r="C14" s="306">
        <f>C13+C12</f>
        <v/>
      </c>
      <c r="D14" s="249">
        <f>C14/$C$24</f>
        <v/>
      </c>
      <c r="E14" s="249">
        <f>C14/$C$40</f>
        <v/>
      </c>
    </row>
    <row r="15">
      <c r="B15" s="247" t="inlineStr">
        <is>
          <t>в том числе зарплата машинистов</t>
        </is>
      </c>
      <c r="C15" s="306">
        <f>'Прил.5 Расчет СМР и ОБ'!J16</f>
        <v/>
      </c>
      <c r="D15" s="249">
        <f>C15/$C$24</f>
        <v/>
      </c>
      <c r="E15" s="249">
        <f>C15/$C$40</f>
        <v/>
      </c>
    </row>
    <row r="16">
      <c r="B16" s="247" t="inlineStr">
        <is>
          <t>Материалы основные</t>
        </is>
      </c>
      <c r="C16" s="306">
        <f>'Прил.5 Расчет СМР и ОБ'!J66</f>
        <v/>
      </c>
      <c r="D16" s="249">
        <f>C16/$C$24</f>
        <v/>
      </c>
      <c r="E16" s="249">
        <f>C16/$C$40</f>
        <v/>
      </c>
    </row>
    <row r="17">
      <c r="B17" s="247" t="inlineStr">
        <is>
          <t>Материалы прочие</t>
        </is>
      </c>
      <c r="C17" s="306">
        <f>'Прил.5 Расчет СМР и ОБ'!J94</f>
        <v/>
      </c>
      <c r="D17" s="249">
        <f>C17/$C$24</f>
        <v/>
      </c>
      <c r="E17" s="249">
        <f>C17/$C$40</f>
        <v/>
      </c>
    </row>
    <row r="18">
      <c r="B18" s="247" t="inlineStr">
        <is>
          <t>МАТЕРИАЛЫ, ВСЕГО:</t>
        </is>
      </c>
      <c r="C18" s="306">
        <f>C17+C16</f>
        <v/>
      </c>
      <c r="D18" s="249">
        <f>C18/$C$24</f>
        <v/>
      </c>
      <c r="E18" s="249">
        <f>C18/$C$40</f>
        <v/>
      </c>
    </row>
    <row r="19">
      <c r="B19" s="247" t="inlineStr">
        <is>
          <t>ИТОГО</t>
        </is>
      </c>
      <c r="C19" s="306">
        <f>C18+C14+C11</f>
        <v/>
      </c>
      <c r="D19" s="249" t="n"/>
      <c r="E19" s="247" t="n"/>
    </row>
    <row r="20">
      <c r="B20" s="247" t="inlineStr">
        <is>
          <t>Сметная прибыль, руб.</t>
        </is>
      </c>
      <c r="C20" s="306">
        <f>ROUND(C21*(C11+C15),2)</f>
        <v/>
      </c>
      <c r="D20" s="249">
        <f>C20/$C$24</f>
        <v/>
      </c>
      <c r="E20" s="249">
        <f>C20/$C$40</f>
        <v/>
      </c>
    </row>
    <row r="21">
      <c r="B21" s="247" t="inlineStr">
        <is>
          <t>Сметная прибыль, %</t>
        </is>
      </c>
      <c r="C21" s="252">
        <f>'Прил.5 Расчет СМР и ОБ'!D98</f>
        <v/>
      </c>
      <c r="D21" s="249" t="n"/>
      <c r="E21" s="247" t="n"/>
    </row>
    <row r="22">
      <c r="B22" s="247" t="inlineStr">
        <is>
          <t>Накладные расходы, руб.</t>
        </is>
      </c>
      <c r="C22" s="306">
        <f>ROUND(C23*(C11+C15),2)</f>
        <v/>
      </c>
      <c r="D22" s="249">
        <f>C22/$C$24</f>
        <v/>
      </c>
      <c r="E22" s="249">
        <f>C22/$C$40</f>
        <v/>
      </c>
    </row>
    <row r="23">
      <c r="B23" s="247" t="inlineStr">
        <is>
          <t>Накладные расходы, %</t>
        </is>
      </c>
      <c r="C23" s="252">
        <f>'Прил.5 Расчет СМР и ОБ'!D97</f>
        <v/>
      </c>
      <c r="D23" s="249" t="n"/>
      <c r="E23" s="247" t="n"/>
    </row>
    <row r="24">
      <c r="B24" s="247" t="inlineStr">
        <is>
          <t>ВСЕГО СМР с НР и СП</t>
        </is>
      </c>
      <c r="C24" s="306">
        <f>C19+C20+C22</f>
        <v/>
      </c>
      <c r="D24" s="249">
        <f>C24/$C$24</f>
        <v/>
      </c>
      <c r="E24" s="249">
        <f>C24/$C$40</f>
        <v/>
      </c>
    </row>
    <row r="25" ht="25.5" customHeight="1" s="301">
      <c r="B25" s="247" t="inlineStr">
        <is>
          <t>ВСЕГО стоимость оборудования, в том числе</t>
        </is>
      </c>
      <c r="C25" s="306">
        <f>'Прил.5 Расчет СМР и ОБ'!J53</f>
        <v/>
      </c>
      <c r="D25" s="249" t="n"/>
      <c r="E25" s="249">
        <f>C25/$C$40</f>
        <v/>
      </c>
    </row>
    <row r="26" ht="25.5" customHeight="1" s="301">
      <c r="B26" s="247" t="inlineStr">
        <is>
          <t>стоимость оборудования технологического</t>
        </is>
      </c>
      <c r="C26" s="306">
        <f>'Прил.5 Расчет СМР и ОБ'!J54</f>
        <v/>
      </c>
      <c r="D26" s="249" t="n"/>
      <c r="E26" s="249">
        <f>C26/$C$40</f>
        <v/>
      </c>
    </row>
    <row r="27">
      <c r="B27" s="247" t="inlineStr">
        <is>
          <t>ИТОГО (СМР + ОБОРУДОВАНИЕ)</t>
        </is>
      </c>
      <c r="C27" s="251">
        <f>C24+C25</f>
        <v/>
      </c>
      <c r="D27" s="249" t="n"/>
      <c r="E27" s="249">
        <f>C27/$C$40</f>
        <v/>
      </c>
    </row>
    <row r="28" ht="33" customHeight="1" s="301">
      <c r="B28" s="247" t="inlineStr">
        <is>
          <t>ПРОЧ. ЗАТР., УЧТЕННЫЕ ПОКАЗАТЕЛЕМ,  в том числе</t>
        </is>
      </c>
      <c r="C28" s="247" t="n"/>
      <c r="D28" s="247" t="n"/>
      <c r="E28" s="247" t="n"/>
      <c r="F28" s="250" t="n"/>
    </row>
    <row r="29" ht="25.5" customHeight="1" s="301">
      <c r="B29" s="247" t="inlineStr">
        <is>
          <t>Временные здания и сооружения - 2,5%</t>
        </is>
      </c>
      <c r="C29" s="251">
        <f>ROUND(C24*2.5%,2)</f>
        <v/>
      </c>
      <c r="D29" s="247" t="n"/>
      <c r="E29" s="249">
        <f>C29/$C$40</f>
        <v/>
      </c>
    </row>
    <row r="30" ht="38.25" customHeight="1" s="301">
      <c r="B30" s="247" t="inlineStr">
        <is>
          <t>Дополнительные затраты при производстве строительно-монтажных работ в зимнее время - 2,1%</t>
        </is>
      </c>
      <c r="C30" s="251">
        <f>ROUND((C24+C29)*2.1%,2)</f>
        <v/>
      </c>
      <c r="D30" s="247" t="n"/>
      <c r="E30" s="249">
        <f>C30/$C$40</f>
        <v/>
      </c>
      <c r="F30" s="250" t="n"/>
    </row>
    <row r="31">
      <c r="B31" s="247" t="inlineStr">
        <is>
          <t>Пусконаладочные работы</t>
        </is>
      </c>
      <c r="C31" s="251" t="n">
        <v>879274.52</v>
      </c>
      <c r="D31" s="247" t="n"/>
      <c r="E31" s="249">
        <f>C31/$C$40</f>
        <v/>
      </c>
    </row>
    <row r="32" ht="25.5" customHeight="1" s="301">
      <c r="B32" s="247" t="inlineStr">
        <is>
          <t>Затраты по перевозке работников к месту работы и обратно</t>
        </is>
      </c>
      <c r="C32" s="251">
        <f>ROUND(C27*0%,2)</f>
        <v/>
      </c>
      <c r="D32" s="247" t="n"/>
      <c r="E32" s="249">
        <f>C32/$C$40</f>
        <v/>
      </c>
    </row>
    <row r="33" ht="25.5" customHeight="1" s="301">
      <c r="B33" s="247" t="inlineStr">
        <is>
          <t>Затраты, связанные с осуществлением работ вахтовым методом</t>
        </is>
      </c>
      <c r="C33" s="251">
        <f>ROUND(C28*0%,2)</f>
        <v/>
      </c>
      <c r="D33" s="247" t="n"/>
      <c r="E33" s="249">
        <f>C33/$C$40</f>
        <v/>
      </c>
    </row>
    <row r="34" ht="51" customHeight="1" s="301">
      <c r="B34" s="24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1">
        <f>ROUND(C29*0%,2)</f>
        <v/>
      </c>
      <c r="D34" s="247" t="n"/>
      <c r="E34" s="249">
        <f>C34/$C$40</f>
        <v/>
      </c>
      <c r="H34" s="259" t="n"/>
    </row>
    <row r="35" ht="76.7" customHeight="1" s="301">
      <c r="B35" s="24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1">
        <f>ROUND(C30*0%,2)</f>
        <v/>
      </c>
      <c r="D35" s="247" t="n"/>
      <c r="E35" s="249">
        <f>C35/$C$40</f>
        <v/>
      </c>
    </row>
    <row r="36" ht="25.5" customHeight="1" s="301">
      <c r="B36" s="247" t="inlineStr">
        <is>
          <t>Строительный контроль и содержание службы заказчика - 2,14%</t>
        </is>
      </c>
      <c r="C36" s="251">
        <f>ROUND((C27+C32+C33+C34+C35+C29+C31+C30)*2.14%,2)</f>
        <v/>
      </c>
      <c r="D36" s="247" t="n"/>
      <c r="E36" s="249">
        <f>C36/$C$40</f>
        <v/>
      </c>
      <c r="L36" s="250" t="n"/>
    </row>
    <row r="37">
      <c r="B37" s="247" t="inlineStr">
        <is>
          <t>Авторский надзор - 0,2%</t>
        </is>
      </c>
      <c r="C37" s="251">
        <f>ROUND((C27+C32+C33+C34+C35+C29+C31+C30)*0.2%,2)</f>
        <v/>
      </c>
      <c r="D37" s="247" t="n"/>
      <c r="E37" s="249">
        <f>C37/$C$40</f>
        <v/>
      </c>
      <c r="L37" s="250" t="n"/>
    </row>
    <row r="38" ht="38.25" customHeight="1" s="301">
      <c r="B38" s="247" t="inlineStr">
        <is>
          <t>ИТОГО (СМР+ОБОРУДОВАНИЕ+ПРОЧ. ЗАТР., УЧТЕННЫЕ ПОКАЗАТЕЛЕМ)</t>
        </is>
      </c>
      <c r="C38" s="306">
        <f>C27+C32+C33+C34+C35+C29+C31+C30+C36+C37</f>
        <v/>
      </c>
      <c r="D38" s="247" t="n"/>
      <c r="E38" s="249">
        <f>C38/$C$40</f>
        <v/>
      </c>
    </row>
    <row r="39" ht="13.7" customHeight="1" s="301">
      <c r="B39" s="247" t="inlineStr">
        <is>
          <t>Непредвиденные расходы</t>
        </is>
      </c>
      <c r="C39" s="306">
        <f>ROUND(C38*3%,2)</f>
        <v/>
      </c>
      <c r="D39" s="247" t="n"/>
      <c r="E39" s="249">
        <f>C39/$C$38</f>
        <v/>
      </c>
    </row>
    <row r="40">
      <c r="B40" s="247" t="inlineStr">
        <is>
          <t>ВСЕГО:</t>
        </is>
      </c>
      <c r="C40" s="306">
        <f>C39+C38</f>
        <v/>
      </c>
      <c r="D40" s="247" t="n"/>
      <c r="E40" s="249">
        <f>C40/$C$40</f>
        <v/>
      </c>
    </row>
    <row r="41">
      <c r="B41" s="247" t="inlineStr">
        <is>
          <t>ИТОГО ПОКАЗАТЕЛЬ НА ЕД. ИЗМ.</t>
        </is>
      </c>
      <c r="C41" s="306">
        <f>C40/'Прил.5 Расчет СМР и ОБ'!E101</f>
        <v/>
      </c>
      <c r="D41" s="247" t="n"/>
      <c r="E41" s="247" t="n"/>
    </row>
    <row r="42">
      <c r="B42" s="308" t="n"/>
      <c r="C42" s="304" t="n"/>
      <c r="D42" s="304" t="n"/>
      <c r="E42" s="304" t="n"/>
    </row>
    <row r="43">
      <c r="B43" s="308" t="inlineStr">
        <is>
          <t>Составил ____________________________ Д.Ю. Нефедова</t>
        </is>
      </c>
      <c r="C43" s="304" t="n"/>
      <c r="D43" s="304" t="n"/>
      <c r="E43" s="304" t="n"/>
    </row>
    <row r="44">
      <c r="B44" s="308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308" t="n"/>
      <c r="C45" s="304" t="n"/>
      <c r="D45" s="304" t="n"/>
      <c r="E45" s="304" t="n"/>
    </row>
    <row r="46">
      <c r="B46" s="308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49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7"/>
  <sheetViews>
    <sheetView tabSelected="1" view="pageBreakPreview" zoomScale="85" zoomScaleSheetLayoutView="85" workbookViewId="0">
      <selection activeCell="R24" sqref="R24"/>
    </sheetView>
  </sheetViews>
  <sheetFormatPr baseColWidth="8" defaultColWidth="9.140625" defaultRowHeight="15" outlineLevelRow="1"/>
  <cols>
    <col width="5.7109375" customWidth="1" style="311" min="1" max="1"/>
    <col width="22.5703125" customWidth="1" style="311" min="2" max="2"/>
    <col width="39.140625" customWidth="1" style="311" min="3" max="3"/>
    <col width="10.7109375" customWidth="1" style="311" min="4" max="4"/>
    <col width="12.7109375" customWidth="1" style="311" min="5" max="5"/>
    <col width="15" customWidth="1" style="311" min="6" max="6"/>
    <col width="13.42578125" customWidth="1" style="311" min="7" max="7"/>
    <col width="12.7109375" customWidth="1" style="311" min="8" max="8"/>
    <col width="13.85546875" customWidth="1" style="311" min="9" max="9"/>
    <col width="17.5703125" customWidth="1" style="311" min="10" max="10"/>
    <col width="10.85546875" customWidth="1" style="311" min="11" max="11"/>
    <col width="9.140625" customWidth="1" style="311" min="12" max="12"/>
    <col width="9.140625" customWidth="1" style="301" min="13" max="13"/>
  </cols>
  <sheetData>
    <row r="1" s="301">
      <c r="A1" s="311" t="n"/>
      <c r="B1" s="311" t="n"/>
      <c r="C1" s="311" t="n"/>
      <c r="D1" s="311" t="n"/>
      <c r="E1" s="311" t="n"/>
      <c r="F1" s="311" t="n"/>
      <c r="G1" s="311" t="n"/>
      <c r="H1" s="311" t="n"/>
      <c r="I1" s="311" t="n"/>
      <c r="J1" s="311" t="n"/>
      <c r="K1" s="311" t="n"/>
      <c r="L1" s="311" t="n"/>
      <c r="M1" s="311" t="n"/>
      <c r="N1" s="311" t="n"/>
    </row>
    <row r="2" ht="15.75" customHeight="1" s="301">
      <c r="A2" s="311" t="n"/>
      <c r="B2" s="311" t="n"/>
      <c r="C2" s="311" t="n"/>
      <c r="D2" s="311" t="n"/>
      <c r="E2" s="311" t="n"/>
      <c r="F2" s="311" t="n"/>
      <c r="G2" s="311" t="n"/>
      <c r="H2" s="364" t="inlineStr">
        <is>
          <t>Приложение №5</t>
        </is>
      </c>
      <c r="K2" s="311" t="n"/>
      <c r="L2" s="311" t="n"/>
      <c r="M2" s="311" t="n"/>
      <c r="N2" s="311" t="n"/>
    </row>
    <row r="3" s="301">
      <c r="A3" s="311" t="n"/>
      <c r="B3" s="311" t="n"/>
      <c r="C3" s="311" t="n"/>
      <c r="D3" s="311" t="n"/>
      <c r="E3" s="311" t="n"/>
      <c r="F3" s="311" t="n"/>
      <c r="G3" s="311" t="n"/>
      <c r="H3" s="311" t="n"/>
      <c r="I3" s="311" t="n"/>
      <c r="J3" s="311" t="n"/>
      <c r="K3" s="311" t="n"/>
      <c r="L3" s="311" t="n"/>
      <c r="M3" s="311" t="n"/>
      <c r="N3" s="311" t="n"/>
    </row>
    <row r="4" ht="12.75" customFormat="1" customHeight="1" s="304">
      <c r="A4" s="328" t="inlineStr">
        <is>
          <t>Расчет стоимости СМР и оборудования</t>
        </is>
      </c>
    </row>
    <row r="5" ht="12.75" customFormat="1" customHeight="1" s="304">
      <c r="A5" s="328" t="n"/>
      <c r="B5" s="328" t="n"/>
      <c r="C5" s="376" t="n"/>
      <c r="D5" s="328" t="n"/>
      <c r="E5" s="328" t="n"/>
      <c r="F5" s="328" t="n"/>
      <c r="G5" s="328" t="n"/>
      <c r="H5" s="328" t="n"/>
      <c r="I5" s="328" t="n"/>
      <c r="J5" s="328" t="n"/>
    </row>
    <row r="6" ht="12.75" customFormat="1" customHeight="1" s="304">
      <c r="A6" s="226" t="inlineStr">
        <is>
          <t>Наименование разрабатываемого показателя УНЦ</t>
        </is>
      </c>
      <c r="B6" s="225" t="n"/>
      <c r="C6" s="225" t="n"/>
      <c r="D6" s="368" t="inlineStr">
        <is>
          <t>ДГУ напряжение 0,4 кВ</t>
        </is>
      </c>
    </row>
    <row r="7" ht="12.75" customFormat="1" customHeight="1" s="304">
      <c r="A7" s="331" t="inlineStr">
        <is>
          <t>Единица измерения  — 1 кВт</t>
        </is>
      </c>
      <c r="I7" s="348" t="n"/>
      <c r="J7" s="348" t="n"/>
    </row>
    <row r="8" ht="13.7" customFormat="1" customHeight="1" s="304">
      <c r="A8" s="331" t="n"/>
    </row>
    <row r="9" ht="27" customHeight="1" s="301">
      <c r="A9" s="356" t="inlineStr">
        <is>
          <t>№ пп.</t>
        </is>
      </c>
      <c r="B9" s="356" t="inlineStr">
        <is>
          <t>Код ресурса</t>
        </is>
      </c>
      <c r="C9" s="356" t="inlineStr">
        <is>
          <t>Наименование</t>
        </is>
      </c>
      <c r="D9" s="356" t="inlineStr">
        <is>
          <t>Ед. изм.</t>
        </is>
      </c>
      <c r="E9" s="356" t="inlineStr">
        <is>
          <t>Кол-во единиц по проектным данным</t>
        </is>
      </c>
      <c r="F9" s="356" t="inlineStr">
        <is>
          <t>Сметная стоимость в ценах на 01.01.2000 (руб.)</t>
        </is>
      </c>
      <c r="G9" s="421" t="n"/>
      <c r="H9" s="356" t="inlineStr">
        <is>
          <t>Удельный вес, %</t>
        </is>
      </c>
      <c r="I9" s="356" t="inlineStr">
        <is>
          <t>Сметная стоимость в ценах на 01.01.2023 (руб.)</t>
        </is>
      </c>
      <c r="J9" s="421" t="n"/>
      <c r="K9" s="311" t="n"/>
      <c r="L9" s="311" t="n"/>
      <c r="M9" s="311" t="n"/>
      <c r="N9" s="311" t="n"/>
    </row>
    <row r="10" ht="28.5" customHeight="1" s="301">
      <c r="A10" s="423" t="n"/>
      <c r="B10" s="423" t="n"/>
      <c r="C10" s="423" t="n"/>
      <c r="D10" s="423" t="n"/>
      <c r="E10" s="423" t="n"/>
      <c r="F10" s="356" t="inlineStr">
        <is>
          <t>на ед. изм.</t>
        </is>
      </c>
      <c r="G10" s="356" t="inlineStr">
        <is>
          <t>общая</t>
        </is>
      </c>
      <c r="H10" s="423" t="n"/>
      <c r="I10" s="356" t="inlineStr">
        <is>
          <t>на ед. изм.</t>
        </is>
      </c>
      <c r="J10" s="356" t="inlineStr">
        <is>
          <t>общая</t>
        </is>
      </c>
      <c r="K10" s="311" t="n"/>
      <c r="L10" s="311" t="n"/>
      <c r="M10" s="311" t="n"/>
      <c r="N10" s="311" t="n"/>
    </row>
    <row r="11" s="301">
      <c r="A11" s="356" t="n">
        <v>1</v>
      </c>
      <c r="B11" s="356" t="n">
        <v>2</v>
      </c>
      <c r="C11" s="356" t="n">
        <v>3</v>
      </c>
      <c r="D11" s="356" t="n">
        <v>4</v>
      </c>
      <c r="E11" s="356" t="n">
        <v>5</v>
      </c>
      <c r="F11" s="356" t="n">
        <v>6</v>
      </c>
      <c r="G11" s="356" t="n">
        <v>7</v>
      </c>
      <c r="H11" s="356" t="n">
        <v>8</v>
      </c>
      <c r="I11" s="351" t="n">
        <v>9</v>
      </c>
      <c r="J11" s="351" t="n">
        <v>10</v>
      </c>
      <c r="K11" s="311" t="n"/>
      <c r="L11" s="311" t="n"/>
      <c r="M11" s="311" t="n"/>
      <c r="N11" s="311" t="n"/>
    </row>
    <row r="12">
      <c r="A12" s="356" t="n"/>
      <c r="B12" s="344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11" t="n"/>
      <c r="J12" s="211" t="n"/>
    </row>
    <row r="13" ht="25.5" customHeight="1" s="301">
      <c r="A13" s="356" t="n">
        <v>1</v>
      </c>
      <c r="B13" s="267" t="inlineStr">
        <is>
          <t>1-3-7</t>
        </is>
      </c>
      <c r="C13" s="355" t="inlineStr">
        <is>
          <t>Затраты труда рабочих-строителей среднего разряда (3,7)</t>
        </is>
      </c>
      <c r="D13" s="356" t="inlineStr">
        <is>
          <t>чел.-ч.</t>
        </is>
      </c>
      <c r="E13" s="221">
        <f>G13/F13</f>
        <v/>
      </c>
      <c r="F13" s="220" t="n">
        <v>9.289999999999999</v>
      </c>
      <c r="G13" s="220">
        <f>Прил.3!H12</f>
        <v/>
      </c>
      <c r="H13" s="222">
        <f>G13/G14</f>
        <v/>
      </c>
      <c r="I13" s="220">
        <f>ФОТр.тек.!E13</f>
        <v/>
      </c>
      <c r="J13" s="220">
        <f>ROUND(I13*E13,2)</f>
        <v/>
      </c>
    </row>
    <row r="14" ht="25.5" customFormat="1" customHeight="1" s="311">
      <c r="A14" s="356" t="n"/>
      <c r="B14" s="356" t="n"/>
      <c r="C14" s="344" t="inlineStr">
        <is>
          <t>Итого по разделу "Затраты труда рабочих-строителей"</t>
        </is>
      </c>
      <c r="D14" s="356" t="inlineStr">
        <is>
          <t>чел.-ч.</t>
        </is>
      </c>
      <c r="E14" s="221">
        <f>SUM(E13:E13)</f>
        <v/>
      </c>
      <c r="F14" s="220" t="n"/>
      <c r="G14" s="220">
        <f>SUM(G13:G13)</f>
        <v/>
      </c>
      <c r="H14" s="359" t="n">
        <v>1</v>
      </c>
      <c r="I14" s="211" t="n"/>
      <c r="J14" s="220">
        <f>SUM(J13:J13)</f>
        <v/>
      </c>
    </row>
    <row r="15" ht="14.25" customFormat="1" customHeight="1" s="311">
      <c r="A15" s="356" t="n"/>
      <c r="B15" s="355" t="inlineStr">
        <is>
          <t>Затраты труда машинистов</t>
        </is>
      </c>
      <c r="C15" s="420" t="n"/>
      <c r="D15" s="420" t="n"/>
      <c r="E15" s="420" t="n"/>
      <c r="F15" s="420" t="n"/>
      <c r="G15" s="420" t="n"/>
      <c r="H15" s="421" t="n"/>
      <c r="I15" s="211" t="n"/>
      <c r="J15" s="211" t="n"/>
    </row>
    <row r="16" ht="14.25" customFormat="1" customHeight="1" s="311">
      <c r="A16" s="356" t="n">
        <v>2</v>
      </c>
      <c r="B16" s="356" t="n">
        <v>2</v>
      </c>
      <c r="C16" s="355" t="inlineStr">
        <is>
          <t>Затраты труда машинистов</t>
        </is>
      </c>
      <c r="D16" s="356" t="inlineStr">
        <is>
          <t>чел.-ч.</t>
        </is>
      </c>
      <c r="E16" s="221">
        <f>Прил.3!F24</f>
        <v/>
      </c>
      <c r="F16" s="286">
        <f>G16/E16</f>
        <v/>
      </c>
      <c r="G16" s="220">
        <f>Прил.3!H23</f>
        <v/>
      </c>
      <c r="H16" s="359" t="n">
        <v>1</v>
      </c>
      <c r="I16" s="220">
        <f>ROUND(F16*Прил.10!D11,2)</f>
        <v/>
      </c>
      <c r="J16" s="220">
        <f>ROUND(I16*E16,2)</f>
        <v/>
      </c>
    </row>
    <row r="17" ht="14.25" customFormat="1" customHeight="1" s="311">
      <c r="A17" s="356" t="n"/>
      <c r="B17" s="344" t="inlineStr">
        <is>
          <t>Машины и механизмы</t>
        </is>
      </c>
      <c r="C17" s="420" t="n"/>
      <c r="D17" s="420" t="n"/>
      <c r="E17" s="420" t="n"/>
      <c r="F17" s="420" t="n"/>
      <c r="G17" s="420" t="n"/>
      <c r="H17" s="421" t="n"/>
      <c r="I17" s="211" t="n"/>
      <c r="J17" s="211" t="n"/>
    </row>
    <row r="18" ht="14.25" customFormat="1" customHeight="1" s="311">
      <c r="A18" s="356" t="n"/>
      <c r="B18" s="355" t="inlineStr">
        <is>
          <t>Основные машины и механизмы</t>
        </is>
      </c>
      <c r="C18" s="420" t="n"/>
      <c r="D18" s="420" t="n"/>
      <c r="E18" s="420" t="n"/>
      <c r="F18" s="420" t="n"/>
      <c r="G18" s="420" t="n"/>
      <c r="H18" s="421" t="n"/>
      <c r="I18" s="211" t="n"/>
      <c r="J18" s="211" t="n"/>
    </row>
    <row r="19" ht="25.5" customFormat="1" customHeight="1" s="311">
      <c r="A19" s="356" t="n">
        <v>3</v>
      </c>
      <c r="B19" s="267" t="inlineStr">
        <is>
          <t>91.05.08-007</t>
        </is>
      </c>
      <c r="C19" s="355" t="inlineStr">
        <is>
          <t>Краны на пневмоколесном ходу, грузоподъемность 25 т</t>
        </is>
      </c>
      <c r="D19" s="356" t="inlineStr">
        <is>
          <t>маш.-ч</t>
        </is>
      </c>
      <c r="E19" s="281" t="n">
        <v>14.38</v>
      </c>
      <c r="F19" s="358" t="n">
        <v>102.51</v>
      </c>
      <c r="G19" s="220">
        <f>ROUND(E19*F19,2)</f>
        <v/>
      </c>
      <c r="H19" s="222">
        <f>G19/$G$47</f>
        <v/>
      </c>
      <c r="I19" s="220">
        <f>ROUND(F19*Прил.10!$D$12,2)</f>
        <v/>
      </c>
      <c r="J19" s="220">
        <f>ROUND(I19*E19,2)</f>
        <v/>
      </c>
    </row>
    <row r="20" ht="25.5" customFormat="1" customHeight="1" s="311">
      <c r="A20" s="356" t="n">
        <v>4</v>
      </c>
      <c r="B20" s="267" t="inlineStr">
        <is>
          <t>91.05.06-007</t>
        </is>
      </c>
      <c r="C20" s="355" t="inlineStr">
        <is>
          <t>Краны на гусеничном ходу, грузоподъемность 25 т</t>
        </is>
      </c>
      <c r="D20" s="356" t="inlineStr">
        <is>
          <t>маш.-ч</t>
        </is>
      </c>
      <c r="E20" s="281" t="n">
        <v>4.59</v>
      </c>
      <c r="F20" s="358" t="n">
        <v>120.04</v>
      </c>
      <c r="G20" s="220">
        <f>ROUND(E20*F20,2)</f>
        <v/>
      </c>
      <c r="H20" s="222">
        <f>G20/$G$47</f>
        <v/>
      </c>
      <c r="I20" s="220">
        <f>ROUND(F20*Прил.10!$D$12,2)</f>
        <v/>
      </c>
      <c r="J20" s="220">
        <f>ROUND(I20*E20,2)</f>
        <v/>
      </c>
    </row>
    <row r="21" ht="25.5" customFormat="1" customHeight="1" s="311">
      <c r="A21" s="356" t="n">
        <v>5</v>
      </c>
      <c r="B21" s="267" t="inlineStr">
        <is>
          <t>91.14.03-002</t>
        </is>
      </c>
      <c r="C21" s="355" t="inlineStr">
        <is>
          <t>Автомобили-самосвалы, грузоподъемность до 10 т</t>
        </is>
      </c>
      <c r="D21" s="356" t="inlineStr">
        <is>
          <t>маш.-ч</t>
        </is>
      </c>
      <c r="E21" s="281" t="n">
        <v>4.660705</v>
      </c>
      <c r="F21" s="358" t="n">
        <v>87.48999999999999</v>
      </c>
      <c r="G21" s="220">
        <f>ROUND(E21*F21,2)</f>
        <v/>
      </c>
      <c r="H21" s="222">
        <f>G21/$G$47</f>
        <v/>
      </c>
      <c r="I21" s="220">
        <f>ROUND(F21*Прил.10!$D$12,2)</f>
        <v/>
      </c>
      <c r="J21" s="220">
        <f>ROUND(I21*E21,2)</f>
        <v/>
      </c>
    </row>
    <row r="22" ht="25.5" customFormat="1" customHeight="1" s="311">
      <c r="A22" s="356" t="n">
        <v>6</v>
      </c>
      <c r="B22" s="267" t="inlineStr">
        <is>
          <t>91.15.02-024</t>
        </is>
      </c>
      <c r="C22" s="355" t="inlineStr">
        <is>
          <t>Тракторы на гусеничном ходу, мощность 79 кВт (108 л.с.)</t>
        </is>
      </c>
      <c r="D22" s="356" t="inlineStr">
        <is>
          <t>маш.-ч</t>
        </is>
      </c>
      <c r="E22" s="281" t="n">
        <v>3.71</v>
      </c>
      <c r="F22" s="358" t="n">
        <v>83.09999999999999</v>
      </c>
      <c r="G22" s="220">
        <f>ROUND(E22*F22,2)</f>
        <v/>
      </c>
      <c r="H22" s="222">
        <f>G22/$G$47</f>
        <v/>
      </c>
      <c r="I22" s="220">
        <f>ROUND(F22*Прил.10!$D$12,2)</f>
        <v/>
      </c>
      <c r="J22" s="220">
        <f>ROUND(I22*E22,2)</f>
        <v/>
      </c>
    </row>
    <row r="23" ht="14.25" customFormat="1" customHeight="1" s="311">
      <c r="A23" s="356" t="n">
        <v>7</v>
      </c>
      <c r="B23" s="267" t="inlineStr">
        <is>
          <t>91.05.01-017</t>
        </is>
      </c>
      <c r="C23" s="355" t="inlineStr">
        <is>
          <t>Краны башенные, грузоподъемность 8 т</t>
        </is>
      </c>
      <c r="D23" s="356" t="inlineStr">
        <is>
          <t>маш.-ч</t>
        </is>
      </c>
      <c r="E23" s="281" t="n">
        <v>2.73742</v>
      </c>
      <c r="F23" s="358" t="n">
        <v>86.40000000000001</v>
      </c>
      <c r="G23" s="220">
        <f>ROUND(E23*F23,2)</f>
        <v/>
      </c>
      <c r="H23" s="222">
        <f>G23/$G$47</f>
        <v/>
      </c>
      <c r="I23" s="220">
        <f>ROUND(F23*Прил.10!$D$12,2)</f>
        <v/>
      </c>
      <c r="J23" s="220">
        <f>ROUND(I23*E23,2)</f>
        <v/>
      </c>
    </row>
    <row r="24" ht="25.5" customFormat="1" customHeight="1" s="311">
      <c r="A24" s="356" t="n">
        <v>8</v>
      </c>
      <c r="B24" s="267" t="inlineStr">
        <is>
          <t>91.08.03-030</t>
        </is>
      </c>
      <c r="C24" s="355" t="inlineStr">
        <is>
          <t>Катки самоходные пневмоколесные статические, масса 30 т</t>
        </is>
      </c>
      <c r="D24" s="356" t="inlineStr">
        <is>
          <t>маш.-ч</t>
        </is>
      </c>
      <c r="E24" s="281" t="n">
        <v>0.46398</v>
      </c>
      <c r="F24" s="358" t="n">
        <v>364.07</v>
      </c>
      <c r="G24" s="220">
        <f>ROUND(E24*F24,2)</f>
        <v/>
      </c>
      <c r="H24" s="222">
        <f>G24/$G$47</f>
        <v/>
      </c>
      <c r="I24" s="220">
        <f>ROUND(F24*Прил.10!$D$12,2)</f>
        <v/>
      </c>
      <c r="J24" s="220">
        <f>ROUND(I24*E24,2)</f>
        <v/>
      </c>
    </row>
    <row r="25" ht="25.5" customFormat="1" customHeight="1" s="311">
      <c r="A25" s="356" t="n">
        <v>9</v>
      </c>
      <c r="B25" s="267" t="inlineStr">
        <is>
          <t>91.14.01-002</t>
        </is>
      </c>
      <c r="C25" s="355" t="inlineStr">
        <is>
          <t>Автобетоносмесители, объем барабана 5 м3</t>
        </is>
      </c>
      <c r="D25" s="356" t="inlineStr">
        <is>
          <t>маш.-ч</t>
        </is>
      </c>
      <c r="E25" s="281" t="n">
        <v>0.82467</v>
      </c>
      <c r="F25" s="358" t="n">
        <v>173.51</v>
      </c>
      <c r="G25" s="220">
        <f>ROUND(E25*F25,2)</f>
        <v/>
      </c>
      <c r="H25" s="222">
        <f>G25/$G$47</f>
        <v/>
      </c>
      <c r="I25" s="220">
        <f>ROUND(F25*Прил.10!$D$12,2)</f>
        <v/>
      </c>
      <c r="J25" s="220">
        <f>ROUND(I25*E25,2)</f>
        <v/>
      </c>
    </row>
    <row r="26" ht="14.25" customFormat="1" customHeight="1" s="311">
      <c r="A26" s="356" t="n"/>
      <c r="B26" s="356" t="n"/>
      <c r="C26" s="355" t="inlineStr">
        <is>
          <t>Итого основные машины и механизмы</t>
        </is>
      </c>
      <c r="D26" s="356" t="n"/>
      <c r="E26" s="221" t="n"/>
      <c r="F26" s="220" t="n"/>
      <c r="G26" s="220">
        <f>SUM(G19:G25)</f>
        <v/>
      </c>
      <c r="H26" s="359">
        <f>G26/G47</f>
        <v/>
      </c>
      <c r="I26" s="212" t="n"/>
      <c r="J26" s="220">
        <f>SUM(J19:J25)</f>
        <v/>
      </c>
    </row>
    <row r="27" hidden="1" outlineLevel="1" ht="51" customFormat="1" customHeight="1" s="311">
      <c r="A27" s="356" t="n">
        <v>10</v>
      </c>
      <c r="B27" s="267" t="inlineStr">
        <is>
          <t>91.18.01-007</t>
        </is>
      </c>
      <c r="C27" s="35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7" s="356" t="inlineStr">
        <is>
          <t>маш.-ч</t>
        </is>
      </c>
      <c r="E27" s="281" t="n">
        <v>1.531264</v>
      </c>
      <c r="F27" s="358" t="n">
        <v>90</v>
      </c>
      <c r="G27" s="220">
        <f>ROUND(E27*F27,2)</f>
        <v/>
      </c>
      <c r="H27" s="222">
        <f>G27/$G$47</f>
        <v/>
      </c>
      <c r="I27" s="220">
        <f>ROUND(F27*Прил.10!$D$12,2)</f>
        <v/>
      </c>
      <c r="J27" s="220">
        <f>ROUND(I27*E27,2)</f>
        <v/>
      </c>
    </row>
    <row r="28" hidden="1" outlineLevel="1" ht="25.5" customFormat="1" customHeight="1" s="311">
      <c r="A28" s="356" t="n">
        <v>11</v>
      </c>
      <c r="B28" s="267" t="inlineStr">
        <is>
          <t>91.17.04-233</t>
        </is>
      </c>
      <c r="C28" s="355" t="inlineStr">
        <is>
          <t>Установки для сварки ручной дуговой (постоянного тока)</t>
        </is>
      </c>
      <c r="D28" s="356" t="inlineStr">
        <is>
          <t>маш.-ч</t>
        </is>
      </c>
      <c r="E28" s="281" t="n">
        <v>11.4211</v>
      </c>
      <c r="F28" s="358" t="n">
        <v>8.1</v>
      </c>
      <c r="G28" s="220">
        <f>ROUND(E28*F28,2)</f>
        <v/>
      </c>
      <c r="H28" s="222">
        <f>G28/$G$47</f>
        <v/>
      </c>
      <c r="I28" s="220">
        <f>ROUND(F28*Прил.10!$D$12,2)</f>
        <v/>
      </c>
      <c r="J28" s="220">
        <f>ROUND(I28*E28,2)</f>
        <v/>
      </c>
    </row>
    <row r="29" hidden="1" outlineLevel="1" ht="38.25" customFormat="1" customHeight="1" s="311">
      <c r="A29" s="356" t="n">
        <v>18</v>
      </c>
      <c r="B29" s="267" t="inlineStr">
        <is>
          <t>91.06.05-057</t>
        </is>
      </c>
      <c r="C29" s="355" t="inlineStr">
        <is>
          <t>Погрузчики одноковшовые универсальные фронтальные пневмоколесные, грузоподъемность 3 т</t>
        </is>
      </c>
      <c r="D29" s="356" t="inlineStr">
        <is>
          <t>маш.-ч</t>
        </is>
      </c>
      <c r="E29" s="281" t="n">
        <v>0.512</v>
      </c>
      <c r="F29" s="358" t="n">
        <v>90.40000000000001</v>
      </c>
      <c r="G29" s="220">
        <f>ROUND(E29*F29,2)</f>
        <v/>
      </c>
      <c r="H29" s="222">
        <f>G29/$G$47</f>
        <v/>
      </c>
      <c r="I29" s="220">
        <f>ROUND(F29*Прил.10!$D$12,2)</f>
        <v/>
      </c>
      <c r="J29" s="220">
        <f>ROUND(I29*E29,2)</f>
        <v/>
      </c>
    </row>
    <row r="30" hidden="1" outlineLevel="1" ht="25.5" customFormat="1" customHeight="1" s="311">
      <c r="A30" s="356" t="n">
        <v>19</v>
      </c>
      <c r="B30" s="267" t="inlineStr">
        <is>
          <t>91.05.05-014</t>
        </is>
      </c>
      <c r="C30" s="355" t="inlineStr">
        <is>
          <t>Краны на автомобильном ходу, грузоподъемность 10 т</t>
        </is>
      </c>
      <c r="D30" s="356" t="inlineStr">
        <is>
          <t>маш.-ч</t>
        </is>
      </c>
      <c r="E30" s="281" t="n">
        <v>0.31843</v>
      </c>
      <c r="F30" s="358" t="n">
        <v>111.99</v>
      </c>
      <c r="G30" s="220">
        <f>ROUND(E30*F30,2)</f>
        <v/>
      </c>
      <c r="H30" s="222">
        <f>G30/$G$47</f>
        <v/>
      </c>
      <c r="I30" s="220">
        <f>ROUND(F30*Прил.10!$D$12,2)</f>
        <v/>
      </c>
      <c r="J30" s="220">
        <f>ROUND(I30*E30,2)</f>
        <v/>
      </c>
    </row>
    <row r="31" hidden="1" outlineLevel="1" ht="25.5" customFormat="1" customHeight="1" s="311">
      <c r="A31" s="356" t="n">
        <v>20</v>
      </c>
      <c r="B31" s="267" t="inlineStr">
        <is>
          <t>91.01.05-084</t>
        </is>
      </c>
      <c r="C31" s="355" t="inlineStr">
        <is>
          <t>Экскаваторы одноковшовые дизельные на гусеничном ходу, емкость ковша 0,4 м3</t>
        </is>
      </c>
      <c r="D31" s="356" t="inlineStr">
        <is>
          <t>маш.-ч</t>
        </is>
      </c>
      <c r="E31" s="281" t="n">
        <v>0.5905899999999999</v>
      </c>
      <c r="F31" s="358" t="n">
        <v>54.81</v>
      </c>
      <c r="G31" s="220">
        <f>ROUND(E31*F31,2)</f>
        <v/>
      </c>
      <c r="H31" s="222">
        <f>G31/$G$47</f>
        <v/>
      </c>
      <c r="I31" s="220">
        <f>ROUND(F31*Прил.10!$D$12,2)</f>
        <v/>
      </c>
      <c r="J31" s="220">
        <f>ROUND(I31*E31,2)</f>
        <v/>
      </c>
    </row>
    <row r="32" hidden="1" outlineLevel="1" ht="25.5" customFormat="1" customHeight="1" s="311">
      <c r="A32" s="356" t="n">
        <v>21</v>
      </c>
      <c r="B32" s="267" t="inlineStr">
        <is>
          <t>91.08.09-001</t>
        </is>
      </c>
      <c r="C32" s="355" t="inlineStr">
        <is>
          <t>Виброплиты с двигателем внутреннего сгорания</t>
        </is>
      </c>
      <c r="D32" s="356" t="inlineStr">
        <is>
          <t>маш.-ч</t>
        </is>
      </c>
      <c r="E32" s="281" t="n">
        <v>0.34</v>
      </c>
      <c r="F32" s="358" t="n">
        <v>60</v>
      </c>
      <c r="G32" s="220">
        <f>ROUND(E32*F32,2)</f>
        <v/>
      </c>
      <c r="H32" s="222">
        <f>G32/$G$47</f>
        <v/>
      </c>
      <c r="I32" s="220">
        <f>ROUND(F32*Прил.10!$D$12,2)</f>
        <v/>
      </c>
      <c r="J32" s="220">
        <f>ROUND(I32*E32,2)</f>
        <v/>
      </c>
    </row>
    <row r="33" hidden="1" outlineLevel="1" ht="25.5" customFormat="1" customHeight="1" s="311">
      <c r="A33" s="356" t="n">
        <v>22</v>
      </c>
      <c r="B33" s="267" t="inlineStr">
        <is>
          <t>91.14.02-001</t>
        </is>
      </c>
      <c r="C33" s="355" t="inlineStr">
        <is>
          <t>Автомобили бортовые, грузоподъемность до 5 т</t>
        </is>
      </c>
      <c r="D33" s="356" t="inlineStr">
        <is>
          <t>маш.-ч</t>
        </is>
      </c>
      <c r="E33" s="281" t="n">
        <v>0.183986</v>
      </c>
      <c r="F33" s="358" t="n">
        <v>65.70999999999999</v>
      </c>
      <c r="G33" s="220">
        <f>ROUND(E33*F33,2)</f>
        <v/>
      </c>
      <c r="H33" s="222">
        <f>G33/$G$47</f>
        <v/>
      </c>
      <c r="I33" s="220">
        <f>ROUND(F33*Прил.10!$D$12,2)</f>
        <v/>
      </c>
      <c r="J33" s="220">
        <f>ROUND(I33*E33,2)</f>
        <v/>
      </c>
    </row>
    <row r="34" hidden="1" outlineLevel="1" ht="14.25" customFormat="1" customHeight="1" s="311">
      <c r="A34" s="356" t="n">
        <v>23</v>
      </c>
      <c r="B34" s="267" t="inlineStr">
        <is>
          <t>91.06.05-011</t>
        </is>
      </c>
      <c r="C34" s="355" t="inlineStr">
        <is>
          <t>Погрузчики, грузоподъемность 5 т</t>
        </is>
      </c>
      <c r="D34" s="356" t="inlineStr">
        <is>
          <t>маш.-ч</t>
        </is>
      </c>
      <c r="E34" s="281" t="n">
        <v>0.12647</v>
      </c>
      <c r="F34" s="358" t="n">
        <v>89.98999999999999</v>
      </c>
      <c r="G34" s="220">
        <f>ROUND(E34*F34,2)</f>
        <v/>
      </c>
      <c r="H34" s="222">
        <f>G34/$G$47</f>
        <v/>
      </c>
      <c r="I34" s="220">
        <f>ROUND(F34*Прил.10!$D$12,2)</f>
        <v/>
      </c>
      <c r="J34" s="220">
        <f>ROUND(I34*E34,2)</f>
        <v/>
      </c>
    </row>
    <row r="35" hidden="1" outlineLevel="1" ht="25.5" customFormat="1" customHeight="1" s="311">
      <c r="A35" s="356" t="n">
        <v>24</v>
      </c>
      <c r="B35" s="267" t="inlineStr">
        <is>
          <t>91.01.02-004</t>
        </is>
      </c>
      <c r="C35" s="355" t="inlineStr">
        <is>
          <t>Автогрейдеры среднего типа, мощность 99 кВт (135 л.с.)</t>
        </is>
      </c>
      <c r="D35" s="356" t="inlineStr">
        <is>
          <t>маш.-ч</t>
        </is>
      </c>
      <c r="E35" s="281" t="n">
        <v>0.08740000000000001</v>
      </c>
      <c r="F35" s="358" t="n">
        <v>123</v>
      </c>
      <c r="G35" s="220">
        <f>ROUND(E35*F35,2)</f>
        <v/>
      </c>
      <c r="H35" s="222">
        <f>G35/$G$47</f>
        <v/>
      </c>
      <c r="I35" s="220">
        <f>ROUND(F35*Прил.10!$D$12,2)</f>
        <v/>
      </c>
      <c r="J35" s="220">
        <f>ROUND(I35*E35,2)</f>
        <v/>
      </c>
    </row>
    <row r="36" hidden="1" outlineLevel="1" ht="14.25" customFormat="1" customHeight="1" s="311">
      <c r="A36" s="356" t="n">
        <v>25</v>
      </c>
      <c r="B36" s="267" t="inlineStr">
        <is>
          <t>91.01.01-035</t>
        </is>
      </c>
      <c r="C36" s="355" t="inlineStr">
        <is>
          <t>Бульдозеры, мощность 79 кВт (108 л.с.)</t>
        </is>
      </c>
      <c r="D36" s="356" t="inlineStr">
        <is>
          <t>маш.-ч</t>
        </is>
      </c>
      <c r="E36" s="281" t="n">
        <v>0.135584</v>
      </c>
      <c r="F36" s="358" t="n">
        <v>79.06999999999999</v>
      </c>
      <c r="G36" s="220">
        <f>ROUND(E36*F36,2)</f>
        <v/>
      </c>
      <c r="H36" s="222">
        <f>G36/$G$47</f>
        <v/>
      </c>
      <c r="I36" s="220">
        <f>ROUND(F36*Прил.10!$D$12,2)</f>
        <v/>
      </c>
      <c r="J36" s="220">
        <f>ROUND(I36*E36,2)</f>
        <v/>
      </c>
    </row>
    <row r="37" hidden="1" outlineLevel="1" ht="14.25" customFormat="1" customHeight="1" s="311">
      <c r="A37" s="356" t="n">
        <v>26</v>
      </c>
      <c r="B37" s="267" t="inlineStr">
        <is>
          <t>91.08.04-021</t>
        </is>
      </c>
      <c r="C37" s="355" t="inlineStr">
        <is>
          <t>Котлы битумные передвижные 400 л</t>
        </is>
      </c>
      <c r="D37" s="356" t="inlineStr">
        <is>
          <t>маш.-ч</t>
        </is>
      </c>
      <c r="E37" s="281" t="n">
        <v>0.195</v>
      </c>
      <c r="F37" s="358" t="n">
        <v>30</v>
      </c>
      <c r="G37" s="220">
        <f>ROUND(E37*F37,2)</f>
        <v/>
      </c>
      <c r="H37" s="222">
        <f>G37/$G$47</f>
        <v/>
      </c>
      <c r="I37" s="220">
        <f>ROUND(F37*Прил.10!$D$12,2)</f>
        <v/>
      </c>
      <c r="J37" s="220">
        <f>ROUND(I37*E37,2)</f>
        <v/>
      </c>
    </row>
    <row r="38" hidden="1" outlineLevel="1" ht="14.25" customFormat="1" customHeight="1" s="311">
      <c r="A38" s="356" t="n">
        <v>27</v>
      </c>
      <c r="B38" s="267" t="inlineStr">
        <is>
          <t>91.13.01-038</t>
        </is>
      </c>
      <c r="C38" s="355" t="inlineStr">
        <is>
          <t>Машины поливомоечные 6000 л</t>
        </is>
      </c>
      <c r="D38" s="356" t="inlineStr">
        <is>
          <t>маш.-ч</t>
        </is>
      </c>
      <c r="E38" s="281" t="n">
        <v>0.03952</v>
      </c>
      <c r="F38" s="358" t="n">
        <v>110</v>
      </c>
      <c r="G38" s="220">
        <f>ROUND(E38*F38,2)</f>
        <v/>
      </c>
      <c r="H38" s="222">
        <f>G38/$G$47</f>
        <v/>
      </c>
      <c r="I38" s="220">
        <f>ROUND(F38*Прил.10!$D$12,2)</f>
        <v/>
      </c>
      <c r="J38" s="220">
        <f>ROUND(I38*E38,2)</f>
        <v/>
      </c>
    </row>
    <row r="39" hidden="1" outlineLevel="1" ht="25.5" customFormat="1" customHeight="1" s="311">
      <c r="A39" s="356" t="n">
        <v>28</v>
      </c>
      <c r="B39" s="267" t="inlineStr">
        <is>
          <t>91.01.05-086</t>
        </is>
      </c>
      <c r="C39" s="355" t="inlineStr">
        <is>
          <t>Экскаваторы одноковшовые дизельные на гусеничном ходу, емкость ковша 0,65 м3</t>
        </is>
      </c>
      <c r="D39" s="356" t="inlineStr">
        <is>
          <t>маш.-ч</t>
        </is>
      </c>
      <c r="E39" s="281" t="n">
        <v>0.022968</v>
      </c>
      <c r="F39" s="358" t="n">
        <v>115.27</v>
      </c>
      <c r="G39" s="220">
        <f>ROUND(E39*F39,2)</f>
        <v/>
      </c>
      <c r="H39" s="222">
        <f>G39/$G$47</f>
        <v/>
      </c>
      <c r="I39" s="220">
        <f>ROUND(F39*Прил.10!$D$12,2)</f>
        <v/>
      </c>
      <c r="J39" s="220">
        <f>ROUND(I39*E39,2)</f>
        <v/>
      </c>
    </row>
    <row r="40" hidden="1" outlineLevel="1" ht="25.5" customFormat="1" customHeight="1" s="311">
      <c r="A40" s="356" t="n">
        <v>29</v>
      </c>
      <c r="B40" s="267" t="inlineStr">
        <is>
          <t>91.08.09-023</t>
        </is>
      </c>
      <c r="C40" s="355" t="inlineStr">
        <is>
          <t>Трамбовки пневматические при работе от передвижных компрессорных станций</t>
        </is>
      </c>
      <c r="D40" s="356" t="inlineStr">
        <is>
          <t>маш.-ч</t>
        </is>
      </c>
      <c r="E40" s="281" t="n">
        <v>3.438288</v>
      </c>
      <c r="F40" s="358" t="n">
        <v>0.55</v>
      </c>
      <c r="G40" s="220">
        <f>ROUND(E40*F40,2)</f>
        <v/>
      </c>
      <c r="H40" s="222">
        <f>G40/$G$47</f>
        <v/>
      </c>
      <c r="I40" s="220">
        <f>ROUND(F40*Прил.10!$D$12,2)</f>
        <v/>
      </c>
      <c r="J40" s="220">
        <f>ROUND(I40*E40,2)</f>
        <v/>
      </c>
    </row>
    <row r="41" hidden="1" outlineLevel="1" ht="14.25" customFormat="1" customHeight="1" s="311">
      <c r="A41" s="356" t="n">
        <v>30</v>
      </c>
      <c r="B41" s="267" t="inlineStr">
        <is>
          <t>91.07.04-001</t>
        </is>
      </c>
      <c r="C41" s="355" t="inlineStr">
        <is>
          <t>Вибраторы глубинные</t>
        </is>
      </c>
      <c r="D41" s="356" t="inlineStr">
        <is>
          <t>маш.-ч</t>
        </is>
      </c>
      <c r="E41" s="281" t="n">
        <v>0.82467</v>
      </c>
      <c r="F41" s="358" t="n">
        <v>1.9</v>
      </c>
      <c r="G41" s="220">
        <f>ROUND(E41*F41,2)</f>
        <v/>
      </c>
      <c r="H41" s="222">
        <f>G41/$G$47</f>
        <v/>
      </c>
      <c r="I41" s="220">
        <f>ROUND(F41*Прил.10!$D$12,2)</f>
        <v/>
      </c>
      <c r="J41" s="220">
        <f>ROUND(I41*E41,2)</f>
        <v/>
      </c>
    </row>
    <row r="42" hidden="1" outlineLevel="1" ht="14.25" customFormat="1" customHeight="1" s="311">
      <c r="A42" s="356" t="n">
        <v>31</v>
      </c>
      <c r="B42" s="267" t="inlineStr">
        <is>
          <t>91.17.04-042</t>
        </is>
      </c>
      <c r="C42" s="355" t="inlineStr">
        <is>
          <t>Аппараты для газовой сварки и резки</t>
        </is>
      </c>
      <c r="D42" s="356" t="inlineStr">
        <is>
          <t>маш.-ч</t>
        </is>
      </c>
      <c r="E42" s="281" t="n">
        <v>0.97</v>
      </c>
      <c r="F42" s="358" t="n">
        <v>1.2</v>
      </c>
      <c r="G42" s="220">
        <f>ROUND(E42*F42,2)</f>
        <v/>
      </c>
      <c r="H42" s="222">
        <f>G42/$G$47</f>
        <v/>
      </c>
      <c r="I42" s="220">
        <f>ROUND(F42*Прил.10!$D$12,2)</f>
        <v/>
      </c>
      <c r="J42" s="220">
        <f>ROUND(I42*E42,2)</f>
        <v/>
      </c>
    </row>
    <row r="43" hidden="1" outlineLevel="1" ht="14.25" customFormat="1" customHeight="1" s="311">
      <c r="A43" s="356" t="n">
        <v>32</v>
      </c>
      <c r="B43" s="267" t="inlineStr">
        <is>
          <t>91.07.04-002</t>
        </is>
      </c>
      <c r="C43" s="355" t="inlineStr">
        <is>
          <t>Вибраторы поверхностные</t>
        </is>
      </c>
      <c r="D43" s="356" t="inlineStr">
        <is>
          <t>маш.-ч</t>
        </is>
      </c>
      <c r="E43" s="281" t="n">
        <v>1.9488</v>
      </c>
      <c r="F43" s="358" t="n">
        <v>0.5</v>
      </c>
      <c r="G43" s="220">
        <f>ROUND(E43*F43,2)</f>
        <v/>
      </c>
      <c r="H43" s="222">
        <f>G43/$G$47</f>
        <v/>
      </c>
      <c r="I43" s="220">
        <f>ROUND(F43*Прил.10!$D$12,2)</f>
        <v/>
      </c>
      <c r="J43" s="220">
        <f>ROUND(I43*E43,2)</f>
        <v/>
      </c>
    </row>
    <row r="44" hidden="1" outlineLevel="1" ht="38.25" customFormat="1" customHeight="1" s="311">
      <c r="A44" s="356" t="n">
        <v>33</v>
      </c>
      <c r="B44" s="267" t="inlineStr">
        <is>
          <t>91.21.01-012</t>
        </is>
      </c>
      <c r="C44" s="355" t="inlineStr">
        <is>
          <t>Агрегаты окрасочные высокого давления для окраски поверхностей конструкций, мощность 1 кВт</t>
        </is>
      </c>
      <c r="D44" s="356" t="inlineStr">
        <is>
          <t>маш.-ч</t>
        </is>
      </c>
      <c r="E44" s="281" t="n">
        <v>0.0224</v>
      </c>
      <c r="F44" s="358" t="n">
        <v>6.82</v>
      </c>
      <c r="G44" s="220">
        <f>ROUND(E44*F44,2)</f>
        <v/>
      </c>
      <c r="H44" s="222">
        <f>G44/$G$47</f>
        <v/>
      </c>
      <c r="I44" s="220">
        <f>ROUND(F44*Прил.10!$D$12,2)</f>
        <v/>
      </c>
      <c r="J44" s="220">
        <f>ROUND(I44*E44,2)</f>
        <v/>
      </c>
    </row>
    <row r="45" hidden="1" outlineLevel="1" ht="25.5" customFormat="1" customHeight="1" s="311">
      <c r="A45" s="356" t="n">
        <v>34</v>
      </c>
      <c r="B45" s="267" t="inlineStr">
        <is>
          <t>91.14.03-001</t>
        </is>
      </c>
      <c r="C45" s="355" t="inlineStr">
        <is>
          <t>Автомобили-самосвалы, грузоподъемность до 7 т</t>
        </is>
      </c>
      <c r="D45" s="356" t="inlineStr">
        <is>
          <t>маш.-ч</t>
        </is>
      </c>
      <c r="E45" s="281" t="n">
        <v>0.000798</v>
      </c>
      <c r="F45" s="358" t="n">
        <v>89.54000000000001</v>
      </c>
      <c r="G45" s="220">
        <f>ROUND(E45*F45,2)</f>
        <v/>
      </c>
      <c r="H45" s="222">
        <f>G45/$G$47</f>
        <v/>
      </c>
      <c r="I45" s="220">
        <f>ROUND(F45*Прил.10!$D$12,2)</f>
        <v/>
      </c>
      <c r="J45" s="220">
        <f>ROUND(I45*E45,2)</f>
        <v/>
      </c>
    </row>
    <row r="46" collapsed="1" ht="14.25" customFormat="1" customHeight="1" s="311">
      <c r="A46" s="356" t="n"/>
      <c r="B46" s="356" t="n"/>
      <c r="C46" s="355" t="inlineStr">
        <is>
          <t>Итого прочие машины и механизмы</t>
        </is>
      </c>
      <c r="D46" s="356" t="n"/>
      <c r="E46" s="357" t="n"/>
      <c r="F46" s="220" t="n"/>
      <c r="G46" s="212">
        <f>SUM(G27:G45)</f>
        <v/>
      </c>
      <c r="H46" s="222">
        <f>G46/G47</f>
        <v/>
      </c>
      <c r="I46" s="220" t="n"/>
      <c r="J46" s="220">
        <f>SUM(J27:J45)</f>
        <v/>
      </c>
    </row>
    <row r="47" ht="25.5" customFormat="1" customHeight="1" s="311">
      <c r="A47" s="356" t="n"/>
      <c r="B47" s="356" t="n"/>
      <c r="C47" s="344" t="inlineStr">
        <is>
          <t>Итого по разделу «Машины и механизмы»</t>
        </is>
      </c>
      <c r="D47" s="356" t="n"/>
      <c r="E47" s="357" t="n"/>
      <c r="F47" s="220" t="n"/>
      <c r="G47" s="220">
        <f>G46+G26</f>
        <v/>
      </c>
      <c r="H47" s="205" t="n">
        <v>1</v>
      </c>
      <c r="I47" s="206" t="n"/>
      <c r="J47" s="234">
        <f>J46+J26</f>
        <v/>
      </c>
    </row>
    <row r="48" ht="14.25" customFormat="1" customHeight="1" s="311">
      <c r="A48" s="356" t="n"/>
      <c r="B48" s="344" t="inlineStr">
        <is>
          <t>Оборудование</t>
        </is>
      </c>
      <c r="C48" s="420" t="n"/>
      <c r="D48" s="420" t="n"/>
      <c r="E48" s="420" t="n"/>
      <c r="F48" s="420" t="n"/>
      <c r="G48" s="420" t="n"/>
      <c r="H48" s="421" t="n"/>
      <c r="I48" s="211" t="n"/>
      <c r="J48" s="211" t="n"/>
    </row>
    <row r="49">
      <c r="A49" s="356" t="n"/>
      <c r="B49" s="355" t="inlineStr">
        <is>
          <t>Основное оборудование</t>
        </is>
      </c>
      <c r="C49" s="420" t="n"/>
      <c r="D49" s="420" t="n"/>
      <c r="E49" s="420" t="n"/>
      <c r="F49" s="420" t="n"/>
      <c r="G49" s="420" t="n"/>
      <c r="H49" s="421" t="n"/>
      <c r="I49" s="211" t="n"/>
      <c r="J49" s="211" t="n"/>
      <c r="K49" s="311" t="n"/>
      <c r="L49" s="311" t="n"/>
    </row>
    <row r="50" ht="25.5" customFormat="1" customHeight="1" s="311">
      <c r="A50" s="356" t="n">
        <v>35</v>
      </c>
      <c r="B50" s="356" t="inlineStr">
        <is>
          <t>БЦ.58.54</t>
        </is>
      </c>
      <c r="C50" s="277" t="inlineStr">
        <is>
          <t>Дизель-генераторная установка на ДТ контейнерный 1 кВ 1000 кВт</t>
        </is>
      </c>
      <c r="D50" s="284" t="inlineStr">
        <is>
          <t>комплект</t>
        </is>
      </c>
      <c r="E50" s="282" t="n">
        <v>1</v>
      </c>
      <c r="F50" s="313">
        <f>ROUND(I50/Прил.10!$D$14,2)</f>
        <v/>
      </c>
      <c r="G50" s="220">
        <f>ROUND(E50*F50,2)</f>
        <v/>
      </c>
      <c r="H50" s="222">
        <f>G50/$G$53</f>
        <v/>
      </c>
      <c r="I50" s="280" t="n">
        <v>21466232.08</v>
      </c>
      <c r="J50" s="220">
        <f>ROUND(I50*E50,2)</f>
        <v/>
      </c>
    </row>
    <row r="51">
      <c r="A51" s="356" t="n"/>
      <c r="B51" s="356" t="n"/>
      <c r="C51" s="355" t="inlineStr">
        <is>
          <t>Итого основное оборудование</t>
        </is>
      </c>
      <c r="D51" s="356" t="n"/>
      <c r="E51" s="281" t="n"/>
      <c r="F51" s="358" t="n"/>
      <c r="G51" s="220">
        <f>G50</f>
        <v/>
      </c>
      <c r="H51" s="222">
        <f>G51/$G$53</f>
        <v/>
      </c>
      <c r="I51" s="212" t="n"/>
      <c r="J51" s="220">
        <f>J50</f>
        <v/>
      </c>
      <c r="K51" s="311" t="n"/>
      <c r="L51" s="311" t="n"/>
    </row>
    <row r="52">
      <c r="A52" s="356" t="n"/>
      <c r="B52" s="356" t="n"/>
      <c r="C52" s="355" t="inlineStr">
        <is>
          <t>Итого прочее оборудование</t>
        </is>
      </c>
      <c r="D52" s="285" t="n"/>
      <c r="E52" s="281" t="n"/>
      <c r="F52" s="358" t="n"/>
      <c r="G52" s="220" t="n">
        <v>0</v>
      </c>
      <c r="H52" s="222">
        <f>G52/$G$53</f>
        <v/>
      </c>
      <c r="I52" s="212" t="n"/>
      <c r="J52" s="220" t="n">
        <v>0</v>
      </c>
      <c r="K52" s="311" t="n"/>
      <c r="L52" s="311" t="n"/>
    </row>
    <row r="53">
      <c r="A53" s="356" t="n"/>
      <c r="B53" s="356" t="n"/>
      <c r="C53" s="344" t="inlineStr">
        <is>
          <t>Итого по разделу «Оборудование»</t>
        </is>
      </c>
      <c r="D53" s="356" t="n"/>
      <c r="E53" s="357" t="n"/>
      <c r="F53" s="358" t="n"/>
      <c r="G53" s="220">
        <f>G51</f>
        <v/>
      </c>
      <c r="H53" s="222">
        <f>G53/$G$53</f>
        <v/>
      </c>
      <c r="I53" s="212" t="n"/>
      <c r="J53" s="220">
        <f>J51+J52</f>
        <v/>
      </c>
      <c r="K53" s="311" t="n"/>
      <c r="L53" s="311" t="n"/>
    </row>
    <row r="54" ht="25.5" customHeight="1" s="301">
      <c r="A54" s="356" t="n"/>
      <c r="B54" s="356" t="n"/>
      <c r="C54" s="355" t="inlineStr">
        <is>
          <t>в том числе технологическое оборудование</t>
        </is>
      </c>
      <c r="D54" s="356" t="n"/>
      <c r="E54" s="281" t="n"/>
      <c r="F54" s="358" t="n"/>
      <c r="G54" s="220">
        <f>'Прил.6 Расчет ОБ'!G13</f>
        <v/>
      </c>
      <c r="H54" s="359" t="n"/>
      <c r="I54" s="212" t="n"/>
      <c r="J54" s="220">
        <f>J53</f>
        <v/>
      </c>
      <c r="K54" s="311" t="n"/>
      <c r="L54" s="311" t="n"/>
    </row>
    <row r="55" ht="14.25" customFormat="1" customHeight="1" s="311">
      <c r="A55" s="356" t="n"/>
      <c r="B55" s="344" t="inlineStr">
        <is>
          <t>Материалы</t>
        </is>
      </c>
      <c r="C55" s="420" t="n"/>
      <c r="D55" s="420" t="n"/>
      <c r="E55" s="420" t="n"/>
      <c r="F55" s="420" t="n"/>
      <c r="G55" s="420" t="n"/>
      <c r="H55" s="421" t="n"/>
      <c r="I55" s="211" t="n"/>
      <c r="J55" s="211" t="n"/>
    </row>
    <row r="56" ht="14.25" customFormat="1" customHeight="1" s="311">
      <c r="A56" s="351" t="n"/>
      <c r="B56" s="350" t="inlineStr">
        <is>
          <t>Основные материалы</t>
        </is>
      </c>
      <c r="C56" s="425" t="n"/>
      <c r="D56" s="425" t="n"/>
      <c r="E56" s="425" t="n"/>
      <c r="F56" s="425" t="n"/>
      <c r="G56" s="425" t="n"/>
      <c r="H56" s="426" t="n"/>
      <c r="I56" s="228" t="n"/>
      <c r="J56" s="228" t="n"/>
    </row>
    <row r="57" ht="38.25" customFormat="1" customHeight="1" s="311">
      <c r="A57" s="356" t="n">
        <v>36</v>
      </c>
      <c r="B57" s="267" t="inlineStr">
        <is>
          <t>04.1.02.05-0040</t>
        </is>
      </c>
      <c r="C57" s="355" t="inlineStr">
        <is>
          <t>Смеси бетонные тяжелого бетона (БСТ), крупность заполнителя 20 мм, класс В7,5 (М100)</t>
        </is>
      </c>
      <c r="D57" s="356" t="inlineStr">
        <is>
          <t>м3</t>
        </is>
      </c>
      <c r="E57" s="281" t="n">
        <v>12.1403</v>
      </c>
      <c r="F57" s="358" t="n">
        <v>535.46</v>
      </c>
      <c r="G57" s="220">
        <f>ROUND(E57*F57,2)</f>
        <v/>
      </c>
      <c r="H57" s="222">
        <f>G57/$G$95</f>
        <v/>
      </c>
      <c r="I57" s="220">
        <f>ROUND(F57*Прил.10!$D$13,2)</f>
        <v/>
      </c>
      <c r="J57" s="220">
        <f>ROUND(I57*E57,2)</f>
        <v/>
      </c>
    </row>
    <row r="58" ht="38.25" customFormat="1" customHeight="1" s="311">
      <c r="A58" s="356" t="n">
        <v>37</v>
      </c>
      <c r="B58" s="267" t="inlineStr">
        <is>
          <t>04.1.02.05-0043</t>
        </is>
      </c>
      <c r="C58" s="355" t="inlineStr">
        <is>
          <t>Смеси бетонные тяжелого бетона (БСТ), крупность заполнителя 20 мм, класс В15 (М200)</t>
        </is>
      </c>
      <c r="D58" s="356" t="inlineStr">
        <is>
          <t>м3</t>
        </is>
      </c>
      <c r="E58" s="281" t="n">
        <v>3.9576</v>
      </c>
      <c r="F58" s="358" t="n">
        <v>665</v>
      </c>
      <c r="G58" s="220">
        <f>ROUND(E58*F58,2)</f>
        <v/>
      </c>
      <c r="H58" s="222">
        <f>G58/$G$95</f>
        <v/>
      </c>
      <c r="I58" s="220">
        <f>ROUND(F58*Прил.10!$D$13,2)</f>
        <v/>
      </c>
      <c r="J58" s="220">
        <f>ROUND(I58*E58,2)</f>
        <v/>
      </c>
    </row>
    <row r="59" ht="25.5" customFormat="1" customHeight="1" s="311">
      <c r="A59" s="356" t="n">
        <v>38</v>
      </c>
      <c r="B59" s="267" t="inlineStr">
        <is>
          <t>04.2.02.01-0013</t>
        </is>
      </c>
      <c r="C59" s="355" t="inlineStr">
        <is>
          <t>Асфальт литой: для покрытий тротуаров тип II (жесткий)</t>
        </is>
      </c>
      <c r="D59" s="356" t="inlineStr">
        <is>
          <t>т</t>
        </is>
      </c>
      <c r="E59" s="281" t="n">
        <v>2.856</v>
      </c>
      <c r="F59" s="358" t="n">
        <v>455.39</v>
      </c>
      <c r="G59" s="220">
        <f>ROUND(E59*F59,2)</f>
        <v/>
      </c>
      <c r="H59" s="222">
        <f>G59/$G$95</f>
        <v/>
      </c>
      <c r="I59" s="220">
        <f>ROUND(F59*Прил.10!$D$13,2)</f>
        <v/>
      </c>
      <c r="J59" s="220">
        <f>ROUND(I59*E59,2)</f>
        <v/>
      </c>
    </row>
    <row r="60" ht="25.5" customFormat="1" customHeight="1" s="311">
      <c r="A60" s="356" t="n">
        <v>39</v>
      </c>
      <c r="B60" s="267" t="inlineStr">
        <is>
          <t>04.1.02.05-0006</t>
        </is>
      </c>
      <c r="C60" s="355" t="inlineStr">
        <is>
          <t>Смеси бетонные тяжелого бетона (БСТ), класс В15 (М200)</t>
        </is>
      </c>
      <c r="D60" s="356" t="inlineStr">
        <is>
          <t>м3</t>
        </is>
      </c>
      <c r="E60" s="281" t="n">
        <v>1.888</v>
      </c>
      <c r="F60" s="358" t="n">
        <v>592.76</v>
      </c>
      <c r="G60" s="220">
        <f>ROUND(E60*F60,2)</f>
        <v/>
      </c>
      <c r="H60" s="222">
        <f>G60/$G$95</f>
        <v/>
      </c>
      <c r="I60" s="220">
        <f>ROUND(F60*Прил.10!$D$13,2)</f>
        <v/>
      </c>
      <c r="J60" s="220">
        <f>ROUND(I60*E60,2)</f>
        <v/>
      </c>
    </row>
    <row r="61" ht="25.5" customFormat="1" customHeight="1" s="311">
      <c r="A61" s="356" t="n">
        <v>40</v>
      </c>
      <c r="B61" s="267" t="inlineStr">
        <is>
          <t>08.4.03.03-0004</t>
        </is>
      </c>
      <c r="C61" s="355" t="inlineStr">
        <is>
          <t>Сталь арматурная рифленая свариваемая, класс А500С, диаметр 12 мм</t>
        </is>
      </c>
      <c r="D61" s="356" t="inlineStr">
        <is>
          <t>т</t>
        </is>
      </c>
      <c r="E61" s="281" t="n">
        <v>0.177</v>
      </c>
      <c r="F61" s="358" t="n">
        <v>5584.58</v>
      </c>
      <c r="G61" s="220">
        <f>ROUND(E61*F61,2)</f>
        <v/>
      </c>
      <c r="H61" s="222">
        <f>G61/$G$95</f>
        <v/>
      </c>
      <c r="I61" s="220">
        <f>ROUND(F61*Прил.10!$D$13,2)</f>
        <v/>
      </c>
      <c r="J61" s="220">
        <f>ROUND(I61*E61,2)</f>
        <v/>
      </c>
    </row>
    <row r="62" ht="25.5" customFormat="1" customHeight="1" s="311">
      <c r="A62" s="356" t="n">
        <v>41</v>
      </c>
      <c r="B62" s="267" t="inlineStr">
        <is>
          <t>25.1.01.04-0031</t>
        </is>
      </c>
      <c r="C62" s="355" t="inlineStr">
        <is>
          <t>Шпалы непропитанные для железных дорог, тип I</t>
        </is>
      </c>
      <c r="D62" s="356" t="inlineStr">
        <is>
          <t>шт</t>
        </is>
      </c>
      <c r="E62" s="281" t="n">
        <v>3.2</v>
      </c>
      <c r="F62" s="358" t="n">
        <v>266.67</v>
      </c>
      <c r="G62" s="220">
        <f>ROUND(E62*F62,2)</f>
        <v/>
      </c>
      <c r="H62" s="222">
        <f>G62/$G$95</f>
        <v/>
      </c>
      <c r="I62" s="220">
        <f>ROUND(F62*Прил.10!$D$13,2)</f>
        <v/>
      </c>
      <c r="J62" s="220">
        <f>ROUND(I62*E62,2)</f>
        <v/>
      </c>
    </row>
    <row r="63" ht="76.7" customFormat="1" customHeight="1" s="311">
      <c r="A63" s="356" t="n">
        <v>42</v>
      </c>
      <c r="B63" s="267" t="inlineStr">
        <is>
          <t>08.4.01.02-0013</t>
        </is>
      </c>
      <c r="C63" s="355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63" s="356" t="inlineStr">
        <is>
          <t>т</t>
        </is>
      </c>
      <c r="E63" s="281" t="n">
        <v>0.1158</v>
      </c>
      <c r="F63" s="358" t="n">
        <v>6800</v>
      </c>
      <c r="G63" s="220">
        <f>ROUND(E63*F63,2)</f>
        <v/>
      </c>
      <c r="H63" s="222">
        <f>G63/$G$95</f>
        <v/>
      </c>
      <c r="I63" s="220">
        <f>ROUND(F63*Прил.10!$D$13,2)</f>
        <v/>
      </c>
      <c r="J63" s="220">
        <f>ROUND(I63*E63,2)</f>
        <v/>
      </c>
    </row>
    <row r="64" ht="25.5" customFormat="1" customHeight="1" s="311">
      <c r="A64" s="356" t="n">
        <v>43</v>
      </c>
      <c r="B64" s="267" t="inlineStr">
        <is>
          <t>05.2.03.03-0031</t>
        </is>
      </c>
      <c r="C64" s="355" t="inlineStr">
        <is>
          <t>Камни бортовые БР 100.20.8, бетон В22,5 (М300), объем 0,016 м3</t>
        </is>
      </c>
      <c r="D64" s="356" t="inlineStr">
        <is>
          <t>шт</t>
        </is>
      </c>
      <c r="E64" s="281" t="n">
        <v>32</v>
      </c>
      <c r="F64" s="358" t="n">
        <v>22.36</v>
      </c>
      <c r="G64" s="220">
        <f>ROUND(E64*F64,2)</f>
        <v/>
      </c>
      <c r="H64" s="222">
        <f>G64/$G$95</f>
        <v/>
      </c>
      <c r="I64" s="220">
        <f>ROUND(F64*Прил.10!$D$13,2)</f>
        <v/>
      </c>
      <c r="J64" s="220">
        <f>ROUND(I64*E64,2)</f>
        <v/>
      </c>
    </row>
    <row r="65" ht="25.5" customFormat="1" customHeight="1" s="311">
      <c r="A65" s="356" t="n">
        <v>44</v>
      </c>
      <c r="B65" s="267" t="inlineStr">
        <is>
          <t>02.2.05.04-1772</t>
        </is>
      </c>
      <c r="C65" s="355" t="inlineStr">
        <is>
          <t>Щебень М 600, фракция 20-40 мм, группа 2</t>
        </is>
      </c>
      <c r="D65" s="356" t="inlineStr">
        <is>
          <t>м3</t>
        </is>
      </c>
      <c r="E65" s="281" t="n">
        <v>4.788</v>
      </c>
      <c r="F65" s="358" t="n">
        <v>114.13</v>
      </c>
      <c r="G65" s="220">
        <f>ROUND(E65*F65,2)</f>
        <v/>
      </c>
      <c r="H65" s="222">
        <f>G65/$G$95</f>
        <v/>
      </c>
      <c r="I65" s="220">
        <f>ROUND(F65*Прил.10!$D$13,2)</f>
        <v/>
      </c>
      <c r="J65" s="220">
        <f>ROUND(I65*E65,2)</f>
        <v/>
      </c>
    </row>
    <row r="66" ht="14.25" customFormat="1" customHeight="1" s="311">
      <c r="A66" s="367" t="n"/>
      <c r="B66" s="230" t="n"/>
      <c r="C66" s="231" t="inlineStr">
        <is>
          <t>Итого основные материалы</t>
        </is>
      </c>
      <c r="D66" s="367" t="n"/>
      <c r="E66" s="266" t="n"/>
      <c r="F66" s="234" t="n"/>
      <c r="G66" s="234">
        <f>SUM(G57:G65)</f>
        <v/>
      </c>
      <c r="H66" s="222">
        <f>G66/$G$95</f>
        <v/>
      </c>
      <c r="I66" s="220" t="n"/>
      <c r="J66" s="234">
        <f>SUM(J57:J65)</f>
        <v/>
      </c>
    </row>
    <row r="67" hidden="1" outlineLevel="1" ht="127.5" customFormat="1" customHeight="1" s="311">
      <c r="A67" s="356" t="n">
        <v>45</v>
      </c>
      <c r="B67" s="267" t="inlineStr">
        <is>
          <t>01.2.03.03-0122</t>
        </is>
      </c>
      <c r="C67" s="355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67" s="356" t="inlineStr">
        <is>
          <t>кг</t>
        </is>
      </c>
      <c r="E67" s="281" t="n">
        <v>35</v>
      </c>
      <c r="F67" s="358" t="n">
        <v>13.91</v>
      </c>
      <c r="G67" s="220">
        <f>ROUND(E67*F67,2)</f>
        <v/>
      </c>
      <c r="H67" s="222">
        <f>G67/$G$95</f>
        <v/>
      </c>
      <c r="I67" s="220">
        <f>ROUND(F67*Прил.10!$D$13,2)</f>
        <v/>
      </c>
      <c r="J67" s="220">
        <f>ROUND(I67*E67,2)</f>
        <v/>
      </c>
    </row>
    <row r="68" hidden="1" outlineLevel="1" ht="25.5" customFormat="1" customHeight="1" s="311">
      <c r="A68" s="356" t="n">
        <v>46</v>
      </c>
      <c r="B68" s="267" t="inlineStr">
        <is>
          <t>02.3.01.02-1011</t>
        </is>
      </c>
      <c r="C68" s="355" t="inlineStr">
        <is>
          <t>Песок природный I класс, средний, круглые сита</t>
        </is>
      </c>
      <c r="D68" s="356" t="inlineStr">
        <is>
          <t>м3</t>
        </is>
      </c>
      <c r="E68" s="281" t="n">
        <v>7.88</v>
      </c>
      <c r="F68" s="358" t="n">
        <v>54.95</v>
      </c>
      <c r="G68" s="220">
        <f>ROUND(E68*F68,2)</f>
        <v/>
      </c>
      <c r="H68" s="222">
        <f>G68/$G$95</f>
        <v/>
      </c>
      <c r="I68" s="220">
        <f>ROUND(F68*Прил.10!$D$13,2)</f>
        <v/>
      </c>
      <c r="J68" s="220">
        <f>ROUND(I68*E68,2)</f>
        <v/>
      </c>
    </row>
    <row r="69" hidden="1" outlineLevel="1" ht="14.25" customFormat="1" customHeight="1" s="311">
      <c r="A69" s="356" t="n">
        <v>47</v>
      </c>
      <c r="B69" s="267" t="inlineStr">
        <is>
          <t>07.2.07.13-0171</t>
        </is>
      </c>
      <c r="C69" s="355" t="inlineStr">
        <is>
          <t>Подкладки металлические</t>
        </is>
      </c>
      <c r="D69" s="356" t="inlineStr">
        <is>
          <t>кг</t>
        </is>
      </c>
      <c r="E69" s="281" t="n">
        <v>30.5</v>
      </c>
      <c r="F69" s="358" t="n">
        <v>12.6</v>
      </c>
      <c r="G69" s="220">
        <f>ROUND(E69*F69,2)</f>
        <v/>
      </c>
      <c r="H69" s="222">
        <f>G69/$G$95</f>
        <v/>
      </c>
      <c r="I69" s="220">
        <f>ROUND(F69*Прил.10!$D$13,2)</f>
        <v/>
      </c>
      <c r="J69" s="220">
        <f>ROUND(I69*E69,2)</f>
        <v/>
      </c>
    </row>
    <row r="70" hidden="1" outlineLevel="1" ht="25.5" customFormat="1" customHeight="1" s="311">
      <c r="A70" s="356" t="n">
        <v>48</v>
      </c>
      <c r="B70" s="267" t="inlineStr">
        <is>
          <t>08.4.02.03-0002</t>
        </is>
      </c>
      <c r="C70" s="355" t="inlineStr">
        <is>
          <t>Каркасы арматурные класса А-I диаметром: 10 мм</t>
        </is>
      </c>
      <c r="D70" s="356" t="inlineStr">
        <is>
          <t>т</t>
        </is>
      </c>
      <c r="E70" s="281" t="n">
        <v>0.0472</v>
      </c>
      <c r="F70" s="358" t="n">
        <v>7370</v>
      </c>
      <c r="G70" s="220">
        <f>ROUND(E70*F70,2)</f>
        <v/>
      </c>
      <c r="H70" s="222">
        <f>G70/$G$95</f>
        <v/>
      </c>
      <c r="I70" s="220">
        <f>ROUND(F70*Прил.10!$D$13,2)</f>
        <v/>
      </c>
      <c r="J70" s="220">
        <f>ROUND(I70*E70,2)</f>
        <v/>
      </c>
    </row>
    <row r="71" hidden="1" outlineLevel="1" ht="25.5" customFormat="1" customHeight="1" s="311">
      <c r="A71" s="356" t="n">
        <v>49</v>
      </c>
      <c r="B71" s="267" t="inlineStr">
        <is>
          <t>08.4.03.03-0003</t>
        </is>
      </c>
      <c r="C71" s="355" t="inlineStr">
        <is>
          <t>Сталь арматурная рифленая свариваемая, класс А500С, диаметр 10 мм</t>
        </is>
      </c>
      <c r="D71" s="356" t="inlineStr">
        <is>
          <t>т</t>
        </is>
      </c>
      <c r="E71" s="281" t="n">
        <v>0.0235</v>
      </c>
      <c r="F71" s="358" t="n">
        <v>5802.77</v>
      </c>
      <c r="G71" s="220">
        <f>ROUND(E71*F71,2)</f>
        <v/>
      </c>
      <c r="H71" s="222">
        <f>G71/$G$95</f>
        <v/>
      </c>
      <c r="I71" s="220">
        <f>ROUND(F71*Прил.10!$D$13,2)</f>
        <v/>
      </c>
      <c r="J71" s="220">
        <f>ROUND(I71*E71,2)</f>
        <v/>
      </c>
    </row>
    <row r="72" hidden="1" outlineLevel="1" ht="25.5" customFormat="1" customHeight="1" s="311">
      <c r="A72" s="356" t="n">
        <v>50</v>
      </c>
      <c r="B72" s="267" t="inlineStr">
        <is>
          <t>01.7.11.07-0040</t>
        </is>
      </c>
      <c r="C72" s="355" t="inlineStr">
        <is>
          <t>Электроды сварочные Э50А, диаметр 4 мм</t>
        </is>
      </c>
      <c r="D72" s="356" t="inlineStr">
        <is>
          <t>т</t>
        </is>
      </c>
      <c r="E72" s="281" t="n">
        <v>0.0086</v>
      </c>
      <c r="F72" s="358" t="n">
        <v>11524</v>
      </c>
      <c r="G72" s="220">
        <f>ROUND(E72*F72,2)</f>
        <v/>
      </c>
      <c r="H72" s="222">
        <f>G72/$G$95</f>
        <v/>
      </c>
      <c r="I72" s="220">
        <f>ROUND(F72*Прил.10!$D$13,2)</f>
        <v/>
      </c>
      <c r="J72" s="220">
        <f>ROUND(I72*E72,2)</f>
        <v/>
      </c>
    </row>
    <row r="73" hidden="1" outlineLevel="1" ht="14.25" customFormat="1" customHeight="1" s="311">
      <c r="A73" s="356" t="n">
        <v>51</v>
      </c>
      <c r="B73" s="267" t="inlineStr">
        <is>
          <t>14.2.01.05-0003</t>
        </is>
      </c>
      <c r="C73" s="355" t="inlineStr">
        <is>
          <t>Композиция цинконаполненная</t>
        </is>
      </c>
      <c r="D73" s="356" t="inlineStr">
        <is>
          <t>кг</t>
        </is>
      </c>
      <c r="E73" s="281" t="n">
        <v>0.5600000000000001</v>
      </c>
      <c r="F73" s="358" t="n">
        <v>114.42</v>
      </c>
      <c r="G73" s="220">
        <f>ROUND(E73*F73,2)</f>
        <v/>
      </c>
      <c r="H73" s="222">
        <f>G73/$G$95</f>
        <v/>
      </c>
      <c r="I73" s="220">
        <f>ROUND(F73*Прил.10!$D$13,2)</f>
        <v/>
      </c>
      <c r="J73" s="220">
        <f>ROUND(I73*E73,2)</f>
        <v/>
      </c>
    </row>
    <row r="74" hidden="1" outlineLevel="1" ht="25.5" customFormat="1" customHeight="1" s="311">
      <c r="A74" s="356" t="n">
        <v>52</v>
      </c>
      <c r="B74" s="267" t="inlineStr">
        <is>
          <t>08.1.02.11-0023</t>
        </is>
      </c>
      <c r="C74" s="355" t="inlineStr">
        <is>
          <t>Поковки простые строительные (скобы, закрепы, хомуты), масса до 1,6 кг</t>
        </is>
      </c>
      <c r="D74" s="356" t="inlineStr">
        <is>
          <t>кг</t>
        </is>
      </c>
      <c r="E74" s="281" t="n">
        <v>3.2</v>
      </c>
      <c r="F74" s="358" t="n">
        <v>15.14</v>
      </c>
      <c r="G74" s="220">
        <f>ROUND(E74*F74,2)</f>
        <v/>
      </c>
      <c r="H74" s="222">
        <f>G74/$G$95</f>
        <v/>
      </c>
      <c r="I74" s="220">
        <f>ROUND(F74*Прил.10!$D$13,2)</f>
        <v/>
      </c>
      <c r="J74" s="220">
        <f>ROUND(I74*E74,2)</f>
        <v/>
      </c>
    </row>
    <row r="75" hidden="1" outlineLevel="1" ht="38.25" customFormat="1" customHeight="1" s="311">
      <c r="A75" s="356" t="n">
        <v>53</v>
      </c>
      <c r="B75" s="267" t="inlineStr">
        <is>
          <t>11.1.03.03-0012</t>
        </is>
      </c>
      <c r="C75" s="355" t="inlineStr">
        <is>
          <t>Брусья необрезные, хвойных пород, длина 4-6,5 м, все ширины, толщина 100, 125 мм, сорт IV</t>
        </is>
      </c>
      <c r="D75" s="356" t="inlineStr">
        <is>
          <t>м3</t>
        </is>
      </c>
      <c r="E75" s="281" t="n">
        <v>0.0544</v>
      </c>
      <c r="F75" s="358" t="n">
        <v>880.01</v>
      </c>
      <c r="G75" s="220">
        <f>ROUND(E75*F75,2)</f>
        <v/>
      </c>
      <c r="H75" s="222">
        <f>G75/$G$95</f>
        <v/>
      </c>
      <c r="I75" s="220">
        <f>ROUND(F75*Прил.10!$D$13,2)</f>
        <v/>
      </c>
      <c r="J75" s="220">
        <f>ROUND(I75*E75,2)</f>
        <v/>
      </c>
    </row>
    <row r="76" hidden="1" outlineLevel="1" ht="25.5" customFormat="1" customHeight="1" s="311">
      <c r="A76" s="356" t="n">
        <v>54</v>
      </c>
      <c r="B76" s="267" t="inlineStr">
        <is>
          <t>999-9950</t>
        </is>
      </c>
      <c r="C76" s="355" t="inlineStr">
        <is>
          <t>Вспомогательные ненормируемые материалы</t>
        </is>
      </c>
      <c r="D76" s="356" t="inlineStr">
        <is>
          <t>руб</t>
        </is>
      </c>
      <c r="E76" s="281" t="n">
        <v>46.56</v>
      </c>
      <c r="F76" s="358" t="n">
        <v>1</v>
      </c>
      <c r="G76" s="220">
        <f>ROUND(E76*F76,2)</f>
        <v/>
      </c>
      <c r="H76" s="222">
        <f>G76/$G$95</f>
        <v/>
      </c>
      <c r="I76" s="220">
        <f>ROUND(F76*Прил.10!$D$13,2)</f>
        <v/>
      </c>
      <c r="J76" s="220">
        <f>ROUND(I76*E76,2)</f>
        <v/>
      </c>
    </row>
    <row r="77" hidden="1" outlineLevel="1" ht="14.25" customFormat="1" customHeight="1" s="311">
      <c r="A77" s="356" t="n">
        <v>55</v>
      </c>
      <c r="B77" s="267" t="inlineStr">
        <is>
          <t>01.7.07.12-0024</t>
        </is>
      </c>
      <c r="C77" s="355" t="inlineStr">
        <is>
          <t>Пленка полиэтиленовая, толщина 0,15 мм</t>
        </is>
      </c>
      <c r="D77" s="356" t="inlineStr">
        <is>
          <t>м2</t>
        </is>
      </c>
      <c r="E77" s="281" t="n">
        <v>12.46</v>
      </c>
      <c r="F77" s="358" t="n">
        <v>3.62</v>
      </c>
      <c r="G77" s="220">
        <f>ROUND(E77*F77,2)</f>
        <v/>
      </c>
      <c r="H77" s="222">
        <f>G77/$G$95</f>
        <v/>
      </c>
      <c r="I77" s="220">
        <f>ROUND(F77*Прил.10!$D$13,2)</f>
        <v/>
      </c>
      <c r="J77" s="220">
        <f>ROUND(I77*E77,2)</f>
        <v/>
      </c>
    </row>
    <row r="78" hidden="1" outlineLevel="1" ht="25.5" customFormat="1" customHeight="1" s="311">
      <c r="A78" s="356" t="n">
        <v>56</v>
      </c>
      <c r="B78" s="267" t="inlineStr">
        <is>
          <t>01.2.01.01-0019</t>
        </is>
      </c>
      <c r="C78" s="355" t="inlineStr">
        <is>
          <t>Битумы нефтяные дорожные вязкие БНД 60/90, БНД 90/130</t>
        </is>
      </c>
      <c r="D78" s="356" t="inlineStr">
        <is>
          <t>т</t>
        </is>
      </c>
      <c r="E78" s="281" t="n">
        <v>0.024</v>
      </c>
      <c r="F78" s="358" t="n">
        <v>1690</v>
      </c>
      <c r="G78" s="220">
        <f>ROUND(E78*F78,2)</f>
        <v/>
      </c>
      <c r="H78" s="222">
        <f>G78/$G$95</f>
        <v/>
      </c>
      <c r="I78" s="220">
        <f>ROUND(F78*Прил.10!$D$13,2)</f>
        <v/>
      </c>
      <c r="J78" s="220">
        <f>ROUND(I78*E78,2)</f>
        <v/>
      </c>
    </row>
    <row r="79" hidden="1" outlineLevel="1" ht="14.25" customFormat="1" customHeight="1" s="311">
      <c r="A79" s="356" t="n">
        <v>57</v>
      </c>
      <c r="B79" s="267" t="inlineStr">
        <is>
          <t>01.3.02.08-0001</t>
        </is>
      </c>
      <c r="C79" s="355" t="inlineStr">
        <is>
          <t>Кислород газообразный технический</t>
        </is>
      </c>
      <c r="D79" s="356" t="inlineStr">
        <is>
          <t>м3</t>
        </is>
      </c>
      <c r="E79" s="281" t="n">
        <v>5.9</v>
      </c>
      <c r="F79" s="358" t="n">
        <v>6.22</v>
      </c>
      <c r="G79" s="220">
        <f>ROUND(E79*F79,2)</f>
        <v/>
      </c>
      <c r="H79" s="222">
        <f>G79/$G$95</f>
        <v/>
      </c>
      <c r="I79" s="220">
        <f>ROUND(F79*Прил.10!$D$13,2)</f>
        <v/>
      </c>
      <c r="J79" s="220">
        <f>ROUND(I79*E79,2)</f>
        <v/>
      </c>
    </row>
    <row r="80" hidden="1" outlineLevel="1" ht="76.7" customFormat="1" customHeight="1" s="311">
      <c r="A80" s="356" t="n">
        <v>58</v>
      </c>
      <c r="B80" s="267" t="inlineStr">
        <is>
          <t>01.2.03.05-0011</t>
        </is>
      </c>
      <c r="C80" s="355" t="inlineStr">
        <is>
          <t>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0,25-0,35 л/м2</t>
        </is>
      </c>
      <c r="D80" s="356" t="inlineStr">
        <is>
          <t>л</t>
        </is>
      </c>
      <c r="E80" s="281" t="n">
        <v>3</v>
      </c>
      <c r="F80" s="358" t="n">
        <v>8.44</v>
      </c>
      <c r="G80" s="220">
        <f>ROUND(E80*F80,2)</f>
        <v/>
      </c>
      <c r="H80" s="222">
        <f>G80/$G$95</f>
        <v/>
      </c>
      <c r="I80" s="220">
        <f>ROUND(F80*Прил.10!$D$13,2)</f>
        <v/>
      </c>
      <c r="J80" s="220">
        <f>ROUND(I80*E80,2)</f>
        <v/>
      </c>
    </row>
    <row r="81" hidden="1" outlineLevel="1" ht="14.25" customFormat="1" customHeight="1" s="311">
      <c r="A81" s="356" t="n">
        <v>59</v>
      </c>
      <c r="B81" s="267" t="inlineStr">
        <is>
          <t>01.3.02.09-0022</t>
        </is>
      </c>
      <c r="C81" s="355" t="inlineStr">
        <is>
          <t>Пропан-бутан смесь техническая</t>
        </is>
      </c>
      <c r="D81" s="356" t="inlineStr">
        <is>
          <t>кг</t>
        </is>
      </c>
      <c r="E81" s="281" t="n">
        <v>3.5</v>
      </c>
      <c r="F81" s="358" t="n">
        <v>6.09</v>
      </c>
      <c r="G81" s="220">
        <f>ROUND(E81*F81,2)</f>
        <v/>
      </c>
      <c r="H81" s="222">
        <f>G81/$G$95</f>
        <v/>
      </c>
      <c r="I81" s="220">
        <f>ROUND(F81*Прил.10!$D$13,2)</f>
        <v/>
      </c>
      <c r="J81" s="220">
        <f>ROUND(I81*E81,2)</f>
        <v/>
      </c>
    </row>
    <row r="82" hidden="1" outlineLevel="1" ht="14.25" customFormat="1" customHeight="1" s="311">
      <c r="A82" s="356" t="n">
        <v>60</v>
      </c>
      <c r="B82" s="267" t="inlineStr">
        <is>
          <t>11.2.13.04-0012</t>
        </is>
      </c>
      <c r="C82" s="355" t="inlineStr">
        <is>
          <t>Щиты из досок, толщина 40 мм</t>
        </is>
      </c>
      <c r="D82" s="356" t="inlineStr">
        <is>
          <t>м2</t>
        </is>
      </c>
      <c r="E82" s="281" t="n">
        <v>0.2772</v>
      </c>
      <c r="F82" s="358" t="n">
        <v>57.63</v>
      </c>
      <c r="G82" s="220">
        <f>ROUND(E82*F82,2)</f>
        <v/>
      </c>
      <c r="H82" s="222">
        <f>G82/$G$95</f>
        <v/>
      </c>
      <c r="I82" s="220">
        <f>ROUND(F82*Прил.10!$D$13,2)</f>
        <v/>
      </c>
      <c r="J82" s="220">
        <f>ROUND(I82*E82,2)</f>
        <v/>
      </c>
    </row>
    <row r="83" hidden="1" outlineLevel="1" ht="25.5" customFormat="1" customHeight="1" s="311">
      <c r="A83" s="356" t="n">
        <v>61</v>
      </c>
      <c r="B83" s="267" t="inlineStr">
        <is>
          <t>04.3.01.09-0014</t>
        </is>
      </c>
      <c r="C83" s="355" t="inlineStr">
        <is>
          <t>Раствор готовый кладочный, цементный, М100</t>
        </is>
      </c>
      <c r="D83" s="356" t="inlineStr">
        <is>
          <t>м3</t>
        </is>
      </c>
      <c r="E83" s="281" t="n">
        <v>0.0192</v>
      </c>
      <c r="F83" s="358" t="n">
        <v>519.8</v>
      </c>
      <c r="G83" s="220">
        <f>ROUND(E83*F83,2)</f>
        <v/>
      </c>
      <c r="H83" s="222">
        <f>G83/$G$95</f>
        <v/>
      </c>
      <c r="I83" s="220">
        <f>ROUND(F83*Прил.10!$D$13,2)</f>
        <v/>
      </c>
      <c r="J83" s="220">
        <f>ROUND(I83*E83,2)</f>
        <v/>
      </c>
    </row>
    <row r="84" hidden="1" outlineLevel="1" ht="14.25" customFormat="1" customHeight="1" s="311">
      <c r="A84" s="356" t="n">
        <v>62</v>
      </c>
      <c r="B84" s="267" t="inlineStr">
        <is>
          <t>01.3.01.03-0002</t>
        </is>
      </c>
      <c r="C84" s="355" t="inlineStr">
        <is>
          <t>Керосин для технических целей</t>
        </is>
      </c>
      <c r="D84" s="356" t="inlineStr">
        <is>
          <t>т</t>
        </is>
      </c>
      <c r="E84" s="281" t="n">
        <v>0.0024</v>
      </c>
      <c r="F84" s="358" t="n">
        <v>2606.9</v>
      </c>
      <c r="G84" s="220">
        <f>ROUND(E84*F84,2)</f>
        <v/>
      </c>
      <c r="H84" s="222">
        <f>G84/$G$95</f>
        <v/>
      </c>
      <c r="I84" s="220">
        <f>ROUND(F84*Прил.10!$D$13,2)</f>
        <v/>
      </c>
      <c r="J84" s="220">
        <f>ROUND(I84*E84,2)</f>
        <v/>
      </c>
    </row>
    <row r="85" hidden="1" outlineLevel="1" ht="14.25" customFormat="1" customHeight="1" s="311">
      <c r="A85" s="356" t="n">
        <v>63</v>
      </c>
      <c r="B85" s="267" t="inlineStr">
        <is>
          <t>01.7.15.06-0111</t>
        </is>
      </c>
      <c r="C85" s="355" t="inlineStr">
        <is>
          <t>Гвозди строительные</t>
        </is>
      </c>
      <c r="D85" s="356" t="inlineStr">
        <is>
          <t>т</t>
        </is>
      </c>
      <c r="E85" s="281" t="n">
        <v>0.000474</v>
      </c>
      <c r="F85" s="358" t="n">
        <v>11978</v>
      </c>
      <c r="G85" s="220">
        <f>ROUND(E85*F85,2)</f>
        <v/>
      </c>
      <c r="H85" s="222">
        <f>G85/$G$95</f>
        <v/>
      </c>
      <c r="I85" s="220">
        <f>ROUND(F85*Прил.10!$D$13,2)</f>
        <v/>
      </c>
      <c r="J85" s="220">
        <f>ROUND(I85*E85,2)</f>
        <v/>
      </c>
    </row>
    <row r="86" hidden="1" outlineLevel="1" ht="14.25" customFormat="1" customHeight="1" s="311">
      <c r="A86" s="356" t="n">
        <v>64</v>
      </c>
      <c r="B86" s="267" t="inlineStr">
        <is>
          <t>01.7.11.07-0032</t>
        </is>
      </c>
      <c r="C86" s="355" t="inlineStr">
        <is>
          <t>Электроды сварочные Э42, диаметр 4 мм</t>
        </is>
      </c>
      <c r="D86" s="356" t="inlineStr">
        <is>
          <t>т</t>
        </is>
      </c>
      <c r="E86" s="281" t="n">
        <v>0.000385</v>
      </c>
      <c r="F86" s="358" t="n">
        <v>10315.01</v>
      </c>
      <c r="G86" s="220">
        <f>ROUND(E86*F86,2)</f>
        <v/>
      </c>
      <c r="H86" s="222">
        <f>G86/$G$95</f>
        <v/>
      </c>
      <c r="I86" s="220">
        <f>ROUND(F86*Прил.10!$D$13,2)</f>
        <v/>
      </c>
      <c r="J86" s="220">
        <f>ROUND(I86*E86,2)</f>
        <v/>
      </c>
    </row>
    <row r="87" hidden="1" outlineLevel="1" ht="25.5" customFormat="1" customHeight="1" s="311">
      <c r="A87" s="356" t="n">
        <v>65</v>
      </c>
      <c r="B87" s="267" t="inlineStr">
        <is>
          <t>08.3.03.06-0002</t>
        </is>
      </c>
      <c r="C87" s="355" t="inlineStr">
        <is>
          <t>Проволока горячекатаная в мотках, диаметр 6,3-6,5 мм</t>
        </is>
      </c>
      <c r="D87" s="356" t="inlineStr">
        <is>
          <t>т</t>
        </is>
      </c>
      <c r="E87" s="281" t="n">
        <v>0.000785</v>
      </c>
      <c r="F87" s="358" t="n">
        <v>4455.2</v>
      </c>
      <c r="G87" s="220">
        <f>ROUND(E87*F87,2)</f>
        <v/>
      </c>
      <c r="H87" s="222">
        <f>G87/$G$95</f>
        <v/>
      </c>
      <c r="I87" s="220">
        <f>ROUND(F87*Прил.10!$D$13,2)</f>
        <v/>
      </c>
      <c r="J87" s="220">
        <f>ROUND(I87*E87,2)</f>
        <v/>
      </c>
    </row>
    <row r="88" hidden="1" outlineLevel="1" ht="38.25" customFormat="1" customHeight="1" s="311">
      <c r="A88" s="356" t="n">
        <v>66</v>
      </c>
      <c r="B88" s="267" t="inlineStr">
        <is>
          <t>11.1.03.06-0095</t>
        </is>
      </c>
      <c r="C88" s="355" t="inlineStr">
        <is>
          <t>Доска обрезная, хвойных пород, ширина 75-150 мм, толщина 44 мм и более, длина 4-6,5 м, сорт III</t>
        </is>
      </c>
      <c r="D88" s="356" t="inlineStr">
        <is>
          <t>м3</t>
        </is>
      </c>
      <c r="E88" s="281" t="n">
        <v>0.00308</v>
      </c>
      <c r="F88" s="358" t="n">
        <v>1056</v>
      </c>
      <c r="G88" s="220">
        <f>ROUND(E88*F88,2)</f>
        <v/>
      </c>
      <c r="H88" s="222">
        <f>G88/$G$95</f>
        <v/>
      </c>
      <c r="I88" s="220">
        <f>ROUND(F88*Прил.10!$D$13,2)</f>
        <v/>
      </c>
      <c r="J88" s="220">
        <f>ROUND(I88*E88,2)</f>
        <v/>
      </c>
    </row>
    <row r="89" hidden="1" outlineLevel="1" ht="14.25" customFormat="1" customHeight="1" s="311">
      <c r="A89" s="356" t="n">
        <v>67</v>
      </c>
      <c r="B89" s="267" t="inlineStr">
        <is>
          <t>01.7.03.01-0001</t>
        </is>
      </c>
      <c r="C89" s="355" t="inlineStr">
        <is>
          <t>Вода</t>
        </is>
      </c>
      <c r="D89" s="356" t="inlineStr">
        <is>
          <t>м3</t>
        </is>
      </c>
      <c r="E89" s="281" t="n">
        <v>1.29033</v>
      </c>
      <c r="F89" s="358" t="n">
        <v>2.44</v>
      </c>
      <c r="G89" s="220">
        <f>ROUND(E89*F89,2)</f>
        <v/>
      </c>
      <c r="H89" s="222">
        <f>G89/$G$95</f>
        <v/>
      </c>
      <c r="I89" s="220">
        <f>ROUND(F89*Прил.10!$D$13,2)</f>
        <v/>
      </c>
      <c r="J89" s="220">
        <f>ROUND(I89*E89,2)</f>
        <v/>
      </c>
    </row>
    <row r="90" hidden="1" outlineLevel="1" ht="14.25" customFormat="1" customHeight="1" s="311">
      <c r="A90" s="356" t="n">
        <v>68</v>
      </c>
      <c r="B90" s="267" t="inlineStr">
        <is>
          <t>14.5.09.07-0032</t>
        </is>
      </c>
      <c r="C90" s="355" t="inlineStr">
        <is>
          <t>Растворитель Р-5</t>
        </is>
      </c>
      <c r="D90" s="356" t="inlineStr">
        <is>
          <t>т</t>
        </is>
      </c>
      <c r="E90" s="281" t="n">
        <v>8.4e-05</v>
      </c>
      <c r="F90" s="358" t="n">
        <v>8897</v>
      </c>
      <c r="G90" s="220">
        <f>ROUND(E90*F90,2)</f>
        <v/>
      </c>
      <c r="H90" s="222">
        <f>G90/$G$95</f>
        <v/>
      </c>
      <c r="I90" s="220">
        <f>ROUND(F90*Прил.10!$D$13,2)</f>
        <v/>
      </c>
      <c r="J90" s="220">
        <f>ROUND(I90*E90,2)</f>
        <v/>
      </c>
    </row>
    <row r="91" hidden="1" outlineLevel="1" ht="25.5" customFormat="1" customHeight="1" s="311">
      <c r="A91" s="356" t="n">
        <v>69</v>
      </c>
      <c r="B91" s="267" t="inlineStr">
        <is>
          <t>03.1.02.03-0011</t>
        </is>
      </c>
      <c r="C91" s="355" t="inlineStr">
        <is>
          <t>Известь строительная негашеная комовая, сорт I</t>
        </is>
      </c>
      <c r="D91" s="356" t="inlineStr">
        <is>
          <t>т</t>
        </is>
      </c>
      <c r="E91" s="281" t="n">
        <v>0.00077</v>
      </c>
      <c r="F91" s="358" t="n">
        <v>734.5</v>
      </c>
      <c r="G91" s="220">
        <f>ROUND(E91*F91,2)</f>
        <v/>
      </c>
      <c r="H91" s="222">
        <f>G91/$G$95</f>
        <v/>
      </c>
      <c r="I91" s="220">
        <f>ROUND(F91*Прил.10!$D$13,2)</f>
        <v/>
      </c>
      <c r="J91" s="220">
        <f>ROUND(I91*E91,2)</f>
        <v/>
      </c>
    </row>
    <row r="92" hidden="1" outlineLevel="1" ht="14.25" customFormat="1" customHeight="1" s="311">
      <c r="A92" s="356" t="n">
        <v>70</v>
      </c>
      <c r="B92" s="267" t="inlineStr">
        <is>
          <t>01.7.20.08-0051</t>
        </is>
      </c>
      <c r="C92" s="355" t="inlineStr">
        <is>
          <t>Ветошь</t>
        </is>
      </c>
      <c r="D92" s="356" t="inlineStr">
        <is>
          <t>кг</t>
        </is>
      </c>
      <c r="E92" s="281" t="n">
        <v>0.01</v>
      </c>
      <c r="F92" s="358" t="n">
        <v>1.82</v>
      </c>
      <c r="G92" s="220">
        <f>ROUND(E92*F92,2)</f>
        <v/>
      </c>
      <c r="H92" s="222">
        <f>G92/$G$95</f>
        <v/>
      </c>
      <c r="I92" s="220">
        <f>ROUND(F92*Прил.10!$D$13,2)</f>
        <v/>
      </c>
      <c r="J92" s="220">
        <f>ROUND(I92*E92,2)</f>
        <v/>
      </c>
    </row>
    <row r="93" hidden="1" outlineLevel="1" ht="25.5" customFormat="1" customHeight="1" s="311">
      <c r="A93" s="356" t="n">
        <v>71</v>
      </c>
      <c r="B93" s="267" t="inlineStr">
        <is>
          <t>02.2.05.04-1777</t>
        </is>
      </c>
      <c r="C93" s="355" t="inlineStr">
        <is>
          <t>Щебень М 800, фракция 20-40 мм, группа 2</t>
        </is>
      </c>
      <c r="D93" s="356" t="inlineStr">
        <is>
          <t>м3</t>
        </is>
      </c>
      <c r="E93" s="281" t="n">
        <v>0.000228</v>
      </c>
      <c r="F93" s="358" t="n">
        <v>108.4</v>
      </c>
      <c r="G93" s="220">
        <f>ROUND(E93*F93,2)</f>
        <v/>
      </c>
      <c r="H93" s="222">
        <f>G93/$G$95</f>
        <v/>
      </c>
      <c r="I93" s="220">
        <f>ROUND(F93*Прил.10!$D$13,2)</f>
        <v/>
      </c>
      <c r="J93" s="220">
        <f>ROUND(I93*E93,2)</f>
        <v/>
      </c>
    </row>
    <row r="94" collapsed="1" ht="14.25" customFormat="1" customHeight="1" s="311">
      <c r="A94" s="356" t="n"/>
      <c r="B94" s="356" t="n"/>
      <c r="C94" s="355" t="inlineStr">
        <is>
          <t>Итого прочие материалы</t>
        </is>
      </c>
      <c r="D94" s="356" t="n"/>
      <c r="E94" s="281" t="n"/>
      <c r="F94" s="358" t="n"/>
      <c r="G94" s="220">
        <f>SUM(G67:G93)</f>
        <v/>
      </c>
      <c r="H94" s="222">
        <f>G94/$G$95</f>
        <v/>
      </c>
      <c r="I94" s="220" t="n"/>
      <c r="J94" s="220">
        <f>SUM(J67:J93)</f>
        <v/>
      </c>
    </row>
    <row r="95" ht="14.25" customFormat="1" customHeight="1" s="311">
      <c r="A95" s="356" t="n"/>
      <c r="B95" s="356" t="n"/>
      <c r="C95" s="344" t="inlineStr">
        <is>
          <t>Итого по разделу «Материалы»</t>
        </is>
      </c>
      <c r="D95" s="356" t="n"/>
      <c r="E95" s="357" t="n"/>
      <c r="F95" s="358" t="n"/>
      <c r="G95" s="220">
        <f>G66+G94</f>
        <v/>
      </c>
      <c r="H95" s="359">
        <f>G95/$G$95</f>
        <v/>
      </c>
      <c r="I95" s="220" t="n"/>
      <c r="J95" s="220">
        <f>J66+J94</f>
        <v/>
      </c>
    </row>
    <row r="96" ht="14.25" customFormat="1" customHeight="1" s="311">
      <c r="A96" s="356" t="n"/>
      <c r="B96" s="356" t="n"/>
      <c r="C96" s="355" t="inlineStr">
        <is>
          <t>ИТОГО ПО РМ</t>
        </is>
      </c>
      <c r="D96" s="356" t="n"/>
      <c r="E96" s="357" t="n"/>
      <c r="F96" s="358" t="n"/>
      <c r="G96" s="220">
        <f>G14+G47+G95</f>
        <v/>
      </c>
      <c r="H96" s="359" t="n"/>
      <c r="I96" s="220" t="n"/>
      <c r="J96" s="220">
        <f>J14+J47+J95</f>
        <v/>
      </c>
    </row>
    <row r="97" ht="14.25" customFormat="1" customHeight="1" s="311">
      <c r="A97" s="356" t="n"/>
      <c r="B97" s="356" t="n"/>
      <c r="C97" s="355" t="inlineStr">
        <is>
          <t>Накладные расходы</t>
        </is>
      </c>
      <c r="D97" s="214">
        <f>ROUND(G97/(G$16+$G$14),2)</f>
        <v/>
      </c>
      <c r="E97" s="357" t="n"/>
      <c r="F97" s="358" t="n"/>
      <c r="G97" s="220" t="n">
        <v>3079</v>
      </c>
      <c r="H97" s="359" t="n"/>
      <c r="I97" s="220" t="n"/>
      <c r="J97" s="220">
        <f>ROUND(D97*(J14+J16),2)</f>
        <v/>
      </c>
    </row>
    <row r="98" ht="14.25" customFormat="1" customHeight="1" s="311">
      <c r="A98" s="356" t="n"/>
      <c r="B98" s="356" t="n"/>
      <c r="C98" s="355" t="inlineStr">
        <is>
          <t>Сметная прибыль</t>
        </is>
      </c>
      <c r="D98" s="214">
        <f>ROUND(G98/(G$14+G$16),2)</f>
        <v/>
      </c>
      <c r="E98" s="357" t="n"/>
      <c r="F98" s="358" t="n"/>
      <c r="G98" s="220" t="n">
        <v>2209</v>
      </c>
      <c r="H98" s="359" t="n"/>
      <c r="I98" s="220" t="n"/>
      <c r="J98" s="220">
        <f>ROUND(D98*(J14+J16),2)</f>
        <v/>
      </c>
    </row>
    <row r="99" ht="14.25" customFormat="1" customHeight="1" s="311">
      <c r="A99" s="356" t="n"/>
      <c r="B99" s="356" t="n"/>
      <c r="C99" s="355" t="inlineStr">
        <is>
          <t>Итого СМР (с НР и СП)</t>
        </is>
      </c>
      <c r="D99" s="356" t="n"/>
      <c r="E99" s="357" t="n"/>
      <c r="F99" s="358" t="n"/>
      <c r="G99" s="220">
        <f>G14+G47+G95+G97+G98</f>
        <v/>
      </c>
      <c r="H99" s="359" t="n"/>
      <c r="I99" s="220" t="n"/>
      <c r="J99" s="220">
        <f>J14+J47+J95+J97+J98</f>
        <v/>
      </c>
    </row>
    <row r="100" ht="14.25" customFormat="1" customHeight="1" s="311">
      <c r="A100" s="356" t="n"/>
      <c r="B100" s="356" t="n"/>
      <c r="C100" s="355" t="inlineStr">
        <is>
          <t>ВСЕГО СМР + ОБОРУДОВАНИЕ</t>
        </is>
      </c>
      <c r="D100" s="356" t="n"/>
      <c r="E100" s="357" t="n"/>
      <c r="F100" s="358" t="n"/>
      <c r="G100" s="220">
        <f>G99+G53</f>
        <v/>
      </c>
      <c r="H100" s="359" t="n"/>
      <c r="I100" s="220" t="n"/>
      <c r="J100" s="220">
        <f>J99+J53</f>
        <v/>
      </c>
    </row>
    <row r="101" ht="34.5" customFormat="1" customHeight="1" s="311">
      <c r="A101" s="356" t="n"/>
      <c r="B101" s="356" t="n"/>
      <c r="C101" s="355" t="inlineStr">
        <is>
          <t>ИТОГО ПОКАЗАТЕЛЬ НА ЕД. ИЗМ.</t>
        </is>
      </c>
      <c r="D101" s="356" t="inlineStr">
        <is>
          <t>1 ед.</t>
        </is>
      </c>
      <c r="E101" s="357" t="n">
        <v>1000</v>
      </c>
      <c r="F101" s="358" t="n"/>
      <c r="G101" s="220">
        <f>G100/E101</f>
        <v/>
      </c>
      <c r="H101" s="359" t="n"/>
      <c r="I101" s="220" t="n"/>
      <c r="J101" s="220">
        <f>J100/E101</f>
        <v/>
      </c>
    </row>
    <row r="103" ht="14.25" customFormat="1" customHeight="1" s="311">
      <c r="A103" s="304" t="inlineStr">
        <is>
          <t>Составил ______________________    Д.Ю. Нефедова</t>
        </is>
      </c>
    </row>
    <row r="104" ht="14.25" customFormat="1" customHeight="1" s="311">
      <c r="A104" s="312" t="inlineStr">
        <is>
          <t xml:space="preserve">                         (подпись, инициалы, фамилия)</t>
        </is>
      </c>
    </row>
    <row r="105" ht="14.25" customFormat="1" customHeight="1" s="311">
      <c r="A105" s="304" t="n"/>
    </row>
    <row r="106" ht="14.25" customFormat="1" customHeight="1" s="311">
      <c r="A106" s="304" t="inlineStr">
        <is>
          <t>Проверил ______________________        А.В. Костянецкая</t>
        </is>
      </c>
    </row>
    <row r="107" ht="14.25" customFormat="1" customHeight="1" s="311">
      <c r="A107" s="312" t="inlineStr">
        <is>
          <t xml:space="preserve">                        (подпись, инициалы, фамилия)</t>
        </is>
      </c>
    </row>
  </sheetData>
  <mergeCells count="21">
    <mergeCell ref="H9:H10"/>
    <mergeCell ref="B49:H49"/>
    <mergeCell ref="B55:H55"/>
    <mergeCell ref="A4:J4"/>
    <mergeCell ref="B15:H15"/>
    <mergeCell ref="H2:J2"/>
    <mergeCell ref="C9:C10"/>
    <mergeCell ref="E9:E10"/>
    <mergeCell ref="A7:H7"/>
    <mergeCell ref="B9:B10"/>
    <mergeCell ref="D9:D10"/>
    <mergeCell ref="B56:H56"/>
    <mergeCell ref="B18:H18"/>
    <mergeCell ref="B12:H12"/>
    <mergeCell ref="D6:J6"/>
    <mergeCell ref="B48:H48"/>
    <mergeCell ref="A8:H8"/>
    <mergeCell ref="F9:G9"/>
    <mergeCell ref="B17:H17"/>
    <mergeCell ref="A9:A10"/>
    <mergeCell ref="I9:J9"/>
  </mergeCells>
  <conditionalFormatting sqref="B19:B25">
    <cfRule type="duplicateValues" priority="1" dxfId="0"/>
  </conditionalFormatting>
  <conditionalFormatting sqref="B27:B45">
    <cfRule type="duplicateValues" priority="2" dxfId="0"/>
  </conditionalFormatting>
  <conditionalFormatting sqref="B57:B65">
    <cfRule type="duplicateValues" priority="3" dxfId="0"/>
  </conditionalFormatting>
  <conditionalFormatting sqref="B67:B93">
    <cfRule type="duplicateValues" priority="4" dxfId="0"/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63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F26" sqref="F26"/>
    </sheetView>
  </sheetViews>
  <sheetFormatPr baseColWidth="8" defaultRowHeight="15"/>
  <cols>
    <col width="5.7109375" customWidth="1" style="301" min="1" max="1"/>
    <col width="17.5703125" customWidth="1" style="301" min="2" max="2"/>
    <col width="39.140625" customWidth="1" style="301" min="3" max="3"/>
    <col width="10.7109375" customWidth="1" style="301" min="4" max="4"/>
    <col width="13.85546875" customWidth="1" style="301" min="5" max="5"/>
    <col width="13.28515625" customWidth="1" style="301" min="6" max="6"/>
    <col width="14.140625" customWidth="1" style="301" min="7" max="7"/>
  </cols>
  <sheetData>
    <row r="1">
      <c r="A1" s="369" t="inlineStr">
        <is>
          <t>Приложение №6</t>
        </is>
      </c>
    </row>
    <row r="2" ht="21.75" customHeight="1" s="301">
      <c r="A2" s="369" t="n"/>
      <c r="B2" s="369" t="n"/>
      <c r="C2" s="369" t="n"/>
      <c r="D2" s="369" t="n"/>
      <c r="E2" s="369" t="n"/>
      <c r="F2" s="369" t="n"/>
      <c r="G2" s="369" t="n"/>
    </row>
    <row r="3">
      <c r="A3" s="328" t="inlineStr">
        <is>
          <t>Расчет стоимости оборудования</t>
        </is>
      </c>
    </row>
    <row r="4" ht="25.5" customHeight="1" s="301">
      <c r="A4" s="331" t="inlineStr">
        <is>
          <t>Наименование разрабатываемого показателя УНЦ — ДГУ напряжение 0,4 кВ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.2" customHeight="1" s="301">
      <c r="A6" s="374" t="inlineStr">
        <is>
          <t>№ пп.</t>
        </is>
      </c>
      <c r="B6" s="374" t="inlineStr">
        <is>
          <t>Код ресурса</t>
        </is>
      </c>
      <c r="C6" s="374" t="inlineStr">
        <is>
          <t>Наименование</t>
        </is>
      </c>
      <c r="D6" s="374" t="inlineStr">
        <is>
          <t>Ед. изм.</t>
        </is>
      </c>
      <c r="E6" s="356" t="inlineStr">
        <is>
          <t>Кол-во единиц по проектным данным</t>
        </is>
      </c>
      <c r="F6" s="374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56" t="inlineStr">
        <is>
          <t>на ед. изм.</t>
        </is>
      </c>
      <c r="G7" s="356" t="inlineStr">
        <is>
          <t>общая</t>
        </is>
      </c>
    </row>
    <row r="8">
      <c r="A8" s="356" t="n">
        <v>1</v>
      </c>
      <c r="B8" s="356" t="n">
        <v>2</v>
      </c>
      <c r="C8" s="356" t="n">
        <v>3</v>
      </c>
      <c r="D8" s="356" t="n">
        <v>4</v>
      </c>
      <c r="E8" s="356" t="n">
        <v>5</v>
      </c>
      <c r="F8" s="356" t="n">
        <v>6</v>
      </c>
      <c r="G8" s="356" t="n">
        <v>7</v>
      </c>
    </row>
    <row r="9" ht="15" customHeight="1" s="301">
      <c r="A9" s="247" t="n"/>
      <c r="B9" s="355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301">
      <c r="A10" s="356" t="n"/>
      <c r="B10" s="344" t="n"/>
      <c r="C10" s="355" t="inlineStr">
        <is>
          <t>ИТОГО ИНЖЕНЕРНОЕ ОБОРУДОВАНИЕ</t>
        </is>
      </c>
      <c r="D10" s="344" t="n"/>
      <c r="E10" s="142" t="n"/>
      <c r="F10" s="358" t="n"/>
      <c r="G10" s="358" t="n">
        <v>0</v>
      </c>
    </row>
    <row r="11">
      <c r="A11" s="356" t="n"/>
      <c r="B11" s="355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33" customHeight="1" s="301">
      <c r="A12" s="356" t="n">
        <v>1</v>
      </c>
      <c r="B12" s="283">
        <f>'Прил.5 Расчет СМР и ОБ'!B50</f>
        <v/>
      </c>
      <c r="C12" s="283">
        <f>'Прил.5 Расчет СМР и ОБ'!C50</f>
        <v/>
      </c>
      <c r="D12" s="284">
        <f>'Прил.5 Расчет СМР и ОБ'!D50</f>
        <v/>
      </c>
      <c r="E12" s="282">
        <f>'Прил.5 Расчет СМР и ОБ'!E50</f>
        <v/>
      </c>
      <c r="F12" s="284">
        <f>'Прил.5 Расчет СМР и ОБ'!F50</f>
        <v/>
      </c>
      <c r="G12" s="220">
        <f>ROUND(E12*F12,2)</f>
        <v/>
      </c>
    </row>
    <row r="13" ht="25.5" customHeight="1" s="301">
      <c r="A13" s="356" t="n"/>
      <c r="B13" s="355" t="n"/>
      <c r="C13" s="355" t="inlineStr">
        <is>
          <t>ИТОГО ТЕХНОЛОГИЧЕСКОЕ ОБОРУДОВАНИЕ</t>
        </is>
      </c>
      <c r="D13" s="355" t="n"/>
      <c r="E13" s="373" t="n"/>
      <c r="F13" s="358" t="n"/>
      <c r="G13" s="220">
        <f>SUM(G12:G12)</f>
        <v/>
      </c>
    </row>
    <row r="14" ht="19.5" customHeight="1" s="301">
      <c r="A14" s="356" t="n"/>
      <c r="B14" s="355" t="n"/>
      <c r="C14" s="355" t="inlineStr">
        <is>
          <t>Всего по разделу «Оборудование»</t>
        </is>
      </c>
      <c r="D14" s="355" t="n"/>
      <c r="E14" s="373" t="n"/>
      <c r="F14" s="358" t="n"/>
      <c r="G14" s="220">
        <f>G10+G13</f>
        <v/>
      </c>
    </row>
    <row r="15">
      <c r="A15" s="309" t="n"/>
      <c r="B15" s="310" t="n"/>
      <c r="C15" s="309" t="n"/>
      <c r="D15" s="309" t="n"/>
      <c r="E15" s="309" t="n"/>
      <c r="F15" s="309" t="n"/>
      <c r="G15" s="309" t="n"/>
    </row>
    <row r="16">
      <c r="A16" s="304" t="inlineStr">
        <is>
          <t>Составил ______________________    Д.Ю. Нефедова</t>
        </is>
      </c>
      <c r="B16" s="311" t="n"/>
      <c r="C16" s="311" t="n"/>
      <c r="D16" s="309" t="n"/>
      <c r="E16" s="309" t="n"/>
      <c r="F16" s="309" t="n"/>
      <c r="G16" s="309" t="n"/>
    </row>
    <row r="17">
      <c r="A17" s="312" t="inlineStr">
        <is>
          <t xml:space="preserve">                         (подпись, инициалы, фамилия)</t>
        </is>
      </c>
      <c r="B17" s="311" t="n"/>
      <c r="C17" s="311" t="n"/>
      <c r="D17" s="309" t="n"/>
      <c r="E17" s="309" t="n"/>
      <c r="F17" s="309" t="n"/>
      <c r="G17" s="309" t="n"/>
    </row>
    <row r="18">
      <c r="A18" s="304" t="n"/>
      <c r="B18" s="311" t="n"/>
      <c r="C18" s="311" t="n"/>
      <c r="D18" s="309" t="n"/>
      <c r="E18" s="309" t="n"/>
      <c r="F18" s="309" t="n"/>
      <c r="G18" s="309" t="n"/>
    </row>
    <row r="19">
      <c r="A19" s="304" t="inlineStr">
        <is>
          <t>Проверил ______________________        А.В. Костянецкая</t>
        </is>
      </c>
      <c r="B19" s="311" t="n"/>
      <c r="C19" s="311" t="n"/>
      <c r="D19" s="309" t="n"/>
      <c r="E19" s="309" t="n"/>
      <c r="F19" s="309" t="n"/>
      <c r="G19" s="309" t="n"/>
    </row>
    <row r="20">
      <c r="A20" s="312" t="inlineStr">
        <is>
          <t xml:space="preserve">                        (подпись, инициалы, фамилия)</t>
        </is>
      </c>
      <c r="B20" s="311" t="n"/>
      <c r="C20" s="311" t="n"/>
      <c r="D20" s="309" t="n"/>
      <c r="E20" s="309" t="n"/>
      <c r="F20" s="309" t="n"/>
      <c r="G20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E32" sqref="E32"/>
    </sheetView>
  </sheetViews>
  <sheetFormatPr baseColWidth="8" defaultColWidth="8.85546875" defaultRowHeight="15"/>
  <cols>
    <col width="14.42578125" customWidth="1" style="301" min="1" max="1"/>
    <col width="29.5703125" customWidth="1" style="301" min="2" max="2"/>
    <col width="39.140625" customWidth="1" style="301" min="3" max="3"/>
    <col width="48.140625" customWidth="1" style="301" min="4" max="4"/>
    <col width="8.85546875" customWidth="1" style="301" min="5" max="5"/>
  </cols>
  <sheetData>
    <row r="1">
      <c r="B1" s="304" t="n"/>
      <c r="C1" s="304" t="n"/>
      <c r="D1" s="369" t="inlineStr">
        <is>
          <t>Приложение №7</t>
        </is>
      </c>
    </row>
    <row r="2">
      <c r="A2" s="369" t="n"/>
      <c r="B2" s="369" t="n"/>
      <c r="C2" s="369" t="n"/>
      <c r="D2" s="369" t="n"/>
    </row>
    <row r="3" ht="24.75" customHeight="1" s="301">
      <c r="A3" s="328" t="inlineStr">
        <is>
          <t>Расчет показателя УНЦ</t>
        </is>
      </c>
    </row>
    <row r="4" ht="24.75" customHeight="1" s="301">
      <c r="A4" s="328" t="n"/>
      <c r="B4" s="328" t="n"/>
      <c r="C4" s="328" t="n"/>
      <c r="D4" s="328" t="n"/>
    </row>
    <row r="5" ht="24.6" customHeight="1" s="301">
      <c r="A5" s="331" t="inlineStr">
        <is>
          <t xml:space="preserve">Наименование разрабатываемого показателя УНЦ - </t>
        </is>
      </c>
      <c r="D5" s="331">
        <f>'Прил.5 Расчет СМР и ОБ'!D6:J6</f>
        <v/>
      </c>
    </row>
    <row r="6" ht="19.9" customHeight="1" s="301">
      <c r="A6" s="331" t="inlineStr">
        <is>
          <t>Единица измерения  — 1 кВт</t>
        </is>
      </c>
      <c r="D6" s="331" t="n"/>
    </row>
    <row r="7">
      <c r="A7" s="304" t="n"/>
      <c r="B7" s="304" t="n"/>
      <c r="C7" s="304" t="n"/>
      <c r="D7" s="304" t="n"/>
    </row>
    <row r="8" ht="14.45" customHeight="1" s="301">
      <c r="A8" s="341" t="inlineStr">
        <is>
          <t>Код показателя</t>
        </is>
      </c>
      <c r="B8" s="341" t="inlineStr">
        <is>
          <t>Наименование показателя</t>
        </is>
      </c>
      <c r="C8" s="341" t="inlineStr">
        <is>
          <t>Наименование РМ, входящих в состав показателя</t>
        </is>
      </c>
      <c r="D8" s="341" t="inlineStr">
        <is>
          <t>Норматив цены на 01.01.2023, тыс.руб.</t>
        </is>
      </c>
    </row>
    <row r="9" ht="15" customHeight="1" s="301">
      <c r="A9" s="423" t="n"/>
      <c r="B9" s="423" t="n"/>
      <c r="C9" s="423" t="n"/>
      <c r="D9" s="423" t="n"/>
    </row>
    <row r="10">
      <c r="A10" s="356" t="n">
        <v>1</v>
      </c>
      <c r="B10" s="356" t="n">
        <v>2</v>
      </c>
      <c r="C10" s="356" t="n">
        <v>3</v>
      </c>
      <c r="D10" s="356" t="n">
        <v>4</v>
      </c>
    </row>
    <row r="11" ht="41.45" customHeight="1" s="301">
      <c r="A11" s="356" t="inlineStr">
        <is>
          <t>У2-01</t>
        </is>
      </c>
      <c r="B11" s="356" t="inlineStr">
        <is>
          <t xml:space="preserve">УНЦ ДГУ </t>
        </is>
      </c>
      <c r="C11" s="306">
        <f>D5</f>
        <v/>
      </c>
      <c r="D11" s="307">
        <f>'Прил.4 РМ'!C41/1000</f>
        <v/>
      </c>
      <c r="E11" s="308" t="n"/>
    </row>
    <row r="12">
      <c r="A12" s="309" t="n"/>
      <c r="B12" s="310" t="n"/>
      <c r="C12" s="309" t="n"/>
      <c r="D12" s="309" t="n"/>
    </row>
    <row r="13">
      <c r="A13" s="304" t="inlineStr">
        <is>
          <t>Составил ______________________      Д.Ю. Нефедова</t>
        </is>
      </c>
      <c r="B13" s="311" t="n"/>
      <c r="C13" s="311" t="n"/>
      <c r="D13" s="309" t="n"/>
    </row>
    <row r="14">
      <c r="A14" s="312" t="inlineStr">
        <is>
          <t xml:space="preserve">                         (подпись, инициалы, фамилия)</t>
        </is>
      </c>
      <c r="B14" s="311" t="n"/>
      <c r="C14" s="311" t="n"/>
      <c r="D14" s="309" t="n"/>
    </row>
    <row r="15">
      <c r="A15" s="304" t="n"/>
      <c r="B15" s="311" t="n"/>
      <c r="C15" s="311" t="n"/>
      <c r="D15" s="309" t="n"/>
    </row>
    <row r="16">
      <c r="A16" s="304" t="inlineStr">
        <is>
          <t>Проверил ______________________        А.В. Костянецкая</t>
        </is>
      </c>
      <c r="B16" s="311" t="n"/>
      <c r="C16" s="311" t="n"/>
      <c r="D16" s="309" t="n"/>
    </row>
    <row r="17">
      <c r="A17" s="312" t="inlineStr">
        <is>
          <t xml:space="preserve">                        (подпись, инициалы, фамилия)</t>
        </is>
      </c>
      <c r="B17" s="311" t="n"/>
      <c r="C17" s="311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01" min="1" max="1"/>
    <col width="40.7109375" customWidth="1" style="301" min="2" max="2"/>
    <col width="37" customWidth="1" style="301" min="3" max="3"/>
    <col width="32" customWidth="1" style="301" min="4" max="4"/>
    <col width="9.140625" customWidth="1" style="301" min="5" max="5"/>
  </cols>
  <sheetData>
    <row r="4" ht="15.75" customHeight="1" s="301">
      <c r="B4" s="336" t="inlineStr">
        <is>
          <t>Приложение № 10</t>
        </is>
      </c>
    </row>
    <row r="5" ht="18.75" customHeight="1" s="301">
      <c r="B5" s="183" t="n"/>
    </row>
    <row r="6" ht="15.75" customHeight="1" s="301">
      <c r="B6" s="340" t="inlineStr">
        <is>
          <t>Используемые индексы изменений сметной стоимости и нормы сопутствующих затрат</t>
        </is>
      </c>
    </row>
    <row r="7">
      <c r="B7" s="375" t="n"/>
    </row>
    <row r="8">
      <c r="B8" s="375" t="n"/>
      <c r="C8" s="375" t="n"/>
      <c r="D8" s="375" t="n"/>
      <c r="E8" s="375" t="n"/>
    </row>
    <row r="9" ht="47.25" customHeight="1" s="301">
      <c r="B9" s="341" t="inlineStr">
        <is>
          <t>Наименование индекса / норм сопутствующих затрат</t>
        </is>
      </c>
      <c r="C9" s="341" t="inlineStr">
        <is>
          <t>Дата применения и обоснование индекса / норм сопутствующих затрат</t>
        </is>
      </c>
      <c r="D9" s="341" t="inlineStr">
        <is>
          <t>Размер индекса / норма сопутствующих затрат</t>
        </is>
      </c>
    </row>
    <row r="10" ht="15.75" customHeight="1" s="301">
      <c r="B10" s="341" t="n">
        <v>1</v>
      </c>
      <c r="C10" s="341" t="n">
        <v>2</v>
      </c>
      <c r="D10" s="341" t="n">
        <v>3</v>
      </c>
    </row>
    <row r="11" ht="45" customHeight="1" s="301">
      <c r="B11" s="341" t="inlineStr">
        <is>
          <t xml:space="preserve">Индекс изменения сметной стоимости на 1 квартал 2023 года. ОЗП </t>
        </is>
      </c>
      <c r="C11" s="341" t="inlineStr">
        <is>
          <t>Письмо Минстроя России от 30.03.2023г. №17106-ИФ/09  прил.1</t>
        </is>
      </c>
      <c r="D11" s="341" t="n">
        <v>44.29</v>
      </c>
    </row>
    <row r="12" ht="29.25" customHeight="1" s="301">
      <c r="B12" s="341" t="inlineStr">
        <is>
          <t>Индекс изменения сметной стоимости на 1 квартал 2023 года. ЭМ</t>
        </is>
      </c>
      <c r="C12" s="341" t="inlineStr">
        <is>
          <t>Письмо Минстроя России от 30.03.2023г. №17106-ИФ/09  прил.1</t>
        </is>
      </c>
      <c r="D12" s="341" t="n">
        <v>13.47</v>
      </c>
    </row>
    <row r="13" ht="29.25" customHeight="1" s="301">
      <c r="B13" s="341" t="inlineStr">
        <is>
          <t>Индекс изменения сметной стоимости на 1 квартал 2023 года. МАТ</t>
        </is>
      </c>
      <c r="C13" s="341" t="inlineStr">
        <is>
          <t>Письмо Минстроя России от 30.03.2023г. №17106-ИФ/09  прил.1</t>
        </is>
      </c>
      <c r="D13" s="341" t="n">
        <v>8.039999999999999</v>
      </c>
    </row>
    <row r="14" ht="30.75" customHeight="1" s="301">
      <c r="B14" s="341" t="inlineStr">
        <is>
          <t>Индекс изменения сметной стоимости на 1 квартал 2023 года. ОБ</t>
        </is>
      </c>
      <c r="C14" s="295" t="inlineStr">
        <is>
          <t>Письмо Минстроя России от 23.02.2023г. №9791-ИФ/09 прил.6</t>
        </is>
      </c>
      <c r="D14" s="341" t="n">
        <v>6.26</v>
      </c>
    </row>
    <row r="15" ht="89.45" customHeight="1" s="301">
      <c r="B15" s="341" t="inlineStr">
        <is>
          <t>Временные здания и сооружения</t>
        </is>
      </c>
      <c r="C15" s="341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317" t="n">
        <v>0.025</v>
      </c>
    </row>
    <row r="16" ht="78.75" customHeight="1" s="301">
      <c r="B16" s="341" t="inlineStr">
        <is>
          <t>Дополнительные затраты при производстве строительно-монтажных работ в зимнее время</t>
        </is>
      </c>
      <c r="C16" s="34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317" t="n">
        <v>0.021</v>
      </c>
    </row>
    <row r="17" ht="31.7" customHeight="1" s="301">
      <c r="B17" s="341" t="inlineStr">
        <is>
          <t>Строительный контроль</t>
        </is>
      </c>
      <c r="C17" s="341" t="inlineStr">
        <is>
          <t>Постановление Правительства РФ от 21.06.10 г. № 468</t>
        </is>
      </c>
      <c r="D17" s="317" t="n">
        <v>0.0214</v>
      </c>
    </row>
    <row r="18" ht="31.7" customHeight="1" s="301">
      <c r="B18" s="341" t="inlineStr">
        <is>
          <t>Авторский надзор - 0,2%</t>
        </is>
      </c>
      <c r="C18" s="341" t="inlineStr">
        <is>
          <t>Приказ от 4.08.2020 № 421/пр п.173</t>
        </is>
      </c>
      <c r="D18" s="317" t="n">
        <v>0.002</v>
      </c>
    </row>
    <row r="19" ht="24" customHeight="1" s="301">
      <c r="B19" s="341" t="inlineStr">
        <is>
          <t>Непредвиденные расходы</t>
        </is>
      </c>
      <c r="C19" s="341" t="inlineStr">
        <is>
          <t>Приказ от 4.08.2020 № 421/пр п.179</t>
        </is>
      </c>
      <c r="D19" s="317" t="n">
        <v>0.03</v>
      </c>
    </row>
    <row r="20" ht="18.75" customHeight="1" s="301">
      <c r="B20" s="289" t="n"/>
    </row>
    <row r="21" ht="18.75" customHeight="1" s="301">
      <c r="B21" s="289" t="n"/>
    </row>
    <row r="22" ht="18.75" customHeight="1" s="301">
      <c r="B22" s="289" t="n"/>
    </row>
    <row r="23" ht="18.75" customHeight="1" s="301">
      <c r="B23" s="289" t="n"/>
    </row>
    <row r="26">
      <c r="B26" s="304" t="inlineStr">
        <is>
          <t>Составил ______________________        Д.Ю. Нефедова</t>
        </is>
      </c>
      <c r="C26" s="311" t="n"/>
    </row>
    <row r="27">
      <c r="B27" s="312" t="inlineStr">
        <is>
          <t xml:space="preserve">                         (подпись, инициалы, фамилия)</t>
        </is>
      </c>
      <c r="C27" s="311" t="n"/>
    </row>
    <row r="28">
      <c r="B28" s="304" t="n"/>
      <c r="C28" s="311" t="n"/>
    </row>
    <row r="29">
      <c r="B29" s="304" t="inlineStr">
        <is>
          <t>Проверил ______________________        А.В. Костянецкая</t>
        </is>
      </c>
      <c r="C29" s="311" t="n"/>
    </row>
    <row r="30">
      <c r="B30" s="312" t="inlineStr">
        <is>
          <t xml:space="preserve">                        (подпись, инициалы, фамилия)</t>
        </is>
      </c>
      <c r="C30" s="3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7" sqref="J7"/>
    </sheetView>
  </sheetViews>
  <sheetFormatPr baseColWidth="8" defaultColWidth="9.140625" defaultRowHeight="15"/>
  <cols>
    <col width="9.140625" customWidth="1" style="301" min="1" max="1"/>
    <col width="44.85546875" customWidth="1" style="301" min="2" max="2"/>
    <col width="13" customWidth="1" style="301" min="3" max="3"/>
    <col width="22.85546875" customWidth="1" style="301" min="4" max="4"/>
    <col width="21.5703125" customWidth="1" style="301" min="5" max="5"/>
    <col width="43.85546875" customWidth="1" style="301" min="6" max="6"/>
    <col width="9.140625" customWidth="1" style="301" min="7" max="7"/>
  </cols>
  <sheetData>
    <row r="2" ht="17.45" customHeight="1" s="301">
      <c r="A2" s="34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01">
      <c r="A4" s="167" t="inlineStr">
        <is>
          <t>Составлен в уровне цен на 01.01.2023 г.</t>
        </is>
      </c>
      <c r="B4" s="236" t="n"/>
      <c r="C4" s="236" t="n"/>
      <c r="D4" s="236" t="n"/>
      <c r="E4" s="236" t="n"/>
      <c r="F4" s="236" t="n"/>
      <c r="G4" s="236" t="n"/>
    </row>
    <row r="5" ht="15.75" customHeight="1" s="301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236" t="n"/>
    </row>
    <row r="6" ht="15.75" customHeight="1" s="301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236" t="n"/>
    </row>
    <row r="7" ht="110.25" customHeight="1" s="301">
      <c r="A7" s="170" t="inlineStr">
        <is>
          <t>1.1</t>
        </is>
      </c>
      <c r="B7" s="2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1" t="inlineStr">
        <is>
          <t>С1ср</t>
        </is>
      </c>
      <c r="D7" s="341" t="inlineStr">
        <is>
          <t>-</t>
        </is>
      </c>
      <c r="E7" s="173" t="n">
        <v>47872.94</v>
      </c>
      <c r="F7" s="2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6" t="n"/>
    </row>
    <row r="8" ht="31.7" customHeight="1" s="301">
      <c r="A8" s="170" t="inlineStr">
        <is>
          <t>1.2</t>
        </is>
      </c>
      <c r="B8" s="296" t="inlineStr">
        <is>
          <t>Среднегодовое нормативное число часов работы одного рабочего в месяц, часы (ч.)</t>
        </is>
      </c>
      <c r="C8" s="341" t="inlineStr">
        <is>
          <t>tср</t>
        </is>
      </c>
      <c r="D8" s="341" t="inlineStr">
        <is>
          <t>1973ч/12мес.</t>
        </is>
      </c>
      <c r="E8" s="173">
        <f>1973/12</f>
        <v/>
      </c>
      <c r="F8" s="296" t="inlineStr">
        <is>
          <t>Производственный календарь 2023 год
(40-часов.неделя)</t>
        </is>
      </c>
      <c r="G8" s="176" t="n"/>
    </row>
    <row r="9" ht="15.75" customHeight="1" s="301">
      <c r="A9" s="170" t="inlineStr">
        <is>
          <t>1.3</t>
        </is>
      </c>
      <c r="B9" s="296" t="inlineStr">
        <is>
          <t>Коэффициент увеличения</t>
        </is>
      </c>
      <c r="C9" s="341" t="inlineStr">
        <is>
          <t>Кув</t>
        </is>
      </c>
      <c r="D9" s="341" t="inlineStr">
        <is>
          <t>-</t>
        </is>
      </c>
      <c r="E9" s="173" t="n">
        <v>1</v>
      </c>
      <c r="F9" s="296" t="n"/>
      <c r="G9" s="176" t="n"/>
    </row>
    <row r="10" ht="15.75" customHeight="1" s="301">
      <c r="A10" s="170" t="inlineStr">
        <is>
          <t>1.4</t>
        </is>
      </c>
      <c r="B10" s="296" t="inlineStr">
        <is>
          <t>Средний разряд работ</t>
        </is>
      </c>
      <c r="C10" s="341" t="n"/>
      <c r="D10" s="341" t="n"/>
      <c r="E10" s="177" t="n">
        <v>3.7</v>
      </c>
      <c r="F10" s="296" t="inlineStr">
        <is>
          <t>РТМ</t>
        </is>
      </c>
      <c r="G10" s="176" t="n"/>
    </row>
    <row r="11" ht="78.75" customHeight="1" s="301">
      <c r="A11" s="170" t="inlineStr">
        <is>
          <t>1.5</t>
        </is>
      </c>
      <c r="B11" s="296" t="inlineStr">
        <is>
          <t>Тарифный коэффициент среднего разряда работ</t>
        </is>
      </c>
      <c r="C11" s="341" t="inlineStr">
        <is>
          <t>КТ</t>
        </is>
      </c>
      <c r="D11" s="341" t="inlineStr">
        <is>
          <t>-</t>
        </is>
      </c>
      <c r="E11" s="256" t="n">
        <v>1.293</v>
      </c>
      <c r="F11" s="2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6" t="n"/>
    </row>
    <row r="12" ht="78.75" customHeight="1" s="301">
      <c r="A12" s="170" t="inlineStr">
        <is>
          <t>1.6</t>
        </is>
      </c>
      <c r="B12" s="327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179" t="n">
        <v>1.139</v>
      </c>
      <c r="F12" s="18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3" customHeight="1" s="301">
      <c r="A13" s="170" t="inlineStr">
        <is>
          <t>1.7</t>
        </is>
      </c>
      <c r="B13" s="181" t="inlineStr">
        <is>
          <t>Размер средств на оплату труда рабочих-строителей в текущем уровне цен (ФОТр.тек.), руб/чел.-ч</t>
        </is>
      </c>
      <c r="C13" s="341" t="inlineStr">
        <is>
          <t>ФОТр.тек.</t>
        </is>
      </c>
      <c r="D13" s="341" t="inlineStr">
        <is>
          <t>(С1ср/tср*КТ*Т*Кув)*Кинф</t>
        </is>
      </c>
      <c r="E13" s="182">
        <f>((E7*E9/E8)*E11)*E12</f>
        <v/>
      </c>
      <c r="F13" s="29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2025-01-24T12:19:07Z</dcterms:modified>
  <cp:lastModifiedBy>REDMIBOOK</cp:lastModifiedBy>
  <cp:lastPrinted>2023-12-01T12:02:15Z</cp:lastPrinted>
</cp:coreProperties>
</file>