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3" fontId="16" fillId="0" borderId="1" applyAlignment="1" pivotButton="0" quotePrefix="0" xfId="0">
      <alignment vertical="center" wrapText="1"/>
    </xf>
    <xf numFmtId="168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8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43" fontId="1" fillId="0" borderId="1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5"/>
  <sheetViews>
    <sheetView view="pageBreakPreview" topLeftCell="A22" zoomScaleNormal="115" workbookViewId="0">
      <selection activeCell="C30" sqref="C30"/>
    </sheetView>
  </sheetViews>
  <sheetFormatPr baseColWidth="8" defaultColWidth="9.140625" defaultRowHeight="15"/>
  <cols>
    <col width="9.140625" customWidth="1" style="324" min="1" max="2"/>
    <col width="36.85546875" customWidth="1" style="324" min="3" max="3"/>
    <col width="39.42578125" customWidth="1" style="324" min="4" max="4"/>
    <col width="9.140625" customWidth="1" style="324" min="5" max="5"/>
  </cols>
  <sheetData>
    <row r="3" ht="15.6" customHeight="1" s="324">
      <c r="B3" s="355" t="inlineStr">
        <is>
          <t>Приложение № 1</t>
        </is>
      </c>
    </row>
    <row r="4" ht="17.45" customHeight="1" s="324">
      <c r="B4" s="356" t="inlineStr">
        <is>
          <t>Сравнительная таблица отбора объекта-представителя</t>
        </is>
      </c>
    </row>
    <row r="5" ht="91.5" customHeight="1" s="324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4">
      <c r="B6" s="299" t="n"/>
      <c r="C6" s="299" t="n"/>
      <c r="D6" s="299" t="n"/>
    </row>
    <row r="7" ht="36" customHeight="1" s="324">
      <c r="B7" s="354" t="inlineStr">
        <is>
          <t>Наименование разрабатываемого показателя УНЦ — УНЦ защитных конструкций ПС.</t>
        </is>
      </c>
    </row>
    <row r="8" ht="15.6" customHeight="1" s="324">
      <c r="B8" s="354" t="inlineStr">
        <is>
          <t>Сопоставимый уровень цен: 4 кв. 2015</t>
        </is>
      </c>
    </row>
    <row r="9" ht="15.6" customHeight="1" s="324">
      <c r="B9" s="354" t="inlineStr">
        <is>
          <t>Единица измерения  — 1 ед</t>
        </is>
      </c>
    </row>
    <row r="10" ht="18" customHeight="1" s="324">
      <c r="B10" s="300" t="n"/>
    </row>
    <row r="11" ht="15.6" customHeight="1" s="324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</row>
    <row r="12" ht="46.9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Комплексное техничекое перевооружение и реконструкция ПС 500 кВ "Ногинск". Корректировка</t>
        </is>
      </c>
      <c r="E12" s="304" t="n"/>
      <c r="F12" s="304" t="n"/>
      <c r="G12" s="304" t="n"/>
      <c r="H12" s="304" t="n"/>
      <c r="I12" s="304" t="n"/>
      <c r="J12" s="304" t="n"/>
      <c r="K12" s="304" t="n"/>
      <c r="L12" s="304" t="n"/>
    </row>
    <row r="13" ht="31.15" customHeight="1" s="324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Московская область</t>
        </is>
      </c>
    </row>
    <row r="14" ht="15.6" customHeight="1" s="32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IIВ</t>
        </is>
      </c>
    </row>
    <row r="15" ht="15.6" customHeight="1" s="324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93.59999999999999" customHeight="1" s="324">
      <c r="B16" s="360" t="n">
        <v>5</v>
      </c>
      <c r="C16" s="3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Противотаранное дорожное заградительное устройство 4,0 м - 1 компл</t>
        </is>
      </c>
    </row>
    <row r="17" ht="78" customHeight="1" s="324">
      <c r="B17" s="360" t="n">
        <v>6</v>
      </c>
      <c r="C17" s="3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4">
        <f>SUM(D18:D21)</f>
        <v/>
      </c>
    </row>
    <row r="18" ht="15.6" customHeight="1" s="324">
      <c r="B18" s="322" t="inlineStr">
        <is>
          <t>6.1</t>
        </is>
      </c>
      <c r="C18" s="338" t="inlineStr">
        <is>
          <t>строительно-монтажные работы</t>
        </is>
      </c>
      <c r="D18" s="314">
        <f>'Прил.2 Расч стоим'!F14+'Прил.2 Расч стоим'!G14</f>
        <v/>
      </c>
    </row>
    <row r="19" ht="15.6" customHeight="1" s="324">
      <c r="B19" s="322" t="inlineStr">
        <is>
          <t>6.2</t>
        </is>
      </c>
      <c r="C19" s="338" t="inlineStr">
        <is>
          <t>оборудование и инвентарь</t>
        </is>
      </c>
      <c r="D19" s="314" t="n"/>
    </row>
    <row r="20" ht="15.6" customHeight="1" s="324">
      <c r="B20" s="322" t="inlineStr">
        <is>
          <t>6.3</t>
        </is>
      </c>
      <c r="C20" s="338" t="inlineStr">
        <is>
          <t>пусконаладочные работы</t>
        </is>
      </c>
      <c r="D20" s="314" t="n"/>
    </row>
    <row r="21" ht="15.6" customHeight="1" s="324">
      <c r="B21" s="322" t="inlineStr">
        <is>
          <t>6.4</t>
        </is>
      </c>
      <c r="C21" s="338" t="inlineStr">
        <is>
          <t>прочие и лимитированные затраты</t>
        </is>
      </c>
      <c r="D21" s="314">
        <f>D18*3.9%*0.8+(D18+D18*3.9%*0.8)*2.1%</f>
        <v/>
      </c>
    </row>
    <row r="22" ht="15.6" customHeight="1" s="324">
      <c r="B22" s="360" t="n">
        <v>7</v>
      </c>
      <c r="C22" s="338" t="inlineStr">
        <is>
          <t>Сопоставимый уровень цен</t>
        </is>
      </c>
      <c r="D22" s="321" t="inlineStr">
        <is>
          <t>4 кв. 2015</t>
        </is>
      </c>
    </row>
    <row r="23" ht="109.15" customHeight="1" s="324">
      <c r="B23" s="360" t="n">
        <v>8</v>
      </c>
      <c r="C23" s="3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4">
        <f>D17</f>
        <v/>
      </c>
    </row>
    <row r="24" ht="46.9" customHeight="1" s="324">
      <c r="B24" s="360" t="n">
        <v>9</v>
      </c>
      <c r="C24" s="306" t="inlineStr">
        <is>
          <t>Приведенная сметная стоимость на единицу мощности, тыс. руб. (строка 8/строку 4)</t>
        </is>
      </c>
      <c r="D24" s="314">
        <f>D23/D15</f>
        <v/>
      </c>
    </row>
    <row r="25" ht="48.2" customHeight="1" s="324">
      <c r="A25" s="326" t="n"/>
      <c r="B25" s="360" t="n">
        <v>10</v>
      </c>
      <c r="C25" s="338" t="inlineStr">
        <is>
          <t>Примечание</t>
        </is>
      </c>
      <c r="D25" s="360" t="n"/>
      <c r="E25" s="326" t="n"/>
      <c r="F25" s="326" t="n"/>
    </row>
    <row r="26" ht="15.6" customHeight="1" s="324">
      <c r="A26" s="326" t="n"/>
      <c r="B26" s="315" t="n"/>
      <c r="C26" s="316" t="n"/>
      <c r="D26" s="316" t="n"/>
      <c r="E26" s="326" t="n"/>
      <c r="F26" s="326" t="n"/>
    </row>
    <row r="27" ht="17.45" customHeight="1" s="324">
      <c r="A27" s="326" t="n"/>
      <c r="B27" s="219" t="n"/>
      <c r="C27" s="326" t="n"/>
      <c r="D27" s="326" t="n"/>
      <c r="E27" s="326" t="n"/>
      <c r="F27" s="326" t="n"/>
    </row>
    <row r="28" ht="15.6" customHeight="1" s="324">
      <c r="A28" s="326" t="n"/>
      <c r="B28" s="326" t="inlineStr">
        <is>
          <t>Составил ______________________    Д.Ю. Нефедова</t>
        </is>
      </c>
      <c r="C28" s="326" t="n"/>
      <c r="D28" s="326" t="n"/>
      <c r="E28" s="326" t="n"/>
      <c r="F28" s="326" t="n"/>
    </row>
    <row r="29" ht="15.6" customHeight="1" s="324">
      <c r="A29" s="326" t="n"/>
      <c r="B29" s="219" t="inlineStr">
        <is>
          <t xml:space="preserve">                         (подпись, инициалы, фамилия)</t>
        </is>
      </c>
      <c r="C29" s="326" t="n"/>
      <c r="D29" s="326" t="n"/>
      <c r="E29" s="326" t="n"/>
      <c r="F29" s="326" t="n"/>
    </row>
    <row r="30" ht="15.6" customHeight="1" s="324">
      <c r="A30" s="326" t="n"/>
      <c r="B30" s="326" t="n"/>
      <c r="C30" s="326" t="n"/>
      <c r="D30" s="326" t="n"/>
      <c r="E30" s="326" t="n"/>
      <c r="F30" s="326" t="n"/>
    </row>
    <row r="31" ht="15.6" customHeight="1" s="324">
      <c r="A31" s="326" t="n"/>
      <c r="B31" s="326" t="inlineStr">
        <is>
          <t>Проверил ______________________        А.В. Костянецкая</t>
        </is>
      </c>
      <c r="C31" s="326" t="n"/>
      <c r="D31" s="326" t="n"/>
      <c r="E31" s="326" t="n"/>
      <c r="F31" s="326" t="n"/>
    </row>
    <row r="32" ht="15.6" customHeight="1" s="324">
      <c r="A32" s="326" t="n"/>
      <c r="B32" s="219" t="inlineStr">
        <is>
          <t xml:space="preserve">                        (подпись, инициалы, фамилия)</t>
        </is>
      </c>
      <c r="C32" s="326" t="n"/>
      <c r="D32" s="326" t="n"/>
      <c r="E32" s="326" t="n"/>
      <c r="F32" s="326" t="n"/>
    </row>
    <row r="33" ht="15.6" customHeight="1" s="324">
      <c r="A33" s="326" t="n"/>
      <c r="B33" s="326" t="n"/>
      <c r="C33" s="326" t="n"/>
      <c r="D33" s="326" t="n"/>
      <c r="E33" s="326" t="n"/>
      <c r="F33" s="326" t="n"/>
    </row>
    <row r="34" ht="15.6" customHeight="1" s="324">
      <c r="A34" s="326" t="n"/>
      <c r="B34" s="326" t="n"/>
      <c r="C34" s="326" t="n"/>
      <c r="D34" s="326" t="n"/>
      <c r="E34" s="326" t="n"/>
      <c r="F34" s="326" t="n"/>
    </row>
    <row r="35" ht="15.6" customHeight="1" s="324">
      <c r="A35" s="326" t="n"/>
      <c r="B35" s="326" t="n"/>
      <c r="C35" s="326" t="n"/>
      <c r="D35" s="326" t="n"/>
      <c r="E35" s="326" t="n"/>
      <c r="F35" s="326" t="n"/>
    </row>
    <row r="36" s="324"/>
    <row r="37" s="324"/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2"/>
  <sheetViews>
    <sheetView view="pageBreakPreview" zoomScale="90" zoomScaleNormal="70" workbookViewId="0">
      <selection activeCell="E18" sqref="E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5" t="inlineStr">
        <is>
          <t>Приложение № 2</t>
        </is>
      </c>
      <c r="K3" s="219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4">
      <c r="B6" s="354" t="inlineStr">
        <is>
          <t>Наименование разрабатываемого показателя УНЦ — УНЦ защитных конструкций ПС.</t>
        </is>
      </c>
    </row>
    <row r="7">
      <c r="B7" s="354" t="inlineStr">
        <is>
          <t>Единица измерения  — 1 ед</t>
        </is>
      </c>
    </row>
    <row r="8" ht="18.75" customHeight="1" s="324">
      <c r="B8" s="300" t="n"/>
    </row>
    <row r="9" ht="15.75" customFormat="1" customHeight="1" s="326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Format="1" customHeight="1" s="326"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2015 г., тыс. руб.</t>
        </is>
      </c>
      <c r="G10" s="439" t="n"/>
      <c r="H10" s="439" t="n"/>
      <c r="I10" s="439" t="n"/>
      <c r="J10" s="440" t="n"/>
    </row>
    <row r="11" ht="31.5" customFormat="1" customHeight="1" s="326">
      <c r="B11" s="442" t="n"/>
      <c r="C11" s="442" t="n"/>
      <c r="D11" s="442" t="n"/>
      <c r="E11" s="442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46.9" customFormat="1" customHeight="1" s="326">
      <c r="B12" s="360" t="n">
        <v>1</v>
      </c>
      <c r="C12" s="360" t="inlineStr">
        <is>
          <t>Противотаранное дорожное заградительное устройство 4,0 м - 1 компл</t>
        </is>
      </c>
      <c r="D12" s="322" t="n"/>
      <c r="E12" s="338" t="n"/>
      <c r="F12" s="443">
        <f>42.492</f>
        <v/>
      </c>
      <c r="G12" s="443">
        <f>679.357</f>
        <v/>
      </c>
      <c r="H12" s="443" t="n"/>
      <c r="I12" s="443" t="n"/>
      <c r="J12" s="443">
        <f>SUM(F12:I12)</f>
        <v/>
      </c>
      <c r="K12" s="444" t="n"/>
      <c r="L12" s="444" t="n"/>
      <c r="M12" s="444" t="n"/>
    </row>
    <row r="13" ht="15.6" customFormat="1" customHeight="1" s="326">
      <c r="B13" s="358" t="inlineStr">
        <is>
          <t>Всего по объекту:</t>
        </is>
      </c>
      <c r="C13" s="439" t="n"/>
      <c r="D13" s="439" t="n"/>
      <c r="E13" s="440" t="n"/>
      <c r="F13" s="445">
        <f>SUM(F12:F12)</f>
        <v/>
      </c>
      <c r="G13" s="445">
        <f>SUM(G12:G12)</f>
        <v/>
      </c>
      <c r="H13" s="445">
        <f>SUM(H12:H12)</f>
        <v/>
      </c>
      <c r="I13" s="445">
        <f>SUM(I12:I12)</f>
        <v/>
      </c>
      <c r="J13" s="445">
        <f>SUM(F13:I13)</f>
        <v/>
      </c>
    </row>
    <row r="14" ht="28.5" customFormat="1" customHeight="1" s="326">
      <c r="B14" s="358" t="inlineStr">
        <is>
          <t>Всего по объекту в сопоставимом уровне цен 4 кв. 2015 г:</t>
        </is>
      </c>
      <c r="C14" s="439" t="n"/>
      <c r="D14" s="439" t="n"/>
      <c r="E14" s="440" t="n"/>
      <c r="F14" s="446">
        <f>F13</f>
        <v/>
      </c>
      <c r="G14" s="446">
        <f>G13</f>
        <v/>
      </c>
      <c r="H14" s="446">
        <f>H13</f>
        <v/>
      </c>
      <c r="I14" s="446">
        <f>I13</f>
        <v/>
      </c>
      <c r="J14" s="446">
        <f>SUM(F14:I14)</f>
        <v/>
      </c>
    </row>
    <row r="15" ht="15.6" customFormat="1" customHeight="1" s="326">
      <c r="B15" s="354" t="n"/>
    </row>
    <row r="16" ht="15.6" customFormat="1" customHeight="1" s="326"/>
    <row r="17" ht="15.6" customFormat="1" customHeight="1" s="326"/>
    <row r="18" ht="15.6" customFormat="1" customHeight="1" s="326">
      <c r="C18" s="326" t="inlineStr">
        <is>
          <t>Составил ______________________         Д.Ю. Нефедова</t>
        </is>
      </c>
    </row>
    <row r="19" ht="15.6" customFormat="1" customHeight="1" s="326">
      <c r="C19" s="219" t="inlineStr">
        <is>
          <t xml:space="preserve">                         (подпись, инициалы, фамилия)</t>
        </is>
      </c>
    </row>
    <row r="20" ht="15.6" customFormat="1" customHeight="1" s="326"/>
    <row r="21" ht="15.6" customFormat="1" customHeight="1" s="326">
      <c r="C21" s="326" t="inlineStr">
        <is>
          <t>Проверил ______________________         А.В. Костянецкая</t>
        </is>
      </c>
    </row>
    <row r="22" ht="15.6" customFormat="1" customHeight="1" s="326">
      <c r="C22" s="219" t="inlineStr">
        <is>
          <t xml:space="preserve">                        (подпись, инициалы, фамилия)</t>
        </is>
      </c>
    </row>
    <row r="23" ht="15.6" customFormat="1" customHeight="1" s="326"/>
    <row r="24" ht="14.45" customHeight="1" s="324"/>
    <row r="25" ht="14.45" customHeight="1" s="324"/>
    <row r="26" ht="14.4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85" zoomScaleSheetLayoutView="85" workbookViewId="0">
      <selection activeCell="F34" sqref="F34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219" min="8" max="8"/>
    <col width="9.140625" customWidth="1" style="326" min="9" max="10"/>
    <col width="15" customWidth="1" style="326" min="11" max="11"/>
    <col width="9.140625" customWidth="1" style="326" min="12" max="12"/>
  </cols>
  <sheetData>
    <row r="2" s="324">
      <c r="A2" s="326" t="n"/>
      <c r="B2" s="326" t="n"/>
      <c r="C2" s="326" t="n"/>
      <c r="D2" s="326" t="n"/>
      <c r="E2" s="326" t="n"/>
      <c r="F2" s="326" t="n"/>
      <c r="G2" s="326" t="n"/>
      <c r="H2" s="219" t="n"/>
      <c r="I2" s="326" t="n"/>
      <c r="J2" s="326" t="n"/>
      <c r="K2" s="326" t="n"/>
      <c r="L2" s="326" t="n"/>
    </row>
    <row r="3">
      <c r="A3" s="355" t="inlineStr">
        <is>
          <t xml:space="preserve">Приложение № 3 </t>
        </is>
      </c>
    </row>
    <row r="4">
      <c r="A4" s="359" t="inlineStr">
        <is>
          <t>Объектная ресурсная ведомость</t>
        </is>
      </c>
    </row>
    <row r="5" ht="18.75" customHeight="1" s="324">
      <c r="A5" s="356" t="n"/>
      <c r="B5" s="356" t="n"/>
      <c r="C5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4" t="n"/>
    </row>
    <row r="7">
      <c r="A7" s="365" t="inlineStr">
        <is>
          <t>Наименование разрабатываемого показателя УНЦ -  Защитные конструкций ПС Противотаранное устройство</t>
        </is>
      </c>
    </row>
    <row r="8">
      <c r="A8" s="365" t="n"/>
      <c r="B8" s="365" t="n"/>
      <c r="C8" s="365" t="n"/>
      <c r="D8" s="365" t="n"/>
      <c r="E8" s="365" t="n"/>
      <c r="F8" s="365" t="n"/>
      <c r="G8" s="365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0" t="n"/>
    </row>
    <row r="10" ht="40.7" customHeight="1" s="324">
      <c r="A10" s="442" t="n"/>
      <c r="B10" s="442" t="n"/>
      <c r="C10" s="442" t="n"/>
      <c r="D10" s="442" t="n"/>
      <c r="E10" s="442" t="n"/>
      <c r="F10" s="442" t="n"/>
      <c r="G10" s="360" t="inlineStr">
        <is>
          <t>на ед.изм.</t>
        </is>
      </c>
      <c r="H10" s="338" t="inlineStr">
        <is>
          <t>общая</t>
        </is>
      </c>
    </row>
    <row r="11">
      <c r="A11" s="343" t="n">
        <v>1</v>
      </c>
      <c r="B11" s="343" t="n"/>
      <c r="C11" s="343" t="n">
        <v>2</v>
      </c>
      <c r="D11" s="343" t="inlineStr">
        <is>
          <t>З</t>
        </is>
      </c>
      <c r="E11" s="343" t="n">
        <v>4</v>
      </c>
      <c r="F11" s="343" t="n">
        <v>5</v>
      </c>
      <c r="G11" s="343" t="n">
        <v>6</v>
      </c>
      <c r="H11" s="267" t="n">
        <v>7</v>
      </c>
    </row>
    <row r="12" customFormat="1" s="224">
      <c r="A12" s="362" t="inlineStr">
        <is>
          <t>Затраты труда рабочих</t>
        </is>
      </c>
      <c r="B12" s="439" t="n"/>
      <c r="C12" s="439" t="n"/>
      <c r="D12" s="439" t="n"/>
      <c r="E12" s="440" t="n"/>
      <c r="F12" s="447">
        <f>SUM(F13:F13)</f>
        <v/>
      </c>
      <c r="G12" s="251" t="n"/>
      <c r="H12" s="447">
        <f>SUM(H13:H13)</f>
        <v/>
      </c>
    </row>
    <row r="13">
      <c r="A13" s="393" t="n">
        <v>1</v>
      </c>
      <c r="B13" s="227" t="n"/>
      <c r="C13" s="259" t="inlineStr">
        <is>
          <t>1-2-6</t>
        </is>
      </c>
      <c r="D13" s="380" t="inlineStr">
        <is>
          <t>Затраты труда рабочих (средний разряд работы 2,6)</t>
        </is>
      </c>
      <c r="E13" s="393" t="inlineStr">
        <is>
          <t>чел.-ч</t>
        </is>
      </c>
      <c r="F13" s="259" t="n">
        <v>24.95</v>
      </c>
      <c r="G13" s="262" t="n">
        <v>8.24</v>
      </c>
      <c r="H13" s="291">
        <f>ROUND(F13*G13,2)</f>
        <v/>
      </c>
      <c r="M13" s="448" t="n"/>
    </row>
    <row r="14">
      <c r="A14" s="361" t="inlineStr">
        <is>
          <t>Затраты труда машинистов</t>
        </is>
      </c>
      <c r="B14" s="439" t="n"/>
      <c r="C14" s="439" t="n"/>
      <c r="D14" s="439" t="n"/>
      <c r="E14" s="440" t="n"/>
      <c r="F14" s="362" t="n"/>
      <c r="G14" s="225" t="n"/>
      <c r="H14" s="447">
        <f>H15</f>
        <v/>
      </c>
    </row>
    <row r="15">
      <c r="A15" s="393" t="n">
        <v>2</v>
      </c>
      <c r="B15" s="363" t="n"/>
      <c r="C15" s="263" t="n">
        <v>2</v>
      </c>
      <c r="D15" s="264" t="inlineStr">
        <is>
          <t>Затраты труда машинистов(справочно)</t>
        </is>
      </c>
      <c r="E15" s="393" t="inlineStr">
        <is>
          <t>чел.-ч</t>
        </is>
      </c>
      <c r="F15" s="393" t="n">
        <v>2.87</v>
      </c>
      <c r="G15" s="242" t="n"/>
      <c r="H15" s="269" t="n">
        <v>29.66</v>
      </c>
    </row>
    <row r="16" customFormat="1" s="224">
      <c r="A16" s="362" t="inlineStr">
        <is>
          <t>Машины и механизмы</t>
        </is>
      </c>
      <c r="B16" s="439" t="n"/>
      <c r="C16" s="439" t="n"/>
      <c r="D16" s="439" t="n"/>
      <c r="E16" s="440" t="n"/>
      <c r="F16" s="362" t="n"/>
      <c r="G16" s="225" t="n"/>
      <c r="H16" s="447">
        <f>SUM(H17:H19)</f>
        <v/>
      </c>
    </row>
    <row r="17" ht="25.5" customHeight="1" s="324">
      <c r="A17" s="393" t="n">
        <v>3</v>
      </c>
      <c r="B17" s="363" t="n"/>
      <c r="C17" s="263" t="inlineStr">
        <is>
          <t>91.05.13-001</t>
        </is>
      </c>
      <c r="D17" s="264" t="inlineStr">
        <is>
          <t>Автомобили бортовые, грузоподъемность до 6 т, с краном-манипулятором-4,0 т</t>
        </is>
      </c>
      <c r="E17" s="393" t="inlineStr">
        <is>
          <t>маш.-ч</t>
        </is>
      </c>
      <c r="F17" s="263" t="n">
        <v>0.51</v>
      </c>
      <c r="G17" s="271" t="n">
        <v>288.03</v>
      </c>
      <c r="H17" s="272">
        <f>ROUND(F17*G17,2)</f>
        <v/>
      </c>
      <c r="I17" s="256" t="n"/>
      <c r="J17" s="256" t="n"/>
      <c r="L17" s="256" t="n"/>
    </row>
    <row r="18" customFormat="1" s="224">
      <c r="A18" s="393" t="n">
        <v>4</v>
      </c>
      <c r="B18" s="363" t="n"/>
      <c r="C18" s="263" t="inlineStr">
        <is>
          <t>91.07.03-003</t>
        </is>
      </c>
      <c r="D18" s="264" t="inlineStr">
        <is>
          <t>Бетоносмесители гравитационные передвижные 330 л</t>
        </is>
      </c>
      <c r="E18" s="393" t="inlineStr">
        <is>
          <t>маш.-ч</t>
        </is>
      </c>
      <c r="F18" s="263" t="n">
        <v>2.36</v>
      </c>
      <c r="G18" s="271" t="n">
        <v>19.55</v>
      </c>
      <c r="H18" s="272">
        <f>ROUND(F18*G18,2)</f>
        <v/>
      </c>
      <c r="I18" s="256" t="n"/>
      <c r="J18" s="256" t="n"/>
      <c r="L18" s="256" t="n"/>
    </row>
    <row r="19">
      <c r="A19" s="393" t="n">
        <v>5</v>
      </c>
      <c r="B19" s="363" t="n"/>
      <c r="C19" s="263" t="inlineStr">
        <is>
          <t>91.17.04-042</t>
        </is>
      </c>
      <c r="D19" s="264" t="inlineStr">
        <is>
          <t>Аппараты для газовой сварки и резки</t>
        </is>
      </c>
      <c r="E19" s="393" t="inlineStr">
        <is>
          <t>маш.-ч</t>
        </is>
      </c>
      <c r="F19" s="263" t="n">
        <v>0.24</v>
      </c>
      <c r="G19" s="271" t="n">
        <v>1.2</v>
      </c>
      <c r="H19" s="272">
        <f>ROUND(F19*G19,2)</f>
        <v/>
      </c>
      <c r="I19" s="256" t="n"/>
      <c r="J19" s="256" t="n"/>
      <c r="L19" s="256" t="n"/>
    </row>
    <row r="20" ht="15" customHeight="1" s="324">
      <c r="A20" s="362" t="inlineStr">
        <is>
          <t>Оборудование</t>
        </is>
      </c>
      <c r="B20" s="439" t="n"/>
      <c r="C20" s="439" t="n"/>
      <c r="D20" s="439" t="n"/>
      <c r="E20" s="440" t="n"/>
      <c r="F20" s="251" t="n"/>
      <c r="G20" s="251" t="n"/>
      <c r="H20" s="447" t="n">
        <v>0</v>
      </c>
    </row>
    <row r="21">
      <c r="A21" s="362" t="inlineStr">
        <is>
          <t>Материалы</t>
        </is>
      </c>
      <c r="B21" s="439" t="n"/>
      <c r="C21" s="439" t="n"/>
      <c r="D21" s="439" t="n"/>
      <c r="E21" s="440" t="n"/>
      <c r="F21" s="362" t="n"/>
      <c r="G21" s="225" t="n"/>
      <c r="H21" s="447">
        <f>SUM(H22:H29)</f>
        <v/>
      </c>
    </row>
    <row r="22" ht="27.75" customHeight="1" s="324">
      <c r="A22" s="246" t="n">
        <v>6</v>
      </c>
      <c r="B22" s="361" t="n"/>
      <c r="C22" s="275" t="inlineStr">
        <is>
          <t>Прайс из СД ОП</t>
        </is>
      </c>
      <c r="D22" s="264" t="inlineStr">
        <is>
          <t>Противотаранное дорожное заградительное устройство 4,0 м</t>
        </is>
      </c>
      <c r="E22" s="393" t="inlineStr">
        <is>
          <t>компл.</t>
        </is>
      </c>
      <c r="F22" s="263" t="n">
        <v>1</v>
      </c>
      <c r="G22" s="449" t="n">
        <v>141281.68</v>
      </c>
      <c r="H22" s="272" t="n">
        <v>141281.68</v>
      </c>
      <c r="I22" s="248" t="n"/>
    </row>
    <row r="23" ht="25.5" customHeight="1" s="324">
      <c r="A23" s="246" t="n">
        <v>7</v>
      </c>
      <c r="B23" s="363" t="n"/>
      <c r="C23" s="263" t="inlineStr">
        <is>
          <t>04.1.02.01-0001</t>
        </is>
      </c>
      <c r="D23" s="264" t="inlineStr">
        <is>
          <t>Смеси бетонные мелкозернистого бетона (БСМ), класс В3,5 (М50)</t>
        </is>
      </c>
      <c r="E23" s="393" t="inlineStr">
        <is>
          <t>м3</t>
        </is>
      </c>
      <c r="F23" s="263" t="n">
        <v>2.996</v>
      </c>
      <c r="G23" s="271" t="n">
        <v>413.87</v>
      </c>
      <c r="H23" s="272" t="n">
        <v>1239.95</v>
      </c>
      <c r="I23" s="248" t="n"/>
      <c r="J23" s="256" t="n"/>
      <c r="K23" s="256" t="n"/>
    </row>
    <row r="24">
      <c r="A24" s="246" t="n">
        <v>8</v>
      </c>
      <c r="B24" s="363" t="n"/>
      <c r="C24" s="263" t="inlineStr">
        <is>
          <t>01.7.15.02-0051</t>
        </is>
      </c>
      <c r="D24" s="264" t="inlineStr">
        <is>
          <t>Болты анкерные</t>
        </is>
      </c>
      <c r="E24" s="393" t="inlineStr">
        <is>
          <t>т</t>
        </is>
      </c>
      <c r="F24" s="263" t="n">
        <v>0.0025</v>
      </c>
      <c r="G24" s="271" t="n">
        <v>10068</v>
      </c>
      <c r="H24" s="272" t="n">
        <v>25.17</v>
      </c>
      <c r="I24" s="248" t="n"/>
      <c r="J24" s="256" t="n"/>
      <c r="K24" s="256" t="n"/>
    </row>
    <row r="25" ht="25.5" customHeight="1" s="324">
      <c r="A25" s="246" t="n">
        <v>9</v>
      </c>
      <c r="B25" s="363" t="n"/>
      <c r="C25" s="263" t="inlineStr">
        <is>
          <t>11.1.03.06-0087</t>
        </is>
      </c>
      <c r="D25" s="264" t="inlineStr">
        <is>
          <t>Доска обрезная, хвойных пород, ширина 75-150 мм, толщина 25 мм, длина 4-6,5 м, сорт III</t>
        </is>
      </c>
      <c r="E25" s="393" t="inlineStr">
        <is>
          <t>м3</t>
        </is>
      </c>
      <c r="F25" s="263" t="n">
        <v>0.0201</v>
      </c>
      <c r="G25" s="271" t="n">
        <v>1100</v>
      </c>
      <c r="H25" s="272" t="n">
        <v>22.11</v>
      </c>
      <c r="I25" s="248" t="n"/>
      <c r="J25" s="256" t="n"/>
      <c r="K25" s="256" t="n"/>
    </row>
    <row r="26">
      <c r="A26" s="246" t="n">
        <v>10</v>
      </c>
      <c r="B26" s="363" t="n"/>
      <c r="C26" s="263" t="inlineStr">
        <is>
          <t>01.7.15.06-0111</t>
        </is>
      </c>
      <c r="D26" s="264" t="inlineStr">
        <is>
          <t>Гвозди строительные</t>
        </is>
      </c>
      <c r="E26" s="393" t="inlineStr">
        <is>
          <t>т</t>
        </is>
      </c>
      <c r="F26" s="263" t="n">
        <v>0.0007</v>
      </c>
      <c r="G26" s="271" t="n">
        <v>11978</v>
      </c>
      <c r="H26" s="272" t="n">
        <v>8.380000000000001</v>
      </c>
      <c r="I26" s="248" t="n"/>
      <c r="J26" s="256" t="n"/>
    </row>
    <row r="27">
      <c r="A27" s="246" t="n">
        <v>11</v>
      </c>
      <c r="B27" s="363" t="n"/>
      <c r="C27" s="263" t="inlineStr">
        <is>
          <t>14.4.03.03-0002</t>
        </is>
      </c>
      <c r="D27" s="264" t="inlineStr">
        <is>
          <t>Лак битумный БТ-123</t>
        </is>
      </c>
      <c r="E27" s="393" t="inlineStr">
        <is>
          <t>т</t>
        </is>
      </c>
      <c r="F27" s="263" t="n">
        <v>0.0007</v>
      </c>
      <c r="G27" s="271" t="n">
        <v>7826.9</v>
      </c>
      <c r="H27" s="272" t="n">
        <v>5.48</v>
      </c>
      <c r="I27" s="248" t="n"/>
      <c r="J27" s="256" t="n"/>
    </row>
    <row r="28">
      <c r="A28" s="246" t="n">
        <v>12</v>
      </c>
      <c r="B28" s="363" t="n"/>
      <c r="C28" s="263" t="inlineStr">
        <is>
          <t>01.3.02.08-0001</t>
        </is>
      </c>
      <c r="D28" s="264" t="inlineStr">
        <is>
          <t>Кислород газообразный технический</t>
        </is>
      </c>
      <c r="E28" s="393" t="inlineStr">
        <is>
          <t>м3</t>
        </is>
      </c>
      <c r="F28" s="263" t="n">
        <v>0.1192</v>
      </c>
      <c r="G28" s="271" t="n">
        <v>6.22</v>
      </c>
      <c r="H28" s="272" t="n">
        <v>0.74</v>
      </c>
      <c r="I28" s="248" t="n"/>
      <c r="J28" s="256" t="n"/>
    </row>
    <row r="29">
      <c r="A29" s="246" t="n">
        <v>13</v>
      </c>
      <c r="B29" s="363" t="n"/>
      <c r="C29" s="263" t="inlineStr">
        <is>
          <t>01.3.02.09-0022</t>
        </is>
      </c>
      <c r="D29" s="264" t="inlineStr">
        <is>
          <t>Пропан-бутан смесь техническая</t>
        </is>
      </c>
      <c r="E29" s="393" t="inlineStr">
        <is>
          <t>кг</t>
        </is>
      </c>
      <c r="F29" s="263" t="n">
        <v>0.0291</v>
      </c>
      <c r="G29" s="271" t="n">
        <v>6.09</v>
      </c>
      <c r="H29" s="272" t="n">
        <v>0.18</v>
      </c>
      <c r="I29" s="248" t="n"/>
      <c r="J29" s="256" t="n"/>
    </row>
    <row r="32">
      <c r="B32" s="326" t="inlineStr">
        <is>
          <t>Составил ______________________     Д.Ю. Нефедова</t>
        </is>
      </c>
    </row>
    <row r="33">
      <c r="B33" s="219" t="inlineStr">
        <is>
          <t xml:space="preserve">                         (подпись, инициалы, фамилия)</t>
        </is>
      </c>
    </row>
    <row r="35">
      <c r="B35" s="326" t="inlineStr">
        <is>
          <t>Проверил ______________________        А.В. Костянецкая</t>
        </is>
      </c>
    </row>
    <row r="36">
      <c r="B36" s="219" t="inlineStr">
        <is>
          <t xml:space="preserve">                        (подпись, инициалы, фамилия)</t>
        </is>
      </c>
    </row>
  </sheetData>
  <mergeCells count="16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20:E2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8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47" t="inlineStr">
        <is>
          <t>Ресурсная модель</t>
        </is>
      </c>
    </row>
    <row r="6">
      <c r="B6" s="238" t="n"/>
      <c r="C6" s="289" t="n"/>
      <c r="D6" s="289" t="n"/>
      <c r="E6" s="289" t="n"/>
    </row>
    <row r="7" ht="25.5" customHeight="1" s="324">
      <c r="B7" s="367" t="inlineStr">
        <is>
          <t>Наименование разрабатываемого показателя УНЦ — Защитные конструкций ПС Противотаранное устройство</t>
        </is>
      </c>
    </row>
    <row r="8">
      <c r="B8" s="368" t="inlineStr">
        <is>
          <t>Единица измерения  — 1 ед.</t>
        </is>
      </c>
    </row>
    <row r="9">
      <c r="B9" s="238" t="n"/>
      <c r="C9" s="289" t="n"/>
      <c r="D9" s="289" t="n"/>
      <c r="E9" s="289" t="n"/>
    </row>
    <row r="10" ht="51" customHeight="1" s="324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1">
        <f>'Прил.5 Расчет СМР и ОБ'!J14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1">
        <f>'Прил.5 Расчет СМР и ОБ'!J21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1">
        <f>'Прил.5 Расчет СМР и ОБ'!J23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1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1">
        <f>'Прил.5 Расчет СМР и ОБ'!J16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1">
        <f>'Прил.5 Расчет СМР и ОБ'!J34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1">
        <f>'Прил.5 Расчет СМР и ОБ'!J42</f>
        <v/>
      </c>
      <c r="D17" s="233">
        <f>C17/$C$24</f>
        <v/>
      </c>
      <c r="E17" s="233">
        <f>C17/$C$40</f>
        <v/>
      </c>
    </row>
    <row r="18">
      <c r="B18" s="231" t="inlineStr">
        <is>
          <t>МАТЕРИАЛЫ, ВСЕГО:</t>
        </is>
      </c>
      <c r="C18" s="291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1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1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ОБ'!D46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1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ОБ'!D45</f>
        <v/>
      </c>
      <c r="D23" s="233" t="n"/>
      <c r="E23" s="231" t="n"/>
    </row>
    <row r="24">
      <c r="B24" s="231" t="inlineStr">
        <is>
          <t>ВСЕГО СМР с НР и СП</t>
        </is>
      </c>
      <c r="C24" s="291">
        <f>C19+C20+C22</f>
        <v/>
      </c>
      <c r="D24" s="233">
        <f>C24/$C$24</f>
        <v/>
      </c>
      <c r="E24" s="233">
        <f>C24/$C$40</f>
        <v/>
      </c>
    </row>
    <row r="25" ht="25.5" customHeight="1" s="324">
      <c r="B25" s="231" t="inlineStr">
        <is>
          <t>ВСЕГО стоимость оборудования, в том числе</t>
        </is>
      </c>
      <c r="C25" s="291">
        <f>'Прил.5 Расчет СМР и ОБ'!J29</f>
        <v/>
      </c>
      <c r="D25" s="233" t="n"/>
      <c r="E25" s="233">
        <f>C25/$C$40</f>
        <v/>
      </c>
    </row>
    <row r="26" ht="25.5" customHeight="1" s="324">
      <c r="B26" s="231" t="inlineStr">
        <is>
          <t>стоимость оборудования технологического</t>
        </is>
      </c>
      <c r="C26" s="291">
        <f>'Прил.5 Расчет СМР и ОБ'!J30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82">
        <f>C24+C25</f>
        <v/>
      </c>
      <c r="D27" s="233" t="n"/>
      <c r="E27" s="233">
        <f>C27/$C$40</f>
        <v/>
      </c>
    </row>
    <row r="28" ht="33" customHeight="1" s="324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4">
      <c r="B29" s="231" t="inlineStr">
        <is>
          <t>Временные здания и сооружения - 3,9%</t>
        </is>
      </c>
      <c r="C29" s="282">
        <f>ROUND(C24*3.9%,2)</f>
        <v/>
      </c>
      <c r="D29" s="231" t="n"/>
      <c r="E29" s="233">
        <f>C29/$C$40</f>
        <v/>
      </c>
    </row>
    <row r="30" ht="38.25" customHeight="1" s="324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82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82" t="n">
        <v>0</v>
      </c>
      <c r="D31" s="231" t="n"/>
      <c r="E31" s="233">
        <f>C31/$C$40</f>
        <v/>
      </c>
    </row>
    <row r="32" ht="25.5" customHeight="1" s="324">
      <c r="B32" s="231" t="inlineStr">
        <is>
          <t>Затраты по перевозке работников к месту работы и обратно</t>
        </is>
      </c>
      <c r="C32" s="282">
        <f>ROUND(C27*0%,2)</f>
        <v/>
      </c>
      <c r="D32" s="231" t="n"/>
      <c r="E32" s="233">
        <f>C32/$C$40</f>
        <v/>
      </c>
    </row>
    <row r="33" ht="25.5" customHeight="1" s="324">
      <c r="B33" s="231" t="inlineStr">
        <is>
          <t>Затраты, связанные с осуществлением работ вахтовым методом</t>
        </is>
      </c>
      <c r="C33" s="282">
        <f>ROUND(C28*0%,2)</f>
        <v/>
      </c>
      <c r="D33" s="231" t="n"/>
      <c r="E33" s="233">
        <f>C33/$C$40</f>
        <v/>
      </c>
    </row>
    <row r="34" ht="51" customHeight="1" s="324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2">
        <f>ROUND(C29*0%,2)</f>
        <v/>
      </c>
      <c r="D34" s="231" t="n"/>
      <c r="E34" s="233">
        <f>C34/$C$40</f>
        <v/>
      </c>
      <c r="H34" s="248" t="n"/>
    </row>
    <row r="35" ht="76.7" customHeight="1" s="324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2">
        <f>ROUND(C30*0%,2)</f>
        <v/>
      </c>
      <c r="D35" s="231" t="n"/>
      <c r="E35" s="233">
        <f>C35/$C$40</f>
        <v/>
      </c>
    </row>
    <row r="36" ht="25.5" customHeight="1" s="324">
      <c r="B36" s="231" t="inlineStr">
        <is>
          <t>Строительный контроль и содержание службы заказчика - 2,14%</t>
        </is>
      </c>
      <c r="C36" s="282">
        <f>ROUND((C27+C32+C33+C34+C35+C29+C31+C30)*2.14%,2)</f>
        <v/>
      </c>
      <c r="D36" s="231" t="n"/>
      <c r="E36" s="233">
        <f>C36/$C$40</f>
        <v/>
      </c>
      <c r="L36" s="234" t="n"/>
    </row>
    <row r="37">
      <c r="B37" s="231" t="inlineStr">
        <is>
          <t>Авторский надзор - 0,2%</t>
        </is>
      </c>
      <c r="C37" s="282">
        <f>ROUND((C27+C32+C33+C34+C35+C29+C31+C30)*0.2%,2)</f>
        <v/>
      </c>
      <c r="D37" s="231" t="n"/>
      <c r="E37" s="233">
        <f>C37/$C$40</f>
        <v/>
      </c>
      <c r="L37" s="234" t="n"/>
    </row>
    <row r="38" ht="38.25" customHeight="1" s="324">
      <c r="B38" s="231" t="inlineStr">
        <is>
          <t>ИТОГО (СМР+ОБОРУДОВАНИЕ+ПРОЧ. ЗАТР., УЧТЕННЫЕ ПОКАЗАТЕЛЕМ)</t>
        </is>
      </c>
      <c r="C38" s="291">
        <f>C27+C32+C33+C34+C35+C29+C31+C30+C36+C37</f>
        <v/>
      </c>
      <c r="D38" s="231" t="n"/>
      <c r="E38" s="233">
        <f>C38/$C$40</f>
        <v/>
      </c>
    </row>
    <row r="39" ht="13.7" customHeight="1" s="324">
      <c r="B39" s="231" t="inlineStr">
        <is>
          <t>Непредвиденные расходы</t>
        </is>
      </c>
      <c r="C39" s="291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1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1">
        <f>C40/'Прил.5 Расчет СМР и ОБ'!E49</f>
        <v/>
      </c>
      <c r="D41" s="231" t="n"/>
      <c r="E41" s="231" t="n"/>
    </row>
    <row r="42">
      <c r="B42" s="293" t="n"/>
      <c r="C42" s="289" t="n"/>
      <c r="D42" s="289" t="n"/>
      <c r="E42" s="289" t="n"/>
    </row>
    <row r="43">
      <c r="B43" s="309" t="inlineStr">
        <is>
          <t>Составил ____________________________ Д.Ю. Нефедова</t>
        </is>
      </c>
      <c r="C43" s="289" t="n"/>
      <c r="D43" s="289" t="n"/>
      <c r="E43" s="289" t="n"/>
    </row>
    <row r="44">
      <c r="B44" s="293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93" t="n"/>
      <c r="C45" s="289" t="n"/>
      <c r="D45" s="289" t="n"/>
      <c r="E45" s="289" t="n"/>
    </row>
    <row r="46">
      <c r="B46" s="293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68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zoomScale="70" zoomScaleSheetLayoutView="70" workbookViewId="0">
      <selection activeCell="X30" sqref="X30:X31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2.7109375" customWidth="1" style="296" min="5" max="5"/>
    <col width="15" customWidth="1" style="296" min="6" max="6"/>
    <col width="13.4257812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9.140625" customWidth="1" style="296" min="12" max="12"/>
    <col width="9.140625" customWidth="1" style="324" min="13" max="13"/>
  </cols>
  <sheetData>
    <row r="1" s="324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24">
      <c r="A2" s="296" t="n"/>
      <c r="B2" s="296" t="n"/>
      <c r="C2" s="296" t="n"/>
      <c r="D2" s="296" t="n"/>
      <c r="E2" s="296" t="n"/>
      <c r="F2" s="296" t="n"/>
      <c r="G2" s="296" t="n"/>
      <c r="H2" s="369" t="inlineStr">
        <is>
          <t>Приложение №5</t>
        </is>
      </c>
      <c r="K2" s="296" t="n"/>
      <c r="L2" s="296" t="n"/>
      <c r="M2" s="296" t="n"/>
      <c r="N2" s="296" t="n"/>
    </row>
    <row r="3" s="324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89">
      <c r="A4" s="347" t="inlineStr">
        <is>
          <t>Расчет стоимости СМР и оборудования</t>
        </is>
      </c>
    </row>
    <row r="5" ht="12.75" customFormat="1" customHeight="1" s="289">
      <c r="A5" s="347" t="n"/>
      <c r="B5" s="347" t="n"/>
      <c r="C5" s="395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289">
      <c r="A6" s="207" t="inlineStr">
        <is>
          <t>Наименование разрабатываемого показателя УНЦ</t>
        </is>
      </c>
      <c r="B6" s="206" t="n"/>
      <c r="C6" s="206" t="n"/>
      <c r="D6" s="375" t="inlineStr">
        <is>
          <t>Защитные конструкций ПС Противотаранное устройство</t>
        </is>
      </c>
    </row>
    <row r="7" ht="12.75" customFormat="1" customHeight="1" s="289">
      <c r="A7" s="350" t="inlineStr">
        <is>
          <t>Единица измерения  — 1 ед.</t>
        </is>
      </c>
      <c r="I7" s="367" t="n"/>
      <c r="J7" s="367" t="n"/>
    </row>
    <row r="8" ht="13.7" customFormat="1" customHeight="1" s="289">
      <c r="A8" s="350" t="n"/>
    </row>
    <row r="9" ht="27" customHeight="1" s="324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0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0" t="n"/>
      <c r="K9" s="296" t="n"/>
      <c r="L9" s="296" t="n"/>
      <c r="M9" s="296" t="n"/>
      <c r="N9" s="296" t="n"/>
    </row>
    <row r="10" ht="28.5" customHeight="1" s="324">
      <c r="A10" s="442" t="n"/>
      <c r="B10" s="442" t="n"/>
      <c r="C10" s="442" t="n"/>
      <c r="D10" s="442" t="n"/>
      <c r="E10" s="442" t="n"/>
      <c r="F10" s="372" t="inlineStr">
        <is>
          <t>на ед. изм.</t>
        </is>
      </c>
      <c r="G10" s="372" t="inlineStr">
        <is>
          <t>общая</t>
        </is>
      </c>
      <c r="H10" s="442" t="n"/>
      <c r="I10" s="372" t="inlineStr">
        <is>
          <t>на ед. изм.</t>
        </is>
      </c>
      <c r="J10" s="372" t="inlineStr">
        <is>
          <t>общая</t>
        </is>
      </c>
      <c r="K10" s="296" t="n"/>
      <c r="L10" s="296" t="n"/>
      <c r="M10" s="296" t="n"/>
      <c r="N10" s="296" t="n"/>
    </row>
    <row r="11" s="324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3" t="n">
        <v>9</v>
      </c>
      <c r="J11" s="373" t="n">
        <v>10</v>
      </c>
      <c r="K11" s="296" t="n"/>
      <c r="L11" s="296" t="n"/>
      <c r="M11" s="296" t="n"/>
      <c r="N11" s="296" t="n"/>
    </row>
    <row r="12">
      <c r="A12" s="372" t="n"/>
      <c r="B12" s="361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194" t="n"/>
      <c r="J12" s="194" t="n"/>
    </row>
    <row r="13" ht="25.5" customHeight="1" s="324">
      <c r="A13" s="372" t="n">
        <v>1</v>
      </c>
      <c r="B13" s="259" t="inlineStr">
        <is>
          <t>1-2-6</t>
        </is>
      </c>
      <c r="C13" s="380" t="inlineStr">
        <is>
          <t>Затраты труда рабочих-строителей среднего разряда (2,6)</t>
        </is>
      </c>
      <c r="D13" s="372" t="inlineStr">
        <is>
          <t>чел.-ч.</t>
        </is>
      </c>
      <c r="E13" s="450">
        <f>G13/F13</f>
        <v/>
      </c>
      <c r="F13" s="201" t="n">
        <v>8.24</v>
      </c>
      <c r="G13" s="201">
        <f>Прил.3!H12</f>
        <v/>
      </c>
      <c r="H13" s="203">
        <f>G13/G14</f>
        <v/>
      </c>
      <c r="I13" s="201">
        <f>ФОТр.тек.!E13</f>
        <v/>
      </c>
      <c r="J13" s="201">
        <f>ROUND(I13*E13,2)</f>
        <v/>
      </c>
    </row>
    <row r="14" ht="25.5" customFormat="1" customHeight="1" s="296">
      <c r="A14" s="372" t="n"/>
      <c r="B14" s="372" t="n"/>
      <c r="C14" s="361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50">
        <f>SUM(E13:E13)</f>
        <v/>
      </c>
      <c r="F14" s="201" t="n"/>
      <c r="G14" s="201">
        <f>SUM(G13:G13)</f>
        <v/>
      </c>
      <c r="H14" s="383" t="n">
        <v>1</v>
      </c>
      <c r="I14" s="194" t="n"/>
      <c r="J14" s="201">
        <f>SUM(J13:J13)</f>
        <v/>
      </c>
    </row>
    <row r="15" ht="14.25" customFormat="1" customHeight="1" s="296">
      <c r="A15" s="372" t="n"/>
      <c r="B15" s="380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194" t="n"/>
      <c r="J15" s="194" t="n"/>
    </row>
    <row r="16" ht="14.25" customFormat="1" customHeight="1" s="296">
      <c r="A16" s="372" t="n">
        <v>2</v>
      </c>
      <c r="B16" s="372" t="n">
        <v>2</v>
      </c>
      <c r="C16" s="380" t="inlineStr">
        <is>
          <t>Затраты труда машинистов</t>
        </is>
      </c>
      <c r="D16" s="372" t="inlineStr">
        <is>
          <t>чел.-ч.</t>
        </is>
      </c>
      <c r="E16" s="451">
        <f>Прил.3!F15</f>
        <v/>
      </c>
      <c r="F16" s="201">
        <f>G16/E16</f>
        <v/>
      </c>
      <c r="G16" s="201">
        <f>Прил.3!H14</f>
        <v/>
      </c>
      <c r="H16" s="383" t="n">
        <v>1</v>
      </c>
      <c r="I16" s="201">
        <f>ROUND(F16*Прил.10!D11,2)</f>
        <v/>
      </c>
      <c r="J16" s="201">
        <f>ROUND(I16*E16,2)</f>
        <v/>
      </c>
    </row>
    <row r="17" ht="14.25" customFormat="1" customHeight="1" s="296">
      <c r="A17" s="372" t="n"/>
      <c r="B17" s="361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194" t="n"/>
      <c r="J17" s="194" t="n"/>
    </row>
    <row r="18" ht="14.25" customFormat="1" customHeight="1" s="296">
      <c r="A18" s="372" t="n"/>
      <c r="B18" s="380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194" t="n"/>
      <c r="J18" s="194" t="n"/>
    </row>
    <row r="19" ht="25.5" customFormat="1" customHeight="1" s="296">
      <c r="A19" s="372" t="n">
        <v>3</v>
      </c>
      <c r="B19" s="259" t="inlineStr">
        <is>
          <t>91.05.13-001</t>
        </is>
      </c>
      <c r="C19" s="380" t="inlineStr">
        <is>
          <t>Автомобили бортовые, грузоподъемность до 6 т, с краном-манипулятором-4,0 т</t>
        </is>
      </c>
      <c r="D19" s="372" t="inlineStr">
        <is>
          <t>маш.-ч</t>
        </is>
      </c>
      <c r="E19" s="452" t="n">
        <v>0.51</v>
      </c>
      <c r="F19" s="382" t="n">
        <v>288.03</v>
      </c>
      <c r="G19" s="201">
        <f>ROUND(E19*F19,2)</f>
        <v/>
      </c>
      <c r="H19" s="203">
        <f>G19/$G$24</f>
        <v/>
      </c>
      <c r="I19" s="201">
        <f>ROUND(F19*Прил.10!$D$12,2)</f>
        <v/>
      </c>
      <c r="J19" s="201">
        <f>ROUND(I19*E19,2)</f>
        <v/>
      </c>
    </row>
    <row r="20" ht="25.5" customFormat="1" customHeight="1" s="296">
      <c r="A20" s="372" t="n">
        <v>4</v>
      </c>
      <c r="B20" s="259" t="inlineStr">
        <is>
          <t>91.07.03-003</t>
        </is>
      </c>
      <c r="C20" s="380" t="inlineStr">
        <is>
          <t>Бетоносмесители гравитационные передвижные 330 л</t>
        </is>
      </c>
      <c r="D20" s="372" t="inlineStr">
        <is>
          <t>маш.-ч</t>
        </is>
      </c>
      <c r="E20" s="452" t="n">
        <v>2.36</v>
      </c>
      <c r="F20" s="382" t="n">
        <v>19.55</v>
      </c>
      <c r="G20" s="201">
        <f>ROUND(E20*F20,2)</f>
        <v/>
      </c>
      <c r="H20" s="203">
        <f>G20/$G$24</f>
        <v/>
      </c>
      <c r="I20" s="201">
        <f>ROUND(F20*Прил.10!$D$12,2)</f>
        <v/>
      </c>
      <c r="J20" s="201">
        <f>ROUND(I20*E20,2)</f>
        <v/>
      </c>
    </row>
    <row r="21" ht="14.25" customFormat="1" customHeight="1" s="296">
      <c r="A21" s="372" t="n"/>
      <c r="B21" s="372" t="n"/>
      <c r="C21" s="380" t="inlineStr">
        <is>
          <t>Итого основные машины и механизмы</t>
        </is>
      </c>
      <c r="D21" s="372" t="n"/>
      <c r="E21" s="452" t="n"/>
      <c r="F21" s="201" t="n"/>
      <c r="G21" s="201">
        <f>SUM(G19:G20)</f>
        <v/>
      </c>
      <c r="H21" s="383">
        <f>G21/G24</f>
        <v/>
      </c>
      <c r="I21" s="195" t="n"/>
      <c r="J21" s="201">
        <f>SUM(J19:J20)</f>
        <v/>
      </c>
    </row>
    <row r="22" hidden="1" outlineLevel="1" ht="14.25" customFormat="1" customHeight="1" s="296">
      <c r="A22" s="372" t="n">
        <v>5</v>
      </c>
      <c r="B22" s="259" t="inlineStr">
        <is>
          <t>91.17.04-042</t>
        </is>
      </c>
      <c r="C22" s="380" t="inlineStr">
        <is>
          <t>Аппараты для газовой сварки и резки</t>
        </is>
      </c>
      <c r="D22" s="372" t="inlineStr">
        <is>
          <t>маш.-ч</t>
        </is>
      </c>
      <c r="E22" s="452" t="n">
        <v>0.24</v>
      </c>
      <c r="F22" s="382" t="n">
        <v>1.2</v>
      </c>
      <c r="G22" s="201">
        <f>ROUND(E22*F22,2)</f>
        <v/>
      </c>
      <c r="H22" s="203">
        <f>G22/$G$24</f>
        <v/>
      </c>
      <c r="I22" s="201">
        <f>ROUND(F22*Прил.10!$D$12,2)</f>
        <v/>
      </c>
      <c r="J22" s="201">
        <f>ROUND(I22*E22,2)</f>
        <v/>
      </c>
    </row>
    <row r="23" collapsed="1" ht="14.25" customFormat="1" customHeight="1" s="296">
      <c r="A23" s="372" t="n"/>
      <c r="B23" s="372" t="n"/>
      <c r="C23" s="380" t="inlineStr">
        <is>
          <t>Итого прочие машины и механизмы</t>
        </is>
      </c>
      <c r="D23" s="372" t="n"/>
      <c r="E23" s="381" t="n"/>
      <c r="F23" s="201" t="n"/>
      <c r="G23" s="195">
        <f>SUM(G22:G22)</f>
        <v/>
      </c>
      <c r="H23" s="203">
        <f>G23/G24</f>
        <v/>
      </c>
      <c r="I23" s="201" t="n"/>
      <c r="J23" s="201">
        <f>SUM(J22:J22)</f>
        <v/>
      </c>
    </row>
    <row r="24" ht="25.5" customFormat="1" customHeight="1" s="296">
      <c r="A24" s="372" t="n"/>
      <c r="B24" s="372" t="n"/>
      <c r="C24" s="361" t="inlineStr">
        <is>
          <t>Итого по разделу «Машины и механизмы»</t>
        </is>
      </c>
      <c r="D24" s="372" t="n"/>
      <c r="E24" s="381" t="n"/>
      <c r="F24" s="201" t="n"/>
      <c r="G24" s="201">
        <f>G23+G21</f>
        <v/>
      </c>
      <c r="H24" s="188" t="n">
        <v>1</v>
      </c>
      <c r="I24" s="189" t="n"/>
      <c r="J24" s="215">
        <f>J23+J21</f>
        <v/>
      </c>
    </row>
    <row r="25" ht="14.25" customFormat="1" customHeight="1" s="296">
      <c r="A25" s="372" t="n"/>
      <c r="B25" s="361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194" t="n"/>
      <c r="J25" s="194" t="n"/>
    </row>
    <row r="26">
      <c r="A26" s="372" t="n"/>
      <c r="B26" s="380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194" t="n"/>
      <c r="J26" s="194" t="n"/>
      <c r="K26" s="296" t="n"/>
      <c r="L26" s="296" t="n"/>
    </row>
    <row r="27">
      <c r="A27" s="372" t="n"/>
      <c r="B27" s="372" t="n"/>
      <c r="C27" s="380" t="inlineStr">
        <is>
          <t>Итого основное оборудование</t>
        </is>
      </c>
      <c r="D27" s="372" t="n"/>
      <c r="E27" s="452" t="n"/>
      <c r="F27" s="382" t="n"/>
      <c r="G27" s="201" t="n">
        <v>0</v>
      </c>
      <c r="H27" s="203" t="n">
        <v>0</v>
      </c>
      <c r="I27" s="195" t="n"/>
      <c r="J27" s="201" t="n">
        <v>0</v>
      </c>
      <c r="K27" s="296" t="n"/>
      <c r="L27" s="296" t="n"/>
    </row>
    <row r="28">
      <c r="A28" s="372" t="n"/>
      <c r="B28" s="372" t="n"/>
      <c r="C28" s="380" t="inlineStr">
        <is>
          <t>Итого прочее оборудование</t>
        </is>
      </c>
      <c r="D28" s="280" t="n"/>
      <c r="E28" s="452" t="n"/>
      <c r="F28" s="382" t="n"/>
      <c r="G28" s="201" t="n">
        <v>0</v>
      </c>
      <c r="H28" s="203" t="n">
        <v>0</v>
      </c>
      <c r="I28" s="195" t="n"/>
      <c r="J28" s="201" t="n">
        <v>0</v>
      </c>
      <c r="K28" s="296" t="n"/>
      <c r="L28" s="296" t="n"/>
    </row>
    <row r="29">
      <c r="A29" s="372" t="n"/>
      <c r="B29" s="372" t="n"/>
      <c r="C29" s="361" t="inlineStr">
        <is>
          <t>Итого по разделу «Оборудование»</t>
        </is>
      </c>
      <c r="D29" s="372" t="n"/>
      <c r="E29" s="381" t="n"/>
      <c r="F29" s="382" t="n"/>
      <c r="G29" s="201">
        <f>G27+G28</f>
        <v/>
      </c>
      <c r="H29" s="203" t="n">
        <v>0</v>
      </c>
      <c r="I29" s="195" t="n"/>
      <c r="J29" s="201">
        <f>J27+J28</f>
        <v/>
      </c>
      <c r="K29" s="296" t="n"/>
      <c r="L29" s="296" t="n"/>
    </row>
    <row r="30" ht="25.5" customHeight="1" s="324">
      <c r="A30" s="372" t="n"/>
      <c r="B30" s="372" t="n"/>
      <c r="C30" s="380" t="inlineStr">
        <is>
          <t>в том числе технологическое оборудование</t>
        </is>
      </c>
      <c r="D30" s="372" t="n"/>
      <c r="E30" s="452" t="n"/>
      <c r="F30" s="382" t="n"/>
      <c r="G30" s="201">
        <f>'Прил.6 Расчет ОБ'!G12</f>
        <v/>
      </c>
      <c r="H30" s="383" t="n"/>
      <c r="I30" s="195" t="n"/>
      <c r="J30" s="201">
        <f>J29</f>
        <v/>
      </c>
      <c r="K30" s="296" t="n"/>
      <c r="L30" s="296" t="n"/>
    </row>
    <row r="31" ht="14.25" customFormat="1" customHeight="1" s="296">
      <c r="A31" s="372" t="n"/>
      <c r="B31" s="361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194" t="n"/>
      <c r="J31" s="194" t="n"/>
    </row>
    <row r="32" ht="14.25" customFormat="1" customHeight="1" s="296">
      <c r="A32" s="373" t="n"/>
      <c r="B32" s="376" t="inlineStr">
        <is>
          <t>Основные материалы</t>
        </is>
      </c>
      <c r="C32" s="453" t="n"/>
      <c r="D32" s="453" t="n"/>
      <c r="E32" s="453" t="n"/>
      <c r="F32" s="453" t="n"/>
      <c r="G32" s="453" t="n"/>
      <c r="H32" s="454" t="n"/>
      <c r="I32" s="209" t="n"/>
      <c r="J32" s="209" t="n"/>
    </row>
    <row r="33" ht="38.25" customFormat="1" customHeight="1" s="296">
      <c r="A33" s="372" t="n">
        <v>6</v>
      </c>
      <c r="B33" s="372" t="inlineStr">
        <is>
          <t>БЦ.92_4.14</t>
        </is>
      </c>
      <c r="C33" s="380" t="inlineStr">
        <is>
          <t>Противотаранное дорожное заградительное устройство 4,0 м</t>
        </is>
      </c>
      <c r="D33" s="372" t="inlineStr">
        <is>
          <t>компл.</t>
        </is>
      </c>
      <c r="E33" s="452" t="n">
        <v>4</v>
      </c>
      <c r="F33" s="455">
        <f>ROUND(I33/Прил.10!$D$13,2)</f>
        <v/>
      </c>
      <c r="G33" s="201">
        <f>ROUND(E33*F33,2)</f>
        <v/>
      </c>
      <c r="H33" s="203">
        <f>G33/$G$43</f>
        <v/>
      </c>
      <c r="I33" s="270" t="n">
        <v>834361.62</v>
      </c>
      <c r="J33" s="201">
        <f>ROUND(I33*E33,2)</f>
        <v/>
      </c>
    </row>
    <row r="34" ht="14.25" customFormat="1" customHeight="1" s="296">
      <c r="A34" s="374" t="n"/>
      <c r="B34" s="211" t="n"/>
      <c r="C34" s="212" t="inlineStr">
        <is>
          <t>Итого основные материалы</t>
        </is>
      </c>
      <c r="D34" s="374" t="n"/>
      <c r="E34" s="456" t="n"/>
      <c r="F34" s="215" t="n"/>
      <c r="G34" s="215">
        <f>SUM(G33)</f>
        <v/>
      </c>
      <c r="H34" s="203">
        <f>G34/$G$43</f>
        <v/>
      </c>
      <c r="I34" s="201" t="n"/>
      <c r="J34" s="215">
        <f>SUM(J33)</f>
        <v/>
      </c>
    </row>
    <row r="35" ht="25.5" customFormat="1" customHeight="1" s="296">
      <c r="A35" s="372" t="n">
        <v>7</v>
      </c>
      <c r="B35" s="259" t="inlineStr">
        <is>
          <t>04.1.02.01-0001</t>
        </is>
      </c>
      <c r="C35" s="380" t="inlineStr">
        <is>
          <t>Смеси бетонные мелкозернистого бетона (БСМ), класс В3,5 (М50)</t>
        </is>
      </c>
      <c r="D35" s="372" t="inlineStr">
        <is>
          <t>м3</t>
        </is>
      </c>
      <c r="E35" s="452" t="n">
        <v>2.996</v>
      </c>
      <c r="F35" s="382" t="n">
        <v>413.87</v>
      </c>
      <c r="G35" s="201">
        <f>ROUND(E35*F35,2)</f>
        <v/>
      </c>
      <c r="H35" s="203">
        <f>G35/$G$43</f>
        <v/>
      </c>
      <c r="I35" s="201">
        <f>ROUND(F35*Прил.10!$D$13,2)</f>
        <v/>
      </c>
      <c r="J35" s="201">
        <f>ROUND(I35*E35,2)</f>
        <v/>
      </c>
    </row>
    <row r="36" hidden="1" outlineLevel="1" ht="14.25" customFormat="1" customHeight="1" s="296">
      <c r="A36" s="372" t="n">
        <v>8</v>
      </c>
      <c r="B36" s="259" t="inlineStr">
        <is>
          <t>01.7.15.02-0051</t>
        </is>
      </c>
      <c r="C36" s="380" t="inlineStr">
        <is>
          <t>Болты анкерные</t>
        </is>
      </c>
      <c r="D36" s="372" t="inlineStr">
        <is>
          <t>т</t>
        </is>
      </c>
      <c r="E36" s="452" t="n">
        <v>0.0025</v>
      </c>
      <c r="F36" s="382" t="n">
        <v>10068</v>
      </c>
      <c r="G36" s="201">
        <f>ROUND(E36*F36,2)</f>
        <v/>
      </c>
      <c r="H36" s="203">
        <f>G36/$G$43</f>
        <v/>
      </c>
      <c r="I36" s="201">
        <f>ROUND(F36*Прил.10!$D$13,2)</f>
        <v/>
      </c>
      <c r="J36" s="201">
        <f>ROUND(I36*E36,2)</f>
        <v/>
      </c>
    </row>
    <row r="37" hidden="1" outlineLevel="1" ht="38.25" customFormat="1" customHeight="1" s="296">
      <c r="A37" s="372" t="n">
        <v>9</v>
      </c>
      <c r="B37" s="259" t="inlineStr">
        <is>
          <t>11.1.03.06-0087</t>
        </is>
      </c>
      <c r="C37" s="380" t="inlineStr">
        <is>
          <t>Доска обрезная, хвойных пород, ширина 75-150 мм, толщина 25 мм, длина 4-6,5 м, сорт III</t>
        </is>
      </c>
      <c r="D37" s="372" t="inlineStr">
        <is>
          <t>м3</t>
        </is>
      </c>
      <c r="E37" s="452" t="n">
        <v>0.0201</v>
      </c>
      <c r="F37" s="382" t="n">
        <v>1100</v>
      </c>
      <c r="G37" s="201">
        <f>ROUND(E37*F37,2)</f>
        <v/>
      </c>
      <c r="H37" s="203">
        <f>G37/$G$43</f>
        <v/>
      </c>
      <c r="I37" s="201">
        <f>ROUND(F37*Прил.10!$D$13,2)</f>
        <v/>
      </c>
      <c r="J37" s="201">
        <f>ROUND(I37*E37,2)</f>
        <v/>
      </c>
    </row>
    <row r="38" hidden="1" outlineLevel="1" ht="14.25" customFormat="1" customHeight="1" s="296">
      <c r="A38" s="372" t="n">
        <v>10</v>
      </c>
      <c r="B38" s="259" t="inlineStr">
        <is>
          <t>01.7.15.06-0111</t>
        </is>
      </c>
      <c r="C38" s="380" t="inlineStr">
        <is>
          <t>Гвозди строительные</t>
        </is>
      </c>
      <c r="D38" s="372" t="inlineStr">
        <is>
          <t>т</t>
        </is>
      </c>
      <c r="E38" s="452" t="n">
        <v>0.0007</v>
      </c>
      <c r="F38" s="382" t="n">
        <v>11978</v>
      </c>
      <c r="G38" s="201">
        <f>ROUND(E38*F38,2)</f>
        <v/>
      </c>
      <c r="H38" s="203">
        <f>G38/$G$43</f>
        <v/>
      </c>
      <c r="I38" s="201">
        <f>ROUND(F38*Прил.10!$D$13,2)</f>
        <v/>
      </c>
      <c r="J38" s="201">
        <f>ROUND(I38*E38,2)</f>
        <v/>
      </c>
    </row>
    <row r="39" hidden="1" outlineLevel="1" ht="14.25" customFormat="1" customHeight="1" s="296">
      <c r="A39" s="372" t="n">
        <v>11</v>
      </c>
      <c r="B39" s="259" t="inlineStr">
        <is>
          <t>14.4.03.03-0002</t>
        </is>
      </c>
      <c r="C39" s="380" t="inlineStr">
        <is>
          <t>Лак битумный БТ-123</t>
        </is>
      </c>
      <c r="D39" s="372" t="inlineStr">
        <is>
          <t>т</t>
        </is>
      </c>
      <c r="E39" s="452" t="n">
        <v>0.0007</v>
      </c>
      <c r="F39" s="382" t="n">
        <v>7826.9</v>
      </c>
      <c r="G39" s="201">
        <f>ROUND(E39*F39,2)</f>
        <v/>
      </c>
      <c r="H39" s="203">
        <f>G39/$G$43</f>
        <v/>
      </c>
      <c r="I39" s="201">
        <f>ROUND(F39*Прил.10!$D$13,2)</f>
        <v/>
      </c>
      <c r="J39" s="201">
        <f>ROUND(I39*E39,2)</f>
        <v/>
      </c>
    </row>
    <row r="40" hidden="1" outlineLevel="1" ht="14.25" customFormat="1" customHeight="1" s="296">
      <c r="A40" s="372" t="n">
        <v>12</v>
      </c>
      <c r="B40" s="259" t="inlineStr">
        <is>
          <t>01.3.02.08-0001</t>
        </is>
      </c>
      <c r="C40" s="380" t="inlineStr">
        <is>
          <t>Кислород газообразный технический</t>
        </is>
      </c>
      <c r="D40" s="372" t="inlineStr">
        <is>
          <t>м3</t>
        </is>
      </c>
      <c r="E40" s="452" t="n">
        <v>0.1192</v>
      </c>
      <c r="F40" s="382" t="n">
        <v>6.22</v>
      </c>
      <c r="G40" s="201">
        <f>ROUND(E40*F40,2)</f>
        <v/>
      </c>
      <c r="H40" s="203">
        <f>G40/$G$43</f>
        <v/>
      </c>
      <c r="I40" s="201">
        <f>ROUND(F40*Прил.10!$D$13,2)</f>
        <v/>
      </c>
      <c r="J40" s="201">
        <f>ROUND(I40*E40,2)</f>
        <v/>
      </c>
    </row>
    <row r="41" hidden="1" outlineLevel="1" ht="14.25" customFormat="1" customHeight="1" s="296">
      <c r="A41" s="372" t="n">
        <v>13</v>
      </c>
      <c r="B41" s="259" t="inlineStr">
        <is>
          <t>01.3.02.09-0022</t>
        </is>
      </c>
      <c r="C41" s="380" t="inlineStr">
        <is>
          <t>Пропан-бутан смесь техническая</t>
        </is>
      </c>
      <c r="D41" s="372" t="inlineStr">
        <is>
          <t>кг</t>
        </is>
      </c>
      <c r="E41" s="452" t="n">
        <v>0.0291</v>
      </c>
      <c r="F41" s="382" t="n">
        <v>6.09</v>
      </c>
      <c r="G41" s="201">
        <f>ROUND(E41*F41,2)</f>
        <v/>
      </c>
      <c r="H41" s="203">
        <f>G41/$G$43</f>
        <v/>
      </c>
      <c r="I41" s="201">
        <f>ROUND(F41*Прил.10!$D$13,2)</f>
        <v/>
      </c>
      <c r="J41" s="201">
        <f>ROUND(I41*E41,2)</f>
        <v/>
      </c>
    </row>
    <row r="42" collapsed="1" ht="14.25" customFormat="1" customHeight="1" s="296">
      <c r="A42" s="372" t="n"/>
      <c r="B42" s="372" t="n"/>
      <c r="C42" s="380" t="inlineStr">
        <is>
          <t>Итого прочие материалы</t>
        </is>
      </c>
      <c r="D42" s="372" t="n"/>
      <c r="E42" s="452" t="n"/>
      <c r="F42" s="382" t="n"/>
      <c r="G42" s="201">
        <f>SUM(G35:G41)</f>
        <v/>
      </c>
      <c r="H42" s="203">
        <f>G42/$G$43</f>
        <v/>
      </c>
      <c r="I42" s="201" t="n"/>
      <c r="J42" s="201">
        <f>SUM(J35:J41)</f>
        <v/>
      </c>
    </row>
    <row r="43" ht="14.25" customFormat="1" customHeight="1" s="296">
      <c r="A43" s="372" t="n"/>
      <c r="B43" s="372" t="n"/>
      <c r="C43" s="361" t="inlineStr">
        <is>
          <t>Итого по разделу «Материалы»</t>
        </is>
      </c>
      <c r="D43" s="372" t="n"/>
      <c r="E43" s="381" t="n"/>
      <c r="F43" s="382" t="n"/>
      <c r="G43" s="201">
        <f>G34+G42</f>
        <v/>
      </c>
      <c r="H43" s="383">
        <f>G43/$G$43</f>
        <v/>
      </c>
      <c r="I43" s="201" t="n"/>
      <c r="J43" s="201">
        <f>J34+J42</f>
        <v/>
      </c>
    </row>
    <row r="44" ht="14.25" customFormat="1" customHeight="1" s="296">
      <c r="A44" s="372" t="n"/>
      <c r="B44" s="372" t="n"/>
      <c r="C44" s="380" t="inlineStr">
        <is>
          <t>ИТОГО ПО РМ</t>
        </is>
      </c>
      <c r="D44" s="372" t="n"/>
      <c r="E44" s="381" t="n"/>
      <c r="F44" s="382" t="n"/>
      <c r="G44" s="201">
        <f>G14+G24+G43</f>
        <v/>
      </c>
      <c r="H44" s="383" t="n"/>
      <c r="I44" s="201" t="n"/>
      <c r="J44" s="201">
        <f>J14+J24+J43</f>
        <v/>
      </c>
    </row>
    <row r="45" ht="14.25" customFormat="1" customHeight="1" s="296">
      <c r="A45" s="372" t="n"/>
      <c r="B45" s="372" t="n"/>
      <c r="C45" s="380" t="inlineStr">
        <is>
          <t>Накладные расходы</t>
        </is>
      </c>
      <c r="D45" s="197">
        <f>ROUND(G45/(G$16+$G$14),2)</f>
        <v/>
      </c>
      <c r="E45" s="381" t="n"/>
      <c r="F45" s="382" t="n"/>
      <c r="G45" s="201" t="n">
        <v>435.85</v>
      </c>
      <c r="H45" s="383" t="n"/>
      <c r="I45" s="201" t="n"/>
      <c r="J45" s="201">
        <f>ROUND(D45*(J14+J16),2)</f>
        <v/>
      </c>
    </row>
    <row r="46" ht="14.25" customFormat="1" customHeight="1" s="296">
      <c r="A46" s="372" t="n"/>
      <c r="B46" s="372" t="n"/>
      <c r="C46" s="380" t="inlineStr">
        <is>
          <t>Сметная прибыль</t>
        </is>
      </c>
      <c r="D46" s="197">
        <f>ROUND(G46/(G$14+G$16),2)</f>
        <v/>
      </c>
      <c r="E46" s="381" t="n"/>
      <c r="F46" s="382" t="n"/>
      <c r="G46" s="201" t="n">
        <v>413.23</v>
      </c>
      <c r="H46" s="383" t="n"/>
      <c r="I46" s="201" t="n"/>
      <c r="J46" s="201">
        <f>ROUND(D46*(J14+J16),2)</f>
        <v/>
      </c>
    </row>
    <row r="47" ht="14.25" customFormat="1" customHeight="1" s="296">
      <c r="A47" s="372" t="n"/>
      <c r="B47" s="372" t="n"/>
      <c r="C47" s="380" t="inlineStr">
        <is>
          <t>Итого СМР (с НР и СП)</t>
        </is>
      </c>
      <c r="D47" s="372" t="n"/>
      <c r="E47" s="381" t="n"/>
      <c r="F47" s="382" t="n"/>
      <c r="G47" s="201">
        <f>G14+G24+G43+G45+G46</f>
        <v/>
      </c>
      <c r="H47" s="383" t="n"/>
      <c r="I47" s="201" t="n"/>
      <c r="J47" s="201">
        <f>J14+J24+J43+J45+J46</f>
        <v/>
      </c>
    </row>
    <row r="48" ht="14.25" customFormat="1" customHeight="1" s="296">
      <c r="A48" s="372" t="n"/>
      <c r="B48" s="372" t="n"/>
      <c r="C48" s="380" t="inlineStr">
        <is>
          <t>ВСЕГО СМР + ОБОРУДОВАНИЕ</t>
        </is>
      </c>
      <c r="D48" s="372" t="n"/>
      <c r="E48" s="381" t="n"/>
      <c r="F48" s="382" t="n"/>
      <c r="G48" s="201">
        <f>G47+G29</f>
        <v/>
      </c>
      <c r="H48" s="383" t="n"/>
      <c r="I48" s="201" t="n"/>
      <c r="J48" s="201">
        <f>J47+J29</f>
        <v/>
      </c>
    </row>
    <row r="49" ht="34.5" customFormat="1" customHeight="1" s="296">
      <c r="A49" s="372" t="n"/>
      <c r="B49" s="372" t="n"/>
      <c r="C49" s="380" t="inlineStr">
        <is>
          <t>ИТОГО ПОКАЗАТЕЛЬ НА ЕД. ИЗМ.</t>
        </is>
      </c>
      <c r="D49" s="372" t="inlineStr">
        <is>
          <t>1 ед.</t>
        </is>
      </c>
      <c r="E49" s="381" t="n">
        <v>4</v>
      </c>
      <c r="F49" s="382" t="n"/>
      <c r="G49" s="201">
        <f>G48/E49</f>
        <v/>
      </c>
      <c r="H49" s="383" t="n"/>
      <c r="I49" s="201" t="n"/>
      <c r="J49" s="201">
        <f>J48/E49</f>
        <v/>
      </c>
    </row>
    <row r="51" ht="14.25" customFormat="1" customHeight="1" s="296">
      <c r="A51" s="289" t="inlineStr">
        <is>
          <t>Составил ______________________    Д.Ю. Нефедова</t>
        </is>
      </c>
    </row>
    <row r="52" ht="14.25" customFormat="1" customHeight="1" s="296">
      <c r="A52" s="297" t="inlineStr">
        <is>
          <t xml:space="preserve">                         (подпись, инициалы, фамилия)</t>
        </is>
      </c>
    </row>
    <row r="53" ht="14.25" customFormat="1" customHeight="1" s="296">
      <c r="A53" s="289" t="n"/>
    </row>
    <row r="54" ht="14.25" customFormat="1" customHeight="1" s="296">
      <c r="A54" s="289" t="inlineStr">
        <is>
          <t>Проверил ______________________        А.В. Костянецкая</t>
        </is>
      </c>
    </row>
    <row r="55" ht="14.25" customFormat="1" customHeight="1" s="296">
      <c r="A55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B26:H26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5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C18" sqref="C18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8" t="inlineStr">
        <is>
          <t>Приложение №6</t>
        </is>
      </c>
    </row>
    <row r="2" ht="21.75" customHeight="1" s="324">
      <c r="A2" s="388" t="n"/>
      <c r="B2" s="388" t="n"/>
      <c r="C2" s="388" t="n"/>
      <c r="D2" s="388" t="n"/>
      <c r="E2" s="388" t="n"/>
      <c r="F2" s="388" t="n"/>
      <c r="G2" s="388" t="n"/>
    </row>
    <row r="3">
      <c r="A3" s="347" t="inlineStr">
        <is>
          <t>Расчет стоимости оборудования</t>
        </is>
      </c>
    </row>
    <row r="4" ht="25.5" customHeight="1" s="324">
      <c r="A4" s="350" t="inlineStr">
        <is>
          <t>Наименование разрабатываемого показателя УНЦ — Защитные конструкций ПС Противотаранное устройство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.2" customHeight="1" s="324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4">
      <c r="A9" s="231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4">
      <c r="A10" s="372" t="n"/>
      <c r="B10" s="361" t="n"/>
      <c r="C10" s="380" t="inlineStr">
        <is>
          <t>ИТОГО ИНЖЕНЕРНОЕ ОБОРУДОВАНИЕ</t>
        </is>
      </c>
      <c r="D10" s="361" t="n"/>
      <c r="E10" s="142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4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1" t="n">
        <v>0</v>
      </c>
    </row>
    <row r="13" ht="19.5" customHeight="1" s="324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1">
        <f>G10+G12</f>
        <v/>
      </c>
    </row>
    <row r="14">
      <c r="A14" s="294" t="n"/>
      <c r="B14" s="295" t="n"/>
      <c r="C14" s="294" t="n"/>
      <c r="D14" s="294" t="n"/>
      <c r="E14" s="294" t="n"/>
      <c r="F14" s="294" t="n"/>
      <c r="G14" s="294" t="n"/>
    </row>
    <row r="15">
      <c r="A15" s="289" t="inlineStr">
        <is>
          <t>Составил ______________________    Д.Ю. Нефедова</t>
        </is>
      </c>
      <c r="B15" s="296" t="n"/>
      <c r="C15" s="296" t="n"/>
      <c r="D15" s="294" t="n"/>
      <c r="E15" s="294" t="n"/>
      <c r="F15" s="294" t="n"/>
      <c r="G15" s="294" t="n"/>
    </row>
    <row r="16">
      <c r="A16" s="297" t="inlineStr">
        <is>
          <t xml:space="preserve">                         (подпись, инициалы, фамилия)</t>
        </is>
      </c>
      <c r="B16" s="296" t="n"/>
      <c r="C16" s="296" t="n"/>
      <c r="D16" s="294" t="n"/>
      <c r="E16" s="294" t="n"/>
      <c r="F16" s="294" t="n"/>
      <c r="G16" s="294" t="n"/>
    </row>
    <row r="17">
      <c r="A17" s="289" t="n"/>
      <c r="B17" s="296" t="n"/>
      <c r="C17" s="296" t="n"/>
      <c r="D17" s="294" t="n"/>
      <c r="E17" s="294" t="n"/>
      <c r="F17" s="294" t="n"/>
      <c r="G17" s="294" t="n"/>
    </row>
    <row r="18">
      <c r="A18" s="289" t="inlineStr">
        <is>
          <t>Проверил ______________________        А.В. Костянецкая</t>
        </is>
      </c>
      <c r="B18" s="296" t="n"/>
      <c r="C18" s="296" t="n"/>
      <c r="D18" s="294" t="n"/>
      <c r="E18" s="294" t="n"/>
      <c r="F18" s="294" t="n"/>
      <c r="G18" s="294" t="n"/>
    </row>
    <row r="19">
      <c r="A19" s="297" t="inlineStr">
        <is>
          <t xml:space="preserve">                        (подпись, инициалы, фамилия)</t>
        </is>
      </c>
      <c r="B19" s="296" t="n"/>
      <c r="C19" s="296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4" min="1" max="1"/>
    <col width="29.5703125" customWidth="1" style="324" min="2" max="2"/>
    <col width="39.140625" customWidth="1" style="324" min="3" max="3"/>
    <col width="48.140625" customWidth="1" style="324" min="4" max="4"/>
    <col width="8.85546875" customWidth="1" style="324" min="5" max="5"/>
  </cols>
  <sheetData>
    <row r="1">
      <c r="B1" s="289" t="n"/>
      <c r="C1" s="289" t="n"/>
      <c r="D1" s="388" t="inlineStr">
        <is>
          <t>Приложение №7</t>
        </is>
      </c>
    </row>
    <row r="2">
      <c r="A2" s="388" t="n"/>
      <c r="B2" s="388" t="n"/>
      <c r="C2" s="388" t="n"/>
      <c r="D2" s="388" t="n"/>
    </row>
    <row r="3" ht="24.75" customHeight="1" s="324">
      <c r="A3" s="347" t="inlineStr">
        <is>
          <t>Расчет показателя УНЦ</t>
        </is>
      </c>
    </row>
    <row r="4" ht="24.75" customHeight="1" s="324">
      <c r="A4" s="347" t="n"/>
      <c r="B4" s="347" t="n"/>
      <c r="C4" s="347" t="n"/>
      <c r="D4" s="347" t="n"/>
    </row>
    <row r="5" ht="24.6" customHeight="1" s="324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" customHeight="1" s="324">
      <c r="A6" s="350" t="inlineStr">
        <is>
          <t>Единица измерения  — 1 ед.</t>
        </is>
      </c>
      <c r="D6" s="350" t="n"/>
    </row>
    <row r="7">
      <c r="A7" s="289" t="n"/>
      <c r="B7" s="289" t="n"/>
      <c r="C7" s="289" t="n"/>
      <c r="D7" s="289" t="n"/>
    </row>
    <row r="8" ht="14.45" customHeight="1" s="324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 ht="15" customHeight="1" s="324">
      <c r="A9" s="442" t="n"/>
      <c r="B9" s="442" t="n"/>
      <c r="C9" s="442" t="n"/>
      <c r="D9" s="442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24">
      <c r="A11" s="372" t="inlineStr">
        <is>
          <t>У3-01</t>
        </is>
      </c>
      <c r="B11" s="372" t="inlineStr">
        <is>
          <t xml:space="preserve">УНЦ защитных конструкций ПС </t>
        </is>
      </c>
      <c r="C11" s="291">
        <f>D5</f>
        <v/>
      </c>
      <c r="D11" s="292">
        <f>'Прил.4 РМ'!C41/1000</f>
        <v/>
      </c>
      <c r="E11" s="293" t="n"/>
    </row>
    <row r="12">
      <c r="A12" s="294" t="n"/>
      <c r="B12" s="295" t="n"/>
      <c r="C12" s="294" t="n"/>
      <c r="D12" s="294" t="n"/>
    </row>
    <row r="13">
      <c r="A13" s="289" t="inlineStr">
        <is>
          <t>Составил ______________________      Д.Ю. Нефедова</t>
        </is>
      </c>
      <c r="B13" s="296" t="n"/>
      <c r="C13" s="296" t="n"/>
      <c r="D13" s="294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94" t="n"/>
    </row>
    <row r="15">
      <c r="A15" s="289" t="n"/>
      <c r="B15" s="296" t="n"/>
      <c r="C15" s="296" t="n"/>
      <c r="D15" s="294" t="n"/>
    </row>
    <row r="16">
      <c r="A16" s="289" t="inlineStr">
        <is>
          <t>Проверил ______________________        А.В. Костянецкая</t>
        </is>
      </c>
      <c r="B16" s="296" t="n"/>
      <c r="C16" s="296" t="n"/>
      <c r="D16" s="294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34" sqref="D34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5" t="inlineStr">
        <is>
          <t>Приложение № 10</t>
        </is>
      </c>
    </row>
    <row r="5" ht="18.75" customHeight="1" s="324">
      <c r="B5" s="166" t="n"/>
    </row>
    <row r="6" ht="15.75" customHeight="1" s="324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306" t="inlineStr">
        <is>
          <t>Письмо Минстроя России от 23.02.2023г. №9791-ИФ/09 прил.6</t>
        </is>
      </c>
      <c r="D14" s="360" t="n">
        <v>6.26</v>
      </c>
    </row>
    <row r="15" ht="89.4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7" customHeight="1" s="324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69" t="n">
        <v>0.0214</v>
      </c>
    </row>
    <row r="18" ht="31.7" customHeight="1" s="324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69" t="n">
        <v>0.002</v>
      </c>
    </row>
    <row r="19" ht="24" customHeight="1" s="324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69" t="n">
        <v>0.03</v>
      </c>
    </row>
    <row r="20" ht="18.75" customHeight="1" s="324">
      <c r="B20" s="300" t="n"/>
    </row>
    <row r="21" ht="18.75" customHeight="1" s="324">
      <c r="B21" s="300" t="n"/>
    </row>
    <row r="22" ht="18.75" customHeight="1" s="324">
      <c r="B22" s="300" t="n"/>
    </row>
    <row r="23" ht="18.75" customHeight="1" s="324">
      <c r="B23" s="300" t="n"/>
    </row>
    <row r="26">
      <c r="B26" s="289" t="inlineStr">
        <is>
          <t>Составил ______________________        Д.Ю. Нефедова</t>
        </is>
      </c>
      <c r="C26" s="296" t="n"/>
    </row>
    <row r="27">
      <c r="B27" s="297" t="inlineStr">
        <is>
          <t xml:space="preserve">                         (подпись, инициалы, фамилия)</t>
        </is>
      </c>
      <c r="C27" s="296" t="n"/>
    </row>
    <row r="28">
      <c r="B28" s="289" t="n"/>
      <c r="C28" s="296" t="n"/>
    </row>
    <row r="29">
      <c r="B29" s="289" t="inlineStr">
        <is>
          <t>Проверил ______________________        А.В. Костянецкая</t>
        </is>
      </c>
      <c r="C29" s="296" t="n"/>
    </row>
    <row r="30">
      <c r="B30" s="297" t="inlineStr">
        <is>
          <t xml:space="preserve">                        (подпись, инициалы, фамилия)</t>
        </is>
      </c>
      <c r="C30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P17" sqref="P1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8" customHeight="1" s="324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6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6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09.1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1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6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6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336" t="n">
        <v>2.6</v>
      </c>
      <c r="F10" s="333" t="inlineStr">
        <is>
          <t>РТМ</t>
        </is>
      </c>
      <c r="G10" s="335" t="n"/>
    </row>
    <row r="11" ht="78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337" t="n">
        <v>1.146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7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2.45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2025-01-24T12:19:08Z</dcterms:modified>
  <cp:lastModifiedBy>REDMIBOOK</cp:lastModifiedBy>
  <cp:lastPrinted>2023-12-01T12:06:51Z</cp:lastPrinted>
</cp:coreProperties>
</file>