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стоим'!$A$1:$J$24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'Прил.3'!$A$1:$H$74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ОБ'!$A$1:$J$90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7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0" fontId="19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6" fillId="0" borderId="0" applyAlignment="1" pivotButton="0" quotePrefix="0" xfId="0">
      <alignment horizontal="center"/>
    </xf>
    <xf numFmtId="43" fontId="2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4" borderId="1" applyAlignment="1" pivotButton="0" quotePrefix="0" xfId="0">
      <alignment wrapText="1"/>
    </xf>
    <xf numFmtId="0" fontId="1" fillId="4" borderId="1" applyAlignment="1" pivotButton="0" quotePrefix="0" xfId="0">
      <alignment vertical="center" wrapText="1"/>
    </xf>
    <xf numFmtId="0" fontId="16" fillId="0" borderId="5" applyAlignment="1" pivotButton="0" quotePrefix="0" xfId="0">
      <alignment horizontal="center" wrapText="1"/>
    </xf>
    <xf numFmtId="0" fontId="1" fillId="0" borderId="1" applyAlignment="1" pivotButton="0" quotePrefix="0" xfId="0">
      <alignment horizontal="center" wrapText="1"/>
    </xf>
    <xf numFmtId="0" fontId="1" fillId="0" borderId="1" applyAlignment="1" pivotButton="0" quotePrefix="0" xfId="0">
      <alignment horizontal="center" wrapText="1"/>
    </xf>
    <xf numFmtId="0" fontId="1" fillId="4" borderId="1" applyAlignment="1" pivotButton="0" quotePrefix="0" xfId="0">
      <alignment horizontal="center" wrapText="1"/>
    </xf>
    <xf numFmtId="0" fontId="18" fillId="0" borderId="1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10" fontId="20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4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49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3" fontId="16" fillId="0" borderId="1" applyAlignment="1" pivotButton="0" quotePrefix="0" xfId="0">
      <alignment vertical="center" wrapText="1"/>
    </xf>
    <xf numFmtId="167" fontId="16" fillId="0" borderId="0" pivotButton="0" quotePrefix="0" xfId="0"/>
    <xf numFmtId="43" fontId="18" fillId="0" borderId="4" applyAlignment="1" pivotButton="0" quotePrefix="0" xfId="0">
      <alignment vertical="center" wrapText="1"/>
    </xf>
    <xf numFmtId="43" fontId="18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8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8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8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16" fillId="0" borderId="1" applyAlignment="1" pivotButton="0" quotePrefix="0" xfId="0">
      <alignment vertical="center" wrapText="1"/>
    </xf>
    <xf numFmtId="167" fontId="16" fillId="0" borderId="0" pivotButton="0" quotePrefix="0" xfId="0"/>
    <xf numFmtId="43" fontId="18" fillId="0" borderId="4" applyAlignment="1" pivotButton="0" quotePrefix="0" xfId="0">
      <alignment vertical="center" wrapText="1"/>
    </xf>
    <xf numFmtId="43" fontId="18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4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L35"/>
  <sheetViews>
    <sheetView view="pageBreakPreview" topLeftCell="A22" zoomScaleNormal="70" workbookViewId="0">
      <selection activeCell="D29" sqref="D29"/>
    </sheetView>
  </sheetViews>
  <sheetFormatPr baseColWidth="8" defaultColWidth="9.140625" defaultRowHeight="15"/>
  <cols>
    <col width="9.140625" customWidth="1" style="336" min="1" max="2"/>
    <col width="36.85546875" customWidth="1" style="336" min="3" max="3"/>
    <col width="39.42578125" customWidth="1" style="336" min="4" max="4"/>
    <col width="9.140625" customWidth="1" style="336" min="5" max="5"/>
  </cols>
  <sheetData>
    <row r="3" ht="15.6" customHeight="1" s="336">
      <c r="B3" s="371" t="inlineStr">
        <is>
          <t>Приложение № 1</t>
        </is>
      </c>
    </row>
    <row r="4" ht="17.45" customHeight="1" s="336">
      <c r="B4" s="372" t="inlineStr">
        <is>
          <t>Сравнительная таблица отбора объекта-представителя</t>
        </is>
      </c>
    </row>
    <row r="5" ht="91.5" customHeight="1" s="336">
      <c r="B5" s="37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36">
      <c r="B6" s="298" t="n"/>
      <c r="C6" s="298" t="n"/>
      <c r="D6" s="298" t="n"/>
    </row>
    <row r="7" ht="36" customHeight="1" s="336">
      <c r="B7" s="374" t="inlineStr">
        <is>
          <t>Наименование разрабатываемого показателя УНЦ — Откатные (раздвижные, автоматические, противопожарные) ворота .</t>
        </is>
      </c>
    </row>
    <row r="8" ht="15.75" customHeight="1" s="336">
      <c r="B8" s="370" t="inlineStr">
        <is>
          <t>Сопоставимый уровень цен: 4 кв. 2015</t>
        </is>
      </c>
    </row>
    <row r="9" ht="15.6" customHeight="1" s="336">
      <c r="B9" s="370" t="inlineStr">
        <is>
          <t>Единица измерения  — 1 ед</t>
        </is>
      </c>
    </row>
    <row r="10" ht="18" customHeight="1" s="336">
      <c r="B10" s="299" t="n"/>
    </row>
    <row r="11" ht="15.6" customHeight="1" s="336">
      <c r="B11" s="377" t="inlineStr">
        <is>
          <t>№ п/п</t>
        </is>
      </c>
      <c r="C11" s="377" t="inlineStr">
        <is>
          <t>Параметр</t>
        </is>
      </c>
      <c r="D11" s="377" t="inlineStr">
        <is>
          <t xml:space="preserve">Объект-представитель </t>
        </is>
      </c>
    </row>
    <row r="12" ht="46.9" customHeight="1" s="336">
      <c r="B12" s="377" t="n">
        <v>1</v>
      </c>
      <c r="C12" s="350" t="inlineStr">
        <is>
          <t>Наименование объекта-представителя</t>
        </is>
      </c>
      <c r="D12" s="377" t="inlineStr">
        <is>
          <t>Комплексное техничекое перевооружение и реконструкция ПС 500 кВ "Ногинск". Корректировка</t>
        </is>
      </c>
      <c r="E12" s="303" t="n"/>
      <c r="F12" s="303" t="n"/>
      <c r="G12" s="303" t="n"/>
      <c r="H12" s="303" t="n"/>
      <c r="I12" s="303" t="n"/>
      <c r="J12" s="303" t="n"/>
      <c r="K12" s="303" t="n"/>
      <c r="L12" s="303" t="n"/>
    </row>
    <row r="13" ht="31.15" customHeight="1" s="336">
      <c r="B13" s="377" t="n">
        <v>2</v>
      </c>
      <c r="C13" s="350" t="inlineStr">
        <is>
          <t>Наименование субъекта Российской Федерации</t>
        </is>
      </c>
      <c r="D13" s="377" t="inlineStr">
        <is>
          <t>Московская область</t>
        </is>
      </c>
    </row>
    <row r="14" ht="15.6" customHeight="1" s="336">
      <c r="B14" s="377" t="n">
        <v>3</v>
      </c>
      <c r="C14" s="350" t="inlineStr">
        <is>
          <t>Климатический район и подрайон</t>
        </is>
      </c>
      <c r="D14" s="377" t="inlineStr">
        <is>
          <t>IIВ</t>
        </is>
      </c>
    </row>
    <row r="15" ht="15.6" customHeight="1" s="336">
      <c r="B15" s="377" t="n">
        <v>4</v>
      </c>
      <c r="C15" s="350" t="inlineStr">
        <is>
          <t>Мощность объекта</t>
        </is>
      </c>
      <c r="D15" s="377" t="n">
        <v>1</v>
      </c>
    </row>
    <row r="16" ht="93.59999999999999" customHeight="1" s="336">
      <c r="B16" s="377" t="n">
        <v>5</v>
      </c>
      <c r="C16" s="30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7" t="inlineStr">
        <is>
          <t>Ворота автоматические 
(мотор-редуктор - 1 шт)</t>
        </is>
      </c>
    </row>
    <row r="17" ht="78" customHeight="1" s="336">
      <c r="B17" s="377" t="n">
        <v>6</v>
      </c>
      <c r="C17" s="30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5">
        <f>SUM(D18:D21)</f>
        <v/>
      </c>
    </row>
    <row r="18" ht="15.6" customHeight="1" s="336">
      <c r="B18" s="329" t="inlineStr">
        <is>
          <t>6.1</t>
        </is>
      </c>
      <c r="C18" s="350" t="inlineStr">
        <is>
          <t>строительно-монтажные работы</t>
        </is>
      </c>
      <c r="D18" s="325">
        <f>'Прил.2 Расч стоим'!F14+'Прил.2 Расч стоим'!G14</f>
        <v/>
      </c>
    </row>
    <row r="19" ht="15.6" customHeight="1" s="336">
      <c r="B19" s="329" t="inlineStr">
        <is>
          <t>6.2</t>
        </is>
      </c>
      <c r="C19" s="350" t="inlineStr">
        <is>
          <t>оборудование и инвентарь</t>
        </is>
      </c>
      <c r="D19" s="325" t="n"/>
    </row>
    <row r="20" ht="15.6" customHeight="1" s="336">
      <c r="B20" s="329" t="inlineStr">
        <is>
          <t>6.3</t>
        </is>
      </c>
      <c r="C20" s="350" t="inlineStr">
        <is>
          <t>пусконаладочные работы</t>
        </is>
      </c>
      <c r="D20" s="325" t="n"/>
    </row>
    <row r="21" ht="15.6" customHeight="1" s="336">
      <c r="B21" s="329" t="inlineStr">
        <is>
          <t>6.4</t>
        </is>
      </c>
      <c r="C21" s="350" t="inlineStr">
        <is>
          <t>прочие и лимитированные затраты</t>
        </is>
      </c>
      <c r="D21" s="325">
        <f>D18*3.9%*0.8+(D18+D18*3.9%*0.8)*2.1%</f>
        <v/>
      </c>
    </row>
    <row r="22" ht="15.6" customHeight="1" s="336">
      <c r="B22" s="377" t="n">
        <v>7</v>
      </c>
      <c r="C22" s="350" t="inlineStr">
        <is>
          <t>Сопоставимый уровень цен</t>
        </is>
      </c>
      <c r="D22" s="326" t="inlineStr">
        <is>
          <t>4 кв. 2015</t>
        </is>
      </c>
    </row>
    <row r="23" ht="109.15" customHeight="1" s="336">
      <c r="B23" s="377" t="n">
        <v>8</v>
      </c>
      <c r="C23" s="30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5">
        <f>D17</f>
        <v/>
      </c>
    </row>
    <row r="24" ht="46.9" customHeight="1" s="336">
      <c r="B24" s="377" t="n">
        <v>9</v>
      </c>
      <c r="C24" s="305" t="inlineStr">
        <is>
          <t>Приведенная сметная стоимость на единицу мощности, тыс. руб. (строка 8/строку 4)</t>
        </is>
      </c>
      <c r="D24" s="325">
        <f>D23/D15</f>
        <v/>
      </c>
    </row>
    <row r="25" ht="48.2" customHeight="1" s="336">
      <c r="A25" s="338" t="n"/>
      <c r="B25" s="377" t="n">
        <v>10</v>
      </c>
      <c r="C25" s="350" t="inlineStr">
        <is>
          <t>Примечание</t>
        </is>
      </c>
      <c r="D25" s="377" t="n"/>
      <c r="E25" s="338" t="n"/>
      <c r="F25" s="338" t="n"/>
    </row>
    <row r="26" ht="15.6" customHeight="1" s="336">
      <c r="A26" s="338" t="n"/>
      <c r="B26" s="327" t="n"/>
      <c r="C26" s="328" t="n"/>
      <c r="D26" s="328" t="n"/>
      <c r="E26" s="338" t="n"/>
      <c r="F26" s="338" t="n"/>
    </row>
    <row r="27" ht="16.9" customHeight="1" s="336">
      <c r="A27" s="338" t="n"/>
      <c r="B27" s="224" t="n"/>
      <c r="C27" s="338" t="n"/>
      <c r="D27" s="338" t="n"/>
      <c r="E27" s="338" t="n"/>
      <c r="F27" s="338" t="n"/>
    </row>
    <row r="28" ht="15.6" customHeight="1" s="336">
      <c r="A28" s="338" t="n"/>
      <c r="B28" s="338" t="inlineStr">
        <is>
          <t>Составил ______________________    Д.Ю. Нефедова</t>
        </is>
      </c>
      <c r="C28" s="338" t="n"/>
      <c r="D28" s="338" t="n"/>
      <c r="E28" s="338" t="n"/>
      <c r="F28" s="338" t="n"/>
    </row>
    <row r="29" ht="15.6" customHeight="1" s="336">
      <c r="A29" s="338" t="n"/>
      <c r="B29" s="224" t="inlineStr">
        <is>
          <t xml:space="preserve">                         (подпись, инициалы, фамилия)</t>
        </is>
      </c>
      <c r="C29" s="338" t="n"/>
      <c r="D29" s="338" t="n"/>
      <c r="E29" s="338" t="n"/>
      <c r="F29" s="338" t="n"/>
    </row>
    <row r="30" ht="15.6" customHeight="1" s="336">
      <c r="A30" s="338" t="n"/>
      <c r="B30" s="338" t="n"/>
      <c r="C30" s="338" t="n"/>
      <c r="D30" s="338" t="n"/>
      <c r="E30" s="338" t="n"/>
      <c r="F30" s="338" t="n"/>
    </row>
    <row r="31" ht="15.6" customHeight="1" s="336">
      <c r="A31" s="338" t="n"/>
      <c r="B31" s="338" t="inlineStr">
        <is>
          <t>Проверил ______________________        А.В. Костянецкая</t>
        </is>
      </c>
      <c r="C31" s="338" t="n"/>
      <c r="D31" s="338" t="n"/>
      <c r="E31" s="338" t="n"/>
      <c r="F31" s="338" t="n"/>
    </row>
    <row r="32" ht="15.6" customHeight="1" s="336">
      <c r="A32" s="338" t="n"/>
      <c r="B32" s="224" t="inlineStr">
        <is>
          <t xml:space="preserve">                        (подпись, инициалы, фамилия)</t>
        </is>
      </c>
      <c r="C32" s="338" t="n"/>
      <c r="D32" s="338" t="n"/>
      <c r="E32" s="338" t="n"/>
      <c r="F32" s="338" t="n"/>
    </row>
    <row r="33" ht="15.6" customHeight="1" s="336">
      <c r="A33" s="338" t="n"/>
      <c r="B33" s="338" t="n"/>
      <c r="C33" s="338" t="n"/>
      <c r="D33" s="338" t="n"/>
      <c r="E33" s="338" t="n"/>
      <c r="F33" s="338" t="n"/>
    </row>
    <row r="34" ht="15.6" customHeight="1" s="336">
      <c r="A34" s="338" t="n"/>
      <c r="B34" s="338" t="n"/>
      <c r="C34" s="338" t="n"/>
      <c r="D34" s="338" t="n"/>
      <c r="E34" s="338" t="n"/>
      <c r="F34" s="338" t="n"/>
    </row>
    <row r="35" ht="15.6" customHeight="1" s="336">
      <c r="A35" s="338" t="n"/>
      <c r="B35" s="338" t="n"/>
      <c r="C35" s="338" t="n"/>
      <c r="D35" s="338" t="n"/>
      <c r="E35" s="338" t="n"/>
      <c r="F35" s="338" t="n"/>
    </row>
    <row r="36" s="336"/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33"/>
  <sheetViews>
    <sheetView view="pageBreakPreview" zoomScaleNormal="70" workbookViewId="0">
      <selection activeCell="F21" sqref="F21"/>
    </sheetView>
  </sheetViews>
  <sheetFormatPr baseColWidth="8" defaultColWidth="9.140625" defaultRowHeight="15.75"/>
  <cols>
    <col width="5.5703125" customWidth="1" style="338" min="1" max="1"/>
    <col width="9.140625" customWidth="1" style="338" min="2" max="2"/>
    <col width="35.28515625" customWidth="1" style="338" min="3" max="3"/>
    <col width="13.85546875" customWidth="1" style="338" min="4" max="4"/>
    <col width="24.85546875" customWidth="1" style="338" min="5" max="5"/>
    <col width="15.5703125" customWidth="1" style="338" min="6" max="6"/>
    <col width="14.85546875" customWidth="1" style="338" min="7" max="7"/>
    <col width="16.7109375" customWidth="1" style="338" min="8" max="8"/>
    <col width="13" customWidth="1" style="338" min="9" max="10"/>
    <col width="18" customWidth="1" style="338" min="11" max="11"/>
    <col width="9.140625" customWidth="1" style="338" min="12" max="12"/>
  </cols>
  <sheetData>
    <row r="3">
      <c r="B3" s="371" t="inlineStr">
        <is>
          <t>Приложение № 2</t>
        </is>
      </c>
      <c r="K3" s="224" t="n"/>
    </row>
    <row r="4">
      <c r="B4" s="376" t="inlineStr">
        <is>
          <t>Расчет стоимости основных видов работ для выбора объекта-представителя</t>
        </is>
      </c>
    </row>
    <row r="5">
      <c r="B5" s="226" t="n"/>
      <c r="C5" s="226" t="n"/>
      <c r="D5" s="226" t="n"/>
      <c r="E5" s="226" t="n"/>
      <c r="F5" s="226" t="n"/>
      <c r="G5" s="226" t="n"/>
      <c r="H5" s="226" t="n"/>
      <c r="I5" s="226" t="n"/>
      <c r="J5" s="226" t="n"/>
      <c r="K5" s="226" t="n"/>
    </row>
    <row r="6" ht="29.25" customHeight="1" s="336">
      <c r="B6" s="370">
        <f>'Прил.1 Сравнит табл'!B7</f>
        <v/>
      </c>
    </row>
    <row r="7">
      <c r="B7" s="370" t="inlineStr">
        <is>
          <t>Единица измерения  — 1 ед</t>
        </is>
      </c>
    </row>
    <row r="8" ht="18.75" customHeight="1" s="336">
      <c r="B8" s="299" t="n"/>
    </row>
    <row r="9" ht="15.75" customFormat="1" customHeight="1" s="338">
      <c r="B9" s="377" t="inlineStr">
        <is>
          <t>№ п/п</t>
        </is>
      </c>
      <c r="C9" s="37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7" t="inlineStr">
        <is>
          <t>Объект-представитель 1</t>
        </is>
      </c>
      <c r="E9" s="455" t="n"/>
      <c r="F9" s="455" t="n"/>
      <c r="G9" s="455" t="n"/>
      <c r="H9" s="455" t="n"/>
      <c r="I9" s="455" t="n"/>
      <c r="J9" s="456" t="n"/>
    </row>
    <row r="10" ht="15.75" customFormat="1" customHeight="1" s="338">
      <c r="B10" s="457" t="n"/>
      <c r="C10" s="457" t="n"/>
      <c r="D10" s="377" t="inlineStr">
        <is>
          <t>Номер сметы</t>
        </is>
      </c>
      <c r="E10" s="377" t="inlineStr">
        <is>
          <t>Наименование сметы</t>
        </is>
      </c>
      <c r="F10" s="377" t="inlineStr">
        <is>
          <t>Сметная стоимость в уровне цен 4 кв. 2015 г., тыс. руб.</t>
        </is>
      </c>
      <c r="G10" s="455" t="n"/>
      <c r="H10" s="455" t="n"/>
      <c r="I10" s="455" t="n"/>
      <c r="J10" s="456" t="n"/>
    </row>
    <row r="11" ht="31.5" customFormat="1" customHeight="1" s="338">
      <c r="B11" s="458" t="n"/>
      <c r="C11" s="458" t="n"/>
      <c r="D11" s="458" t="n"/>
      <c r="E11" s="458" t="n"/>
      <c r="F11" s="377" t="inlineStr">
        <is>
          <t>Строительные работы</t>
        </is>
      </c>
      <c r="G11" s="377" t="inlineStr">
        <is>
          <t>Монтажные работы</t>
        </is>
      </c>
      <c r="H11" s="377" t="inlineStr">
        <is>
          <t>Оборудование</t>
        </is>
      </c>
      <c r="I11" s="377" t="inlineStr">
        <is>
          <t>Прочее</t>
        </is>
      </c>
      <c r="J11" s="377" t="inlineStr">
        <is>
          <t>Всего</t>
        </is>
      </c>
    </row>
    <row r="12" ht="31.15" customFormat="1" customHeight="1" s="338">
      <c r="B12" s="359" t="n"/>
      <c r="C12" s="377" t="inlineStr">
        <is>
          <t>Ворота автоматические 
(мотор-редуктор - 1 шт)</t>
        </is>
      </c>
      <c r="D12" s="329" t="n"/>
      <c r="E12" s="350" t="n"/>
      <c r="F12" s="459" t="n">
        <v>26.2345</v>
      </c>
      <c r="G12" s="459" t="n">
        <v>51.5083</v>
      </c>
      <c r="H12" s="459" t="n"/>
      <c r="I12" s="459" t="n"/>
      <c r="J12" s="459">
        <f>SUM(F12:I12)</f>
        <v/>
      </c>
      <c r="K12" s="460" t="n"/>
    </row>
    <row r="13" ht="15.6" customFormat="1" customHeight="1" s="338">
      <c r="B13" s="375" t="inlineStr">
        <is>
          <t>Всего по объекту:</t>
        </is>
      </c>
      <c r="C13" s="455" t="n"/>
      <c r="D13" s="455" t="n"/>
      <c r="E13" s="456" t="n"/>
      <c r="F13" s="461">
        <f>SUM(F12:F12)</f>
        <v/>
      </c>
      <c r="G13" s="461">
        <f>SUM(G12:G12)</f>
        <v/>
      </c>
      <c r="H13" s="461">
        <f>SUM(H12:H12)</f>
        <v/>
      </c>
      <c r="I13" s="461">
        <f>SUM(I12:I12)</f>
        <v/>
      </c>
      <c r="J13" s="461">
        <f>SUM(F13:I13)</f>
        <v/>
      </c>
    </row>
    <row r="14" ht="28.5" customFormat="1" customHeight="1" s="338">
      <c r="B14" s="375" t="inlineStr">
        <is>
          <t>Всего по объекту в сопоставимом уровне цен 4 кв. 2015 г:</t>
        </is>
      </c>
      <c r="C14" s="455" t="n"/>
      <c r="D14" s="455" t="n"/>
      <c r="E14" s="456" t="n"/>
      <c r="F14" s="462">
        <f>F13</f>
        <v/>
      </c>
      <c r="G14" s="462">
        <f>G13</f>
        <v/>
      </c>
      <c r="H14" s="462">
        <f>H13</f>
        <v/>
      </c>
      <c r="I14" s="462">
        <f>I13</f>
        <v/>
      </c>
      <c r="J14" s="462">
        <f>SUM(F14:I14)</f>
        <v/>
      </c>
    </row>
    <row r="15" ht="15.6" customFormat="1" customHeight="1" s="338">
      <c r="B15" s="370" t="n"/>
    </row>
    <row r="16" ht="15.6" customFormat="1" customHeight="1" s="338"/>
    <row r="17" ht="15.6" customFormat="1" customHeight="1" s="338"/>
    <row r="18" ht="15.6" customFormat="1" customHeight="1" s="338">
      <c r="C18" s="338" t="inlineStr">
        <is>
          <t>Составил ______________________         Д.Ю. Нефедова</t>
        </is>
      </c>
    </row>
    <row r="19" ht="15.6" customFormat="1" customHeight="1" s="338">
      <c r="C19" s="224" t="inlineStr">
        <is>
          <t xml:space="preserve">                         (подпись, инициалы, фамилия)</t>
        </is>
      </c>
    </row>
    <row r="20" ht="15.6" customFormat="1" customHeight="1" s="338"/>
    <row r="21" ht="15.6" customFormat="1" customHeight="1" s="338">
      <c r="C21" s="338" t="inlineStr">
        <is>
          <t>Проверил ______________________         А.В. Костянецкая</t>
        </is>
      </c>
    </row>
    <row r="22" ht="15.6" customFormat="1" customHeight="1" s="338">
      <c r="C22" s="224" t="inlineStr">
        <is>
          <t xml:space="preserve">                        (подпись, инициалы, фамилия)</t>
        </is>
      </c>
    </row>
    <row r="23" ht="15.6" customFormat="1" customHeight="1" s="338"/>
    <row r="24" ht="14.45" customHeight="1" s="336"/>
    <row r="25" ht="14.45" customHeight="1" s="336"/>
    <row r="26" ht="14.45" customHeight="1" s="336"/>
    <row r="27" ht="15" customHeight="1" s="336">
      <c r="A27" s="338" t="n"/>
      <c r="B27" s="338" t="n"/>
      <c r="C27" s="338" t="n"/>
      <c r="D27" s="338" t="n"/>
      <c r="E27" s="338" t="n"/>
      <c r="F27" s="338" t="n"/>
      <c r="G27" s="338" t="n"/>
      <c r="H27" s="338" t="n"/>
      <c r="I27" s="338" t="n"/>
      <c r="J27" s="338" t="n"/>
      <c r="K27" s="338" t="n"/>
      <c r="L27" s="338" t="n"/>
    </row>
    <row r="28" ht="15" customHeight="1" s="336">
      <c r="A28" s="338" t="n"/>
      <c r="B28" s="338" t="n"/>
      <c r="C28" s="338" t="n"/>
      <c r="D28" s="338" t="n"/>
      <c r="E28" s="338" t="n"/>
      <c r="F28" s="338" t="n"/>
      <c r="G28" s="338" t="n"/>
      <c r="H28" s="338" t="n"/>
      <c r="I28" s="338" t="n"/>
      <c r="J28" s="338" t="n"/>
      <c r="K28" s="338" t="n"/>
      <c r="L28" s="338" t="n"/>
    </row>
    <row r="29" s="336">
      <c r="A29" s="338" t="n"/>
      <c r="B29" s="338" t="n"/>
      <c r="C29" s="338" t="n"/>
      <c r="D29" s="338" t="n"/>
      <c r="E29" s="338" t="n"/>
      <c r="F29" s="338" t="n"/>
      <c r="G29" s="338" t="n"/>
      <c r="H29" s="338" t="n"/>
      <c r="I29" s="338" t="n"/>
      <c r="J29" s="338" t="n"/>
      <c r="K29" s="338" t="n"/>
      <c r="L29" s="338" t="n"/>
    </row>
    <row r="30" s="336">
      <c r="A30" s="338" t="n"/>
      <c r="B30" s="338" t="n"/>
      <c r="C30" s="338" t="n"/>
      <c r="D30" s="338" t="n"/>
      <c r="E30" s="338" t="n"/>
      <c r="F30" s="338" t="n"/>
      <c r="G30" s="338" t="n"/>
      <c r="H30" s="338" t="n"/>
      <c r="I30" s="338" t="n"/>
      <c r="J30" s="338" t="n"/>
      <c r="K30" s="338" t="n"/>
      <c r="L30" s="338" t="n"/>
    </row>
    <row r="31" s="336">
      <c r="A31" s="338" t="n"/>
      <c r="B31" s="338" t="n"/>
      <c r="C31" s="338" t="n"/>
      <c r="D31" s="338" t="n"/>
      <c r="E31" s="338" t="n"/>
      <c r="F31" s="338" t="n"/>
      <c r="G31" s="338" t="n"/>
      <c r="H31" s="338" t="n"/>
      <c r="I31" s="338" t="n"/>
      <c r="J31" s="338" t="n"/>
      <c r="K31" s="338" t="n"/>
      <c r="L31" s="338" t="n"/>
    </row>
    <row r="32" s="336">
      <c r="A32" s="338" t="n"/>
      <c r="B32" s="338" t="n"/>
      <c r="C32" s="338" t="n"/>
      <c r="D32" s="338" t="n"/>
      <c r="E32" s="338" t="n"/>
      <c r="F32" s="338" t="n"/>
      <c r="G32" s="338" t="n"/>
      <c r="H32" s="338" t="n"/>
      <c r="I32" s="338" t="n"/>
      <c r="J32" s="338" t="n"/>
      <c r="K32" s="338" t="n"/>
      <c r="L32" s="338" t="n"/>
    </row>
    <row r="33" s="336">
      <c r="A33" s="338" t="n"/>
      <c r="B33" s="338" t="n"/>
      <c r="C33" s="338" t="n"/>
      <c r="D33" s="338" t="n"/>
      <c r="E33" s="338" t="n"/>
      <c r="F33" s="338" t="n"/>
      <c r="G33" s="338" t="n"/>
      <c r="H33" s="338" t="n"/>
      <c r="I33" s="338" t="n"/>
      <c r="J33" s="338" t="n"/>
      <c r="K33" s="338" t="n"/>
      <c r="L33" s="338" t="n"/>
    </row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O72"/>
  <sheetViews>
    <sheetView view="pageBreakPreview" zoomScaleSheetLayoutView="100" workbookViewId="0">
      <selection activeCell="F103" sqref="F103"/>
    </sheetView>
  </sheetViews>
  <sheetFormatPr baseColWidth="8" defaultColWidth="9.140625" defaultRowHeight="15.75"/>
  <cols>
    <col width="9.140625" customWidth="1" style="338" min="1" max="1"/>
    <col width="12.5703125" customWidth="1" style="338" min="2" max="2"/>
    <col width="22.42578125" customWidth="1" style="338" min="3" max="3"/>
    <col width="49.7109375" customWidth="1" style="338" min="4" max="4"/>
    <col width="10.140625" customWidth="1" style="268" min="5" max="5"/>
    <col width="20.7109375" customWidth="1" style="268" min="6" max="6"/>
    <col width="20" customWidth="1" style="338" min="7" max="7"/>
    <col width="16.7109375" customWidth="1" style="224" min="8" max="8"/>
    <col width="15" customWidth="1" style="336" min="11" max="11"/>
    <col width="9.140625" customWidth="1" style="338" min="15" max="15"/>
  </cols>
  <sheetData>
    <row r="2" s="336">
      <c r="A2" s="338" t="n"/>
      <c r="B2" s="338" t="n"/>
      <c r="C2" s="338" t="n"/>
      <c r="D2" s="338" t="n"/>
      <c r="E2" s="268" t="n"/>
      <c r="F2" s="268" t="n"/>
      <c r="G2" s="338" t="n"/>
      <c r="H2" s="224" t="n"/>
      <c r="O2" s="338" t="n"/>
    </row>
    <row r="3">
      <c r="A3" s="371" t="inlineStr">
        <is>
          <t xml:space="preserve">Приложение № 3 </t>
        </is>
      </c>
    </row>
    <row r="4">
      <c r="A4" s="376" t="inlineStr">
        <is>
          <t>Объектная ресурсная ведомость</t>
        </is>
      </c>
    </row>
    <row r="5" ht="18.75" customHeight="1" s="336">
      <c r="A5" s="372" t="n"/>
      <c r="B5" s="372" t="n"/>
      <c r="C5" s="38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70" t="n"/>
    </row>
    <row r="7">
      <c r="A7" s="383" t="inlineStr">
        <is>
          <t>Наименование разрабатываемого показателя УНЦ -  Защитные конструкций ПС Откатные (раздвижные, автоматические, противопожарные) ворота</t>
        </is>
      </c>
    </row>
    <row r="8">
      <c r="A8" s="383" t="n"/>
      <c r="B8" s="383" t="n"/>
      <c r="C8" s="383" t="n"/>
      <c r="D8" s="383" t="n"/>
      <c r="F8" s="226" t="n"/>
      <c r="G8" s="383" t="n"/>
    </row>
    <row r="9" ht="38.25" customHeight="1" s="336">
      <c r="A9" s="377" t="inlineStr">
        <is>
          <t>п/п</t>
        </is>
      </c>
      <c r="B9" s="377" t="inlineStr">
        <is>
          <t>№ЛСР</t>
        </is>
      </c>
      <c r="C9" s="377" t="inlineStr">
        <is>
          <t>Код ресурса</t>
        </is>
      </c>
      <c r="D9" s="377" t="inlineStr">
        <is>
          <t>Наименование ресурса</t>
        </is>
      </c>
      <c r="E9" s="382" t="inlineStr">
        <is>
          <t>Ед. изм.</t>
        </is>
      </c>
      <c r="F9" s="377" t="inlineStr">
        <is>
          <t>Кол-во единиц по данным объекта-представителя</t>
        </is>
      </c>
      <c r="G9" s="377" t="inlineStr">
        <is>
          <t>Сметная стоимость в ценах на 01.01.2000 (руб.)</t>
        </is>
      </c>
      <c r="H9" s="456" t="n"/>
    </row>
    <row r="10" ht="40.7" customHeight="1" s="336">
      <c r="A10" s="458" t="n"/>
      <c r="B10" s="458" t="n"/>
      <c r="C10" s="458" t="n"/>
      <c r="D10" s="458" t="n"/>
      <c r="E10" s="458" t="n"/>
      <c r="F10" s="458" t="n"/>
      <c r="G10" s="377" t="inlineStr">
        <is>
          <t>на ед.изм.</t>
        </is>
      </c>
      <c r="H10" s="350" t="inlineStr">
        <is>
          <t>общая</t>
        </is>
      </c>
    </row>
    <row r="11">
      <c r="A11" s="355" t="n">
        <v>1</v>
      </c>
      <c r="B11" s="355" t="n"/>
      <c r="C11" s="355" t="n">
        <v>2</v>
      </c>
      <c r="D11" s="355" t="inlineStr">
        <is>
          <t>З</t>
        </is>
      </c>
      <c r="E11" s="275" t="n">
        <v>4</v>
      </c>
      <c r="F11" s="355" t="n">
        <v>5</v>
      </c>
      <c r="G11" s="355" t="n">
        <v>6</v>
      </c>
      <c r="H11" s="270" t="n">
        <v>7</v>
      </c>
    </row>
    <row r="12" customFormat="1" s="229">
      <c r="A12" s="379" t="inlineStr">
        <is>
          <t>Затраты труда рабочих</t>
        </is>
      </c>
      <c r="B12" s="455" t="n"/>
      <c r="C12" s="455" t="n"/>
      <c r="D12" s="455" t="n"/>
      <c r="E12" s="456" t="n"/>
      <c r="F12" s="463">
        <f>SUM(F13:F16)</f>
        <v/>
      </c>
      <c r="G12" s="251" t="n"/>
      <c r="H12" s="464">
        <f>SUM(H13:H16)</f>
        <v/>
      </c>
    </row>
    <row r="13">
      <c r="A13" s="410" t="n">
        <v>1</v>
      </c>
      <c r="B13" s="231" t="n"/>
      <c r="C13" s="260" t="inlineStr">
        <is>
          <t>1-3-8</t>
        </is>
      </c>
      <c r="D13" s="397" t="inlineStr">
        <is>
          <t>Затраты труда рабочих (средний разряд работы 3,8)</t>
        </is>
      </c>
      <c r="E13" s="277" t="inlineStr">
        <is>
          <t>чел.-ч</t>
        </is>
      </c>
      <c r="F13" s="260" t="n">
        <v>30.536</v>
      </c>
      <c r="G13" s="265" t="n">
        <v>9.4</v>
      </c>
      <c r="H13" s="315">
        <f>ROUND(F13*G13,2)</f>
        <v/>
      </c>
    </row>
    <row r="14">
      <c r="A14" s="410" t="n">
        <v>2</v>
      </c>
      <c r="B14" s="231" t="n"/>
      <c r="C14" s="260" t="inlineStr">
        <is>
          <t>1-4-2</t>
        </is>
      </c>
      <c r="D14" s="397" t="inlineStr">
        <is>
          <t>Затраты труда рабочих (средний разряд работы 4,2)</t>
        </is>
      </c>
      <c r="E14" s="277" t="inlineStr">
        <is>
          <t>чел.-ч</t>
        </is>
      </c>
      <c r="F14" s="260" t="n">
        <v>23.22</v>
      </c>
      <c r="G14" s="265" t="n">
        <v>9.92</v>
      </c>
      <c r="H14" s="315">
        <f>ROUND(F14*G14,2)</f>
        <v/>
      </c>
    </row>
    <row r="15">
      <c r="A15" s="410" t="n">
        <v>3</v>
      </c>
      <c r="B15" s="231" t="n"/>
      <c r="C15" s="260" t="inlineStr">
        <is>
          <t>1-4-1</t>
        </is>
      </c>
      <c r="D15" s="397" t="inlineStr">
        <is>
          <t>Затраты труда рабочих (средний разряд работы 4,1)</t>
        </is>
      </c>
      <c r="E15" s="277" t="inlineStr">
        <is>
          <t>чел.-ч</t>
        </is>
      </c>
      <c r="F15" s="260" t="n">
        <v>19.402</v>
      </c>
      <c r="G15" s="265" t="n">
        <v>9.76</v>
      </c>
      <c r="H15" s="315">
        <f>ROUND(F15*G15,2)</f>
        <v/>
      </c>
    </row>
    <row r="16">
      <c r="A16" s="410" t="n">
        <v>4</v>
      </c>
      <c r="B16" s="231" t="n"/>
      <c r="C16" s="260" t="inlineStr">
        <is>
          <t>1-4-0</t>
        </is>
      </c>
      <c r="D16" s="397" t="inlineStr">
        <is>
          <t>Затраты труда рабочих (средний разряд работы 4,0)</t>
        </is>
      </c>
      <c r="E16" s="277" t="inlineStr">
        <is>
          <t>чел.-ч</t>
        </is>
      </c>
      <c r="F16" s="260" t="n">
        <v>19.671</v>
      </c>
      <c r="G16" s="265" t="n">
        <v>9.619999999999999</v>
      </c>
      <c r="H16" s="315">
        <f>ROUND(F16*G16,2)</f>
        <v/>
      </c>
    </row>
    <row r="17">
      <c r="A17" s="378" t="inlineStr">
        <is>
          <t>Затраты труда машинистов</t>
        </is>
      </c>
      <c r="B17" s="455" t="n"/>
      <c r="C17" s="455" t="n"/>
      <c r="D17" s="455" t="n"/>
      <c r="E17" s="456" t="n"/>
      <c r="F17" s="279" t="n"/>
      <c r="G17" s="230" t="n"/>
      <c r="H17" s="464">
        <f>H18</f>
        <v/>
      </c>
    </row>
    <row r="18">
      <c r="A18" s="410" t="n">
        <v>5</v>
      </c>
      <c r="B18" s="380" t="n"/>
      <c r="C18" s="266" t="n">
        <v>2</v>
      </c>
      <c r="D18" s="267" t="inlineStr">
        <is>
          <t>Затраты труда машинистов(справочно)</t>
        </is>
      </c>
      <c r="E18" s="277" t="inlineStr">
        <is>
          <t>чел.-ч</t>
        </is>
      </c>
      <c r="F18" s="410" t="n">
        <v>6.3554</v>
      </c>
      <c r="G18" s="246" t="n"/>
      <c r="H18" s="272" t="n">
        <v>87.90000000000001</v>
      </c>
    </row>
    <row r="19" customFormat="1" s="229">
      <c r="A19" s="379" t="inlineStr">
        <is>
          <t>Машины и механизмы</t>
        </is>
      </c>
      <c r="B19" s="455" t="n"/>
      <c r="C19" s="455" t="n"/>
      <c r="D19" s="455" t="n"/>
      <c r="E19" s="456" t="n"/>
      <c r="F19" s="279" t="n"/>
      <c r="G19" s="230" t="n"/>
      <c r="H19" s="464">
        <f>SUM(H20:H28)</f>
        <v/>
      </c>
    </row>
    <row r="20" ht="25.5" customHeight="1" s="336">
      <c r="A20" s="410" t="n">
        <v>6</v>
      </c>
      <c r="B20" s="380" t="n"/>
      <c r="C20" s="260" t="inlineStr">
        <is>
          <t>91.05.04-010</t>
        </is>
      </c>
      <c r="D20" s="397" t="inlineStr">
        <is>
          <t>Краны мостовые электрические, грузоподъемность 50 т</t>
        </is>
      </c>
      <c r="E20" s="277" t="inlineStr">
        <is>
          <t>маш.-ч</t>
        </is>
      </c>
      <c r="F20" s="260" t="n">
        <v>2.48</v>
      </c>
      <c r="G20" s="399" t="n">
        <v>197.01</v>
      </c>
      <c r="H20" s="315">
        <f>ROUND(F20*G20,2)</f>
        <v/>
      </c>
    </row>
    <row r="21" customFormat="1" s="229">
      <c r="A21" s="410" t="n">
        <v>7</v>
      </c>
      <c r="B21" s="380" t="n"/>
      <c r="C21" s="260" t="inlineStr">
        <is>
          <t>91.05.05-014</t>
        </is>
      </c>
      <c r="D21" s="397" t="inlineStr">
        <is>
          <t>Краны на автомобильном ходу, грузоподъемность 10 т</t>
        </is>
      </c>
      <c r="E21" s="277" t="inlineStr">
        <is>
          <t>маш.-ч</t>
        </is>
      </c>
      <c r="F21" s="260" t="n">
        <v>3.8091</v>
      </c>
      <c r="G21" s="399" t="n">
        <v>111.99</v>
      </c>
      <c r="H21" s="315">
        <f>ROUND(F21*G21,2)</f>
        <v/>
      </c>
    </row>
    <row r="22">
      <c r="A22" s="410" t="n">
        <v>8</v>
      </c>
      <c r="B22" s="380" t="n"/>
      <c r="C22" s="260" t="inlineStr">
        <is>
          <t>91.14.02-001</t>
        </is>
      </c>
      <c r="D22" s="397" t="inlineStr">
        <is>
          <t>Автомобили бортовые, грузоподъемность до 5 т</t>
        </is>
      </c>
      <c r="E22" s="277" t="inlineStr">
        <is>
          <t>маш.-ч</t>
        </is>
      </c>
      <c r="F22" s="260" t="n">
        <v>2.8768</v>
      </c>
      <c r="G22" s="399" t="n">
        <v>65.70999999999999</v>
      </c>
      <c r="H22" s="315">
        <f>ROUND(F22*G22,2)</f>
        <v/>
      </c>
    </row>
    <row r="23" ht="25.5" customHeight="1" s="336">
      <c r="A23" s="410" t="n">
        <v>9</v>
      </c>
      <c r="B23" s="380" t="n"/>
      <c r="C23" s="260" t="inlineStr">
        <is>
          <t>91.17.04-233</t>
        </is>
      </c>
      <c r="D23" s="397" t="inlineStr">
        <is>
          <t>Установки для сварки ручной дуговой (постоянного тока)</t>
        </is>
      </c>
      <c r="E23" s="277" t="inlineStr">
        <is>
          <t>маш.-ч</t>
        </is>
      </c>
      <c r="F23" s="260" t="n">
        <v>17.0008</v>
      </c>
      <c r="G23" s="399" t="n">
        <v>8.1</v>
      </c>
      <c r="H23" s="315">
        <f>ROUND(F23*G23,2)</f>
        <v/>
      </c>
    </row>
    <row r="24" ht="25.5" customHeight="1" s="336">
      <c r="A24" s="410" t="n">
        <v>10</v>
      </c>
      <c r="B24" s="380" t="n"/>
      <c r="C24" s="260" t="inlineStr">
        <is>
          <t>91.06.03-061</t>
        </is>
      </c>
      <c r="D24" s="397" t="inlineStr">
        <is>
          <t>Лебедки электрические тяговым усилием до 12,26 кН (1,25 т)</t>
        </is>
      </c>
      <c r="E24" s="277" t="inlineStr">
        <is>
          <t>маш.-ч</t>
        </is>
      </c>
      <c r="F24" s="260" t="n">
        <v>4.644</v>
      </c>
      <c r="G24" s="399" t="n">
        <v>3.28</v>
      </c>
      <c r="H24" s="315">
        <f>ROUND(F24*G24,2)</f>
        <v/>
      </c>
    </row>
    <row r="25">
      <c r="A25" s="410" t="n">
        <v>11</v>
      </c>
      <c r="B25" s="380" t="n"/>
      <c r="C25" s="260" t="inlineStr">
        <is>
          <t>331-451</t>
        </is>
      </c>
      <c r="D25" s="397" t="inlineStr">
        <is>
          <t>Перфораторы: электрические</t>
        </is>
      </c>
      <c r="E25" s="277" t="inlineStr">
        <is>
          <t>маш.-ч</t>
        </is>
      </c>
      <c r="F25" s="260" t="n">
        <v>3.905</v>
      </c>
      <c r="G25" s="399" t="n">
        <v>2.08</v>
      </c>
      <c r="H25" s="315">
        <f>ROUND(F25*G25,2)</f>
        <v/>
      </c>
    </row>
    <row r="26" ht="25.5" customHeight="1" s="336">
      <c r="A26" s="410" t="n">
        <v>12</v>
      </c>
      <c r="B26" s="380" t="n"/>
      <c r="C26" s="260" t="inlineStr">
        <is>
          <t>91.01.05-106</t>
        </is>
      </c>
      <c r="D26" s="397" t="inlineStr">
        <is>
          <t>Экскаваторы одноковшовые дизельные на пневмоколесном ходу, емкость ковша 0,25 м3</t>
        </is>
      </c>
      <c r="E26" s="277" t="inlineStr">
        <is>
          <t>маш.-ч</t>
        </is>
      </c>
      <c r="F26" s="260" t="n">
        <v>0.0663</v>
      </c>
      <c r="G26" s="399" t="n">
        <v>70.01000000000001</v>
      </c>
      <c r="H26" s="315">
        <f>ROUND(F26*G26,2)</f>
        <v/>
      </c>
    </row>
    <row r="27">
      <c r="A27" s="410" t="n">
        <v>13</v>
      </c>
      <c r="B27" s="380" t="n"/>
      <c r="C27" s="260" t="inlineStr">
        <is>
          <t>91.06.01-003</t>
        </is>
      </c>
      <c r="D27" s="397" t="inlineStr">
        <is>
          <t>Домкраты гидравлические, грузоподъемность 63-100 т</t>
        </is>
      </c>
      <c r="E27" s="277" t="inlineStr">
        <is>
          <t>маш.-ч</t>
        </is>
      </c>
      <c r="F27" s="260" t="n">
        <v>4.644</v>
      </c>
      <c r="G27" s="399" t="n">
        <v>0.9</v>
      </c>
      <c r="H27" s="315">
        <f>ROUND(F27*G27,2)</f>
        <v/>
      </c>
    </row>
    <row r="28">
      <c r="A28" s="410" t="n">
        <v>14</v>
      </c>
      <c r="B28" s="380" t="n"/>
      <c r="C28" s="260" t="inlineStr">
        <is>
          <t>91.07.04-001</t>
        </is>
      </c>
      <c r="D28" s="397" t="inlineStr">
        <is>
          <t>Вибраторы глубинные</t>
        </is>
      </c>
      <c r="E28" s="277" t="inlineStr">
        <is>
          <t>маш.-ч</t>
        </is>
      </c>
      <c r="F28" s="260" t="n">
        <v>0.2379</v>
      </c>
      <c r="G28" s="399" t="n">
        <v>1.9</v>
      </c>
      <c r="H28" s="315">
        <f>ROUND(F28*G28,2)</f>
        <v/>
      </c>
    </row>
    <row r="29" ht="15" customHeight="1" s="336">
      <c r="A29" s="378" t="inlineStr">
        <is>
          <t>Оборудование</t>
        </is>
      </c>
      <c r="B29" s="455" t="n"/>
      <c r="C29" s="455" t="n"/>
      <c r="D29" s="455" t="n"/>
      <c r="E29" s="456" t="n"/>
      <c r="F29" s="401" t="n"/>
      <c r="G29" s="251" t="n"/>
      <c r="H29" s="464" t="n">
        <v>0</v>
      </c>
    </row>
    <row r="30">
      <c r="A30" s="379" t="inlineStr">
        <is>
          <t>Материалы</t>
        </is>
      </c>
      <c r="B30" s="455" t="n"/>
      <c r="C30" s="455" t="n"/>
      <c r="D30" s="455" t="n"/>
      <c r="E30" s="456" t="n"/>
      <c r="F30" s="279" t="n"/>
      <c r="G30" s="230" t="n"/>
      <c r="H30" s="464">
        <f>SUM(H31:H65)</f>
        <v/>
      </c>
    </row>
    <row r="31" ht="15" customHeight="1" s="336">
      <c r="A31" s="248" t="n">
        <v>15</v>
      </c>
      <c r="B31" s="378" t="n"/>
      <c r="C31" s="266" t="inlineStr">
        <is>
          <t>Прайс из СД ОП</t>
        </is>
      </c>
      <c r="D31" s="273" t="inlineStr">
        <is>
          <t>Мотор-редуктор МЦ2С-63-45-0,55-РG110ЦУЗ</t>
        </is>
      </c>
      <c r="E31" s="278" t="inlineStr">
        <is>
          <t>шт</t>
        </is>
      </c>
      <c r="F31" s="278" t="n">
        <v>1</v>
      </c>
      <c r="G31" s="273" t="n">
        <v>3861</v>
      </c>
      <c r="H31" s="315" t="n">
        <v>3861</v>
      </c>
    </row>
    <row r="32" ht="18" customHeight="1" s="336">
      <c r="A32" s="248" t="n">
        <v>16</v>
      </c>
      <c r="B32" s="378" t="n"/>
      <c r="C32" s="266" t="inlineStr">
        <is>
          <t>62.1.02.14-0069</t>
        </is>
      </c>
      <c r="D32" s="274" t="inlineStr">
        <is>
          <t>Ящик управления РУСМ 5410-2274 У2</t>
        </is>
      </c>
      <c r="E32" s="278" t="inlineStr">
        <is>
          <t>шт.</t>
        </is>
      </c>
      <c r="F32" s="278" t="n">
        <v>1</v>
      </c>
      <c r="G32" s="288" t="n">
        <v>1097.28</v>
      </c>
      <c r="H32" s="289" t="n">
        <v>1097.28</v>
      </c>
    </row>
    <row r="33" ht="38.25" customHeight="1" s="336">
      <c r="A33" s="248" t="n">
        <v>17</v>
      </c>
      <c r="B33" s="380" t="n"/>
      <c r="C33" s="260" t="inlineStr">
        <is>
          <t>07.2.07.12-0018</t>
        </is>
      </c>
      <c r="D33" s="397" t="inlineStr">
        <is>
          <t>Элементы конструктивные зданий и сооружений с преобладанием гнутых профилей, средняя масса сборочной единицы свыше 0,1 до 0,5 т</t>
        </is>
      </c>
      <c r="E33" s="389" t="inlineStr">
        <is>
          <t>т</t>
        </is>
      </c>
      <c r="F33" s="260" t="n">
        <v>0.612</v>
      </c>
      <c r="G33" s="399" t="n">
        <v>8128</v>
      </c>
      <c r="H33" s="315" t="n">
        <v>4974.34</v>
      </c>
    </row>
    <row r="34" ht="38.25" customHeight="1" s="336">
      <c r="A34" s="248" t="n">
        <v>18</v>
      </c>
      <c r="B34" s="380" t="n"/>
      <c r="C34" s="260" t="inlineStr">
        <is>
          <t>08.1.06.01-0002</t>
        </is>
      </c>
      <c r="D34" s="397" t="inlineStr">
        <is>
          <t>Ворота различных типов рамы, каркасы, панели с заполнением из тонколистовой стали без механизма открывания</t>
        </is>
      </c>
      <c r="E34" s="389" t="inlineStr">
        <is>
          <t>т</t>
        </is>
      </c>
      <c r="F34" s="260" t="n">
        <v>0.588</v>
      </c>
      <c r="G34" s="399" t="n">
        <v>5999.99</v>
      </c>
      <c r="H34" s="315" t="n">
        <v>3527.99</v>
      </c>
    </row>
    <row r="35" ht="38.25" customHeight="1" s="336">
      <c r="A35" s="248" t="n">
        <v>19</v>
      </c>
      <c r="B35" s="380" t="n"/>
      <c r="C35" s="260" t="inlineStr">
        <is>
          <t>08.1.02.13-0005</t>
        </is>
      </c>
      <c r="D35" s="397" t="inlineStr">
        <is>
          <t>Рукава металлические из стальной оцинкованной ленты, негерметичные, простого профиля, РЗ-ЦХ, условный диаметр 15 мм</t>
        </is>
      </c>
      <c r="E35" s="389" t="inlineStr">
        <is>
          <t>м</t>
        </is>
      </c>
      <c r="F35" s="260" t="n">
        <v>110</v>
      </c>
      <c r="G35" s="399" t="n">
        <v>8.279999999999999</v>
      </c>
      <c r="H35" s="315" t="n">
        <v>910.8</v>
      </c>
    </row>
    <row r="36">
      <c r="A36" s="248" t="n">
        <v>20</v>
      </c>
      <c r="B36" s="380" t="n"/>
      <c r="C36" s="260" t="inlineStr">
        <is>
          <t>05.1.08.01-0088</t>
        </is>
      </c>
      <c r="D36" s="397" t="inlineStr">
        <is>
          <t>Блоки железобетонные фундаментные</t>
        </is>
      </c>
      <c r="E36" s="389" t="inlineStr">
        <is>
          <t>м3</t>
        </is>
      </c>
      <c r="F36" s="260" t="n">
        <v>1</v>
      </c>
      <c r="G36" s="399" t="n">
        <v>682</v>
      </c>
      <c r="H36" s="315" t="n">
        <v>682</v>
      </c>
    </row>
    <row r="37" ht="25.5" customHeight="1" s="336">
      <c r="A37" s="248" t="n">
        <v>21</v>
      </c>
      <c r="B37" s="380" t="n"/>
      <c r="C37" s="260" t="inlineStr">
        <is>
          <t>21.1.05.02-0001</t>
        </is>
      </c>
      <c r="D37" s="397" t="inlineStr">
        <is>
          <t>Кабель силовой повышенной гибкости с медными жилами КПГ 2х2,5-660</t>
        </is>
      </c>
      <c r="E37" s="389" t="inlineStr">
        <is>
          <t>1000 м</t>
        </is>
      </c>
      <c r="F37" s="260" t="n">
        <v>0.03</v>
      </c>
      <c r="G37" s="399" t="n">
        <v>17230.19</v>
      </c>
      <c r="H37" s="315" t="n">
        <v>516.91</v>
      </c>
    </row>
    <row r="38">
      <c r="A38" s="248" t="n">
        <v>22</v>
      </c>
      <c r="B38" s="380" t="n"/>
      <c r="C38" s="260" t="inlineStr">
        <is>
          <t>18.5.08.09-0001</t>
        </is>
      </c>
      <c r="D38" s="397" t="inlineStr">
        <is>
          <t>Патрубки</t>
        </is>
      </c>
      <c r="E38" s="389" t="inlineStr">
        <is>
          <t>10 шт</t>
        </is>
      </c>
      <c r="F38" s="260" t="n">
        <v>1.1</v>
      </c>
      <c r="G38" s="399" t="n">
        <v>277.5</v>
      </c>
      <c r="H38" s="315" t="n">
        <v>305.25</v>
      </c>
    </row>
    <row r="39" ht="25.5" customHeight="1" s="336">
      <c r="A39" s="248" t="n">
        <v>23</v>
      </c>
      <c r="B39" s="380" t="n"/>
      <c r="C39" s="260" t="inlineStr">
        <is>
          <t>08.3.07.01-0076</t>
        </is>
      </c>
      <c r="D39" s="397" t="inlineStr">
        <is>
          <t>Прокат полосовой, горячекатаный, марка стали Ст3сп, ширина 50-200 мм, толщина 4-5 мм</t>
        </is>
      </c>
      <c r="E39" s="389" t="inlineStr">
        <is>
          <t>т</t>
        </is>
      </c>
      <c r="F39" s="260" t="n">
        <v>0.05665</v>
      </c>
      <c r="G39" s="399" t="n">
        <v>5000</v>
      </c>
      <c r="H39" s="315" t="n">
        <v>283.25</v>
      </c>
    </row>
    <row r="40" ht="25.5" customHeight="1" s="336">
      <c r="A40" s="248" t="n">
        <v>24</v>
      </c>
      <c r="B40" s="380" t="n"/>
      <c r="C40" s="260" t="inlineStr">
        <is>
          <t>07.2.07.04-0007</t>
        </is>
      </c>
      <c r="D40" s="397" t="inlineStr">
        <is>
          <t>Конструкции стальные индивидуальные решетчатые сварные, масса до 0,1 т</t>
        </is>
      </c>
      <c r="E40" s="389" t="inlineStr">
        <is>
          <t>т</t>
        </is>
      </c>
      <c r="F40" s="260" t="n">
        <v>0.02</v>
      </c>
      <c r="G40" s="399" t="n">
        <v>11500</v>
      </c>
      <c r="H40" s="315" t="n">
        <v>230</v>
      </c>
    </row>
    <row r="41" ht="25.5" customHeight="1" s="336">
      <c r="A41" s="248" t="n">
        <v>25</v>
      </c>
      <c r="B41" s="380" t="n"/>
      <c r="C41" s="260" t="inlineStr">
        <is>
          <t>04.1.02.05-0023</t>
        </is>
      </c>
      <c r="D41" s="397" t="inlineStr">
        <is>
          <t>Смеси бетонные тяжелого бетона (БСТ), крупность заполнителя 10 мм, класс В7,5 (М100)</t>
        </is>
      </c>
      <c r="E41" s="389" t="inlineStr">
        <is>
          <t>м3</t>
        </is>
      </c>
      <c r="F41" s="260" t="n">
        <v>0.291</v>
      </c>
      <c r="G41" s="399" t="n">
        <v>600</v>
      </c>
      <c r="H41" s="315" t="n">
        <v>174.6</v>
      </c>
    </row>
    <row r="42">
      <c r="A42" s="248" t="n">
        <v>26</v>
      </c>
      <c r="B42" s="380" t="n"/>
      <c r="C42" s="260" t="inlineStr">
        <is>
          <t>21.2.03.05-0002</t>
        </is>
      </c>
      <c r="D42" s="397" t="inlineStr">
        <is>
          <t>Провод силовой установочный АПВ 2,5-450</t>
        </is>
      </c>
      <c r="E42" s="389" t="inlineStr">
        <is>
          <t>1000 м</t>
        </is>
      </c>
      <c r="F42" s="260" t="n">
        <v>0.1</v>
      </c>
      <c r="G42" s="399" t="n">
        <v>887.03</v>
      </c>
      <c r="H42" s="315" t="n">
        <v>88.7</v>
      </c>
    </row>
    <row r="43" ht="25.5" customHeight="1" s="336">
      <c r="A43" s="248" t="n">
        <v>27</v>
      </c>
      <c r="B43" s="380" t="n"/>
      <c r="C43" s="260" t="inlineStr">
        <is>
          <t>10.3.02.03-0002</t>
        </is>
      </c>
      <c r="D43" s="397" t="inlineStr">
        <is>
          <t>Припои оловянно-свинцовые бессурьмянистые в чушках, марка ПОС30</t>
        </is>
      </c>
      <c r="E43" s="389" t="inlineStr">
        <is>
          <t>т</t>
        </is>
      </c>
      <c r="F43" s="260" t="n">
        <v>0.0007</v>
      </c>
      <c r="G43" s="399" t="n">
        <v>86162.5</v>
      </c>
      <c r="H43" s="315" t="n">
        <v>60.31</v>
      </c>
    </row>
    <row r="44" ht="25.5" customHeight="1" s="336">
      <c r="A44" s="248" t="n">
        <v>28</v>
      </c>
      <c r="B44" s="380" t="n"/>
      <c r="C44" s="260" t="inlineStr">
        <is>
          <t>21.2.03.05-0045</t>
        </is>
      </c>
      <c r="D44" s="397" t="inlineStr">
        <is>
          <t>Провод силовой установочный с медными жилами ПВ1 1,5-450</t>
        </is>
      </c>
      <c r="E44" s="389" t="inlineStr">
        <is>
          <t>1000 м</t>
        </is>
      </c>
      <c r="F44" s="260" t="n">
        <v>0.03</v>
      </c>
      <c r="G44" s="399" t="n">
        <v>1335.52</v>
      </c>
      <c r="H44" s="315" t="n">
        <v>40.07</v>
      </c>
    </row>
    <row r="45">
      <c r="A45" s="248" t="n">
        <v>29</v>
      </c>
      <c r="B45" s="380" t="n"/>
      <c r="C45" s="260" t="inlineStr">
        <is>
          <t>01.7.15.04-0011</t>
        </is>
      </c>
      <c r="D45" s="397" t="inlineStr">
        <is>
          <t>Винты с полукруглой головкой, длина 50 мм</t>
        </is>
      </c>
      <c r="E45" s="389" t="inlineStr">
        <is>
          <t>т</t>
        </is>
      </c>
      <c r="F45" s="260" t="n">
        <v>0.002398</v>
      </c>
      <c r="G45" s="399" t="n">
        <v>12430</v>
      </c>
      <c r="H45" s="315" t="n">
        <v>29.81</v>
      </c>
    </row>
    <row r="46" customFormat="1" s="229">
      <c r="A46" s="248" t="n">
        <v>30</v>
      </c>
      <c r="B46" s="380" t="n"/>
      <c r="C46" s="260" t="inlineStr">
        <is>
          <t>20.1.02.23-0082</t>
        </is>
      </c>
      <c r="D46" s="397" t="inlineStr">
        <is>
          <t>Перемычки гибкие, тип ПГС-50</t>
        </is>
      </c>
      <c r="E46" s="389" t="inlineStr">
        <is>
          <t>10 шт</t>
        </is>
      </c>
      <c r="F46" s="260" t="n">
        <v>0.55</v>
      </c>
      <c r="G46" s="399" t="n">
        <v>39</v>
      </c>
      <c r="H46" s="315" t="n">
        <v>21.45</v>
      </c>
    </row>
    <row r="47" ht="25.5" customHeight="1" s="336">
      <c r="A47" s="248" t="n">
        <v>31</v>
      </c>
      <c r="B47" s="380" t="n"/>
      <c r="C47" s="260" t="inlineStr">
        <is>
          <t>11.1.03.05-0085</t>
        </is>
      </c>
      <c r="D47" s="397" t="inlineStr">
        <is>
          <t>Доска необрезная, хвойных пород, длина 4-6,5 м, все ширины, толщина 44 мм и более, сорт III</t>
        </is>
      </c>
      <c r="E47" s="389" t="inlineStr">
        <is>
          <t>м3</t>
        </is>
      </c>
      <c r="F47" s="260" t="n">
        <v>0.031</v>
      </c>
      <c r="G47" s="399" t="n">
        <v>684</v>
      </c>
      <c r="H47" s="315" t="n">
        <v>21.2</v>
      </c>
    </row>
    <row r="48">
      <c r="A48" s="248" t="n">
        <v>32</v>
      </c>
      <c r="B48" s="380" t="n"/>
      <c r="C48" s="260" t="inlineStr">
        <is>
          <t>01.7.15.03-0042</t>
        </is>
      </c>
      <c r="D48" s="397" t="inlineStr">
        <is>
          <t>Болты с гайками и шайбами строительные</t>
        </is>
      </c>
      <c r="E48" s="389" t="inlineStr">
        <is>
          <t>кг</t>
        </is>
      </c>
      <c r="F48" s="260" t="n">
        <v>1.905</v>
      </c>
      <c r="G48" s="399" t="n">
        <v>9.039999999999999</v>
      </c>
      <c r="H48" s="315" t="n">
        <v>17.22</v>
      </c>
    </row>
    <row r="49" ht="25.5" customHeight="1" s="336">
      <c r="A49" s="248" t="n">
        <v>33</v>
      </c>
      <c r="B49" s="380" t="n"/>
      <c r="C49" s="260" t="inlineStr">
        <is>
          <t>999-9950</t>
        </is>
      </c>
      <c r="D49" s="397" t="inlineStr">
        <is>
          <t>Вспомогательные ненормируемые ресурсы (2% от оплаты труда рабочих)</t>
        </is>
      </c>
      <c r="E49" s="389" t="inlineStr">
        <is>
          <t>руб</t>
        </is>
      </c>
      <c r="F49" s="260" t="n">
        <v>14.13885</v>
      </c>
      <c r="G49" s="399" t="n">
        <v>1</v>
      </c>
      <c r="H49" s="315" t="n">
        <v>14.14</v>
      </c>
    </row>
    <row r="50">
      <c r="A50" s="248" t="n">
        <v>34</v>
      </c>
      <c r="B50" s="380" t="n"/>
      <c r="C50" s="260" t="inlineStr">
        <is>
          <t>01.7.11.07-0034</t>
        </is>
      </c>
      <c r="D50" s="397" t="inlineStr">
        <is>
          <t>Электроды сварочные Э42А, диаметр 4 мм</t>
        </is>
      </c>
      <c r="E50" s="389" t="inlineStr">
        <is>
          <t>кг</t>
        </is>
      </c>
      <c r="F50" s="260" t="n">
        <v>1.326</v>
      </c>
      <c r="G50" s="399" t="n">
        <v>10.57</v>
      </c>
      <c r="H50" s="315" t="n">
        <v>14.02</v>
      </c>
    </row>
    <row r="51">
      <c r="A51" s="248" t="n">
        <v>35</v>
      </c>
      <c r="B51" s="380" t="n"/>
      <c r="C51" s="260" t="inlineStr">
        <is>
          <t>25.1.01.04-0031</t>
        </is>
      </c>
      <c r="D51" s="397" t="inlineStr">
        <is>
          <t>Шпалы непропитанные для железных дорог, тип I</t>
        </is>
      </c>
      <c r="E51" s="389" t="inlineStr">
        <is>
          <t>шт</t>
        </is>
      </c>
      <c r="F51" s="260" t="n">
        <v>0.05</v>
      </c>
      <c r="G51" s="399" t="n">
        <v>266.67</v>
      </c>
      <c r="H51" s="315" t="n">
        <v>13.33</v>
      </c>
    </row>
    <row r="52">
      <c r="A52" s="248" t="n">
        <v>36</v>
      </c>
      <c r="B52" s="380" t="n"/>
      <c r="C52" s="260" t="inlineStr">
        <is>
          <t>20.2.09.05-0012</t>
        </is>
      </c>
      <c r="D52" s="397" t="inlineStr">
        <is>
          <t>Муфты соединительные</t>
        </is>
      </c>
      <c r="E52" s="389" t="inlineStr">
        <is>
          <t>шт</t>
        </is>
      </c>
      <c r="F52" s="260" t="n">
        <v>11</v>
      </c>
      <c r="G52" s="399" t="n">
        <v>0.71</v>
      </c>
      <c r="H52" s="315" t="n">
        <v>7.81</v>
      </c>
    </row>
    <row r="53">
      <c r="A53" s="248" t="n">
        <v>37</v>
      </c>
      <c r="B53" s="380" t="n"/>
      <c r="C53" s="260" t="inlineStr">
        <is>
          <t>01.7.15.14-0165</t>
        </is>
      </c>
      <c r="D53" s="397" t="inlineStr">
        <is>
          <t>Шурупы с полукруглой головкой 4х40 мм</t>
        </is>
      </c>
      <c r="E53" s="389" t="inlineStr">
        <is>
          <t>т</t>
        </is>
      </c>
      <c r="F53" s="260" t="n">
        <v>0.000372</v>
      </c>
      <c r="G53" s="399" t="n">
        <v>12430</v>
      </c>
      <c r="H53" s="315" t="n">
        <v>4.62</v>
      </c>
    </row>
    <row r="54">
      <c r="A54" s="248" t="n">
        <v>38</v>
      </c>
      <c r="B54" s="380" t="n"/>
      <c r="C54" s="260" t="inlineStr">
        <is>
          <t>14.4.03.03-0002</t>
        </is>
      </c>
      <c r="D54" s="397" t="inlineStr">
        <is>
          <t>Лак битумный БТ-123</t>
        </is>
      </c>
      <c r="E54" s="389" t="inlineStr">
        <is>
          <t>т</t>
        </is>
      </c>
      <c r="F54" s="260" t="n">
        <v>0.000498</v>
      </c>
      <c r="G54" s="399" t="n">
        <v>7826.9</v>
      </c>
      <c r="H54" s="315" t="n">
        <v>3.9</v>
      </c>
    </row>
    <row r="55">
      <c r="A55" s="248" t="n">
        <v>39</v>
      </c>
      <c r="B55" s="380" t="n"/>
      <c r="C55" s="260" t="inlineStr">
        <is>
          <t>01.7.06.07-0001</t>
        </is>
      </c>
      <c r="D55" s="397" t="inlineStr">
        <is>
          <t>Лента К226</t>
        </is>
      </c>
      <c r="E55" s="389" t="inlineStr">
        <is>
          <t>100 м</t>
        </is>
      </c>
      <c r="F55" s="260" t="n">
        <v>0.02526</v>
      </c>
      <c r="G55" s="399" t="n">
        <v>120</v>
      </c>
      <c r="H55" s="315" t="n">
        <v>3.03</v>
      </c>
    </row>
    <row r="56">
      <c r="A56" s="248" t="n">
        <v>40</v>
      </c>
      <c r="B56" s="380" t="n"/>
      <c r="C56" s="260" t="inlineStr">
        <is>
          <t>20.2.02.01-0019</t>
        </is>
      </c>
      <c r="D56" s="397" t="inlineStr">
        <is>
          <t>Втулки изолирующие</t>
        </is>
      </c>
      <c r="E56" s="389" t="inlineStr">
        <is>
          <t>1000 шт</t>
        </is>
      </c>
      <c r="F56" s="260" t="n">
        <v>0.011</v>
      </c>
      <c r="G56" s="399" t="n">
        <v>270</v>
      </c>
      <c r="H56" s="315" t="n">
        <v>2.97</v>
      </c>
    </row>
    <row r="57">
      <c r="A57" s="248" t="n">
        <v>41</v>
      </c>
      <c r="B57" s="380" t="n"/>
      <c r="C57" s="260" t="inlineStr">
        <is>
          <t>01.7.11.07-0054</t>
        </is>
      </c>
      <c r="D57" s="397" t="inlineStr">
        <is>
          <t>Электроды сварочные Э42, диаметр 6 мм</t>
        </is>
      </c>
      <c r="E57" s="389" t="inlineStr">
        <is>
          <t>т</t>
        </is>
      </c>
      <c r="F57" s="260" t="n">
        <v>0.0003</v>
      </c>
      <c r="G57" s="399" t="n">
        <v>9424</v>
      </c>
      <c r="H57" s="315" t="n">
        <v>2.83</v>
      </c>
    </row>
    <row r="58" ht="25.5" customHeight="1" s="336">
      <c r="A58" s="248" t="n">
        <v>42</v>
      </c>
      <c r="B58" s="380" t="n"/>
      <c r="C58" s="260" t="inlineStr">
        <is>
          <t>11.1.02.04-0031</t>
        </is>
      </c>
      <c r="D58" s="397" t="inlineStr">
        <is>
          <t>Лесоматериалы круглые, хвойных пород, для строительства, диаметр 14-24 см, длина 3-6,5 м</t>
        </is>
      </c>
      <c r="E58" s="389" t="inlineStr">
        <is>
          <t>м3</t>
        </is>
      </c>
      <c r="F58" s="260" t="n">
        <v>0.005</v>
      </c>
      <c r="G58" s="399" t="n">
        <v>558.33</v>
      </c>
      <c r="H58" s="315" t="n">
        <v>2.79</v>
      </c>
    </row>
    <row r="59" ht="25.5" customHeight="1" s="336">
      <c r="A59" s="248" t="n">
        <v>43</v>
      </c>
      <c r="B59" s="380" t="n"/>
      <c r="C59" s="260" t="inlineStr">
        <is>
          <t>06.1.01.05-0015</t>
        </is>
      </c>
      <c r="D59" s="397" t="inlineStr">
        <is>
          <t>Кирпич керамический лицевой, размер 250х120х65 мм, марка 100</t>
        </is>
      </c>
      <c r="E59" s="389" t="inlineStr">
        <is>
          <t>1000 шт</t>
        </is>
      </c>
      <c r="F59" s="260" t="n">
        <v>0.00106</v>
      </c>
      <c r="G59" s="399" t="n">
        <v>1740.2</v>
      </c>
      <c r="H59" s="315" t="n">
        <v>1.84</v>
      </c>
    </row>
    <row r="60">
      <c r="A60" s="248" t="n">
        <v>44</v>
      </c>
      <c r="B60" s="380" t="n"/>
      <c r="C60" s="260" t="inlineStr">
        <is>
          <t>14.4.02.09-0001</t>
        </is>
      </c>
      <c r="D60" s="397" t="inlineStr">
        <is>
          <t>Краска</t>
        </is>
      </c>
      <c r="E60" s="389" t="inlineStr">
        <is>
          <t>кг</t>
        </is>
      </c>
      <c r="F60" s="260" t="n">
        <v>0.03</v>
      </c>
      <c r="G60" s="399" t="n">
        <v>28.6</v>
      </c>
      <c r="H60" s="315" t="n">
        <v>0.86</v>
      </c>
    </row>
    <row r="61" customFormat="1" s="229">
      <c r="A61" s="248" t="n">
        <v>45</v>
      </c>
      <c r="B61" s="380" t="n"/>
      <c r="C61" s="260" t="inlineStr">
        <is>
          <t>01.7.15.07-0031</t>
        </is>
      </c>
      <c r="D61" s="397" t="inlineStr">
        <is>
          <t>Дюбели распорные с гайкой</t>
        </is>
      </c>
      <c r="E61" s="389" t="inlineStr">
        <is>
          <t>100 шт</t>
        </is>
      </c>
      <c r="F61" s="260" t="n">
        <v>0.004</v>
      </c>
      <c r="G61" s="399" t="n">
        <v>110</v>
      </c>
      <c r="H61" s="315" t="n">
        <v>0.44</v>
      </c>
    </row>
    <row r="62" ht="25.5" customHeight="1" s="336">
      <c r="A62" s="248" t="n">
        <v>46</v>
      </c>
      <c r="B62" s="380" t="n"/>
      <c r="C62" s="260" t="inlineStr">
        <is>
          <t>03.2.01.01-0003</t>
        </is>
      </c>
      <c r="D62" s="397" t="inlineStr">
        <is>
          <t>Портландцемент общестроительного назначения бездобавочный М500 Д0 (ЦЕМ I 42,5Н)</t>
        </is>
      </c>
      <c r="E62" s="389" t="inlineStr">
        <is>
          <t>т</t>
        </is>
      </c>
      <c r="F62" s="260" t="n">
        <v>0.0009</v>
      </c>
      <c r="G62" s="399" t="n">
        <v>480</v>
      </c>
      <c r="H62" s="315" t="n">
        <v>0.43</v>
      </c>
    </row>
    <row r="63">
      <c r="A63" s="248" t="n">
        <v>47</v>
      </c>
      <c r="B63" s="380" t="n"/>
      <c r="C63" s="260" t="inlineStr">
        <is>
          <t>01.7.15.10-0053</t>
        </is>
      </c>
      <c r="D63" s="397" t="inlineStr">
        <is>
          <t>Скобы металлические</t>
        </is>
      </c>
      <c r="E63" s="389" t="inlineStr">
        <is>
          <t>кг</t>
        </is>
      </c>
      <c r="F63" s="260" t="n">
        <v>0.06</v>
      </c>
      <c r="G63" s="399" t="n">
        <v>6.4</v>
      </c>
      <c r="H63" s="315" t="n">
        <v>0.38</v>
      </c>
    </row>
    <row r="64">
      <c r="A64" s="248" t="n">
        <v>48</v>
      </c>
      <c r="B64" s="380" t="n"/>
      <c r="C64" s="260" t="inlineStr">
        <is>
          <t>04.3.01.09-0011</t>
        </is>
      </c>
      <c r="D64" s="397" t="inlineStr">
        <is>
          <t>Раствор готовый кладочный, цементный, М25</t>
        </is>
      </c>
      <c r="E64" s="389" t="inlineStr">
        <is>
          <t>м3</t>
        </is>
      </c>
      <c r="F64" s="260" t="n">
        <v>0.00031</v>
      </c>
      <c r="G64" s="399" t="n">
        <v>463.3</v>
      </c>
      <c r="H64" s="315" t="n">
        <v>0.14</v>
      </c>
    </row>
    <row r="65" ht="38.25" customHeight="1" s="336">
      <c r="A65" s="248" t="n">
        <v>49</v>
      </c>
      <c r="B65" s="380" t="n"/>
      <c r="C65" s="260" t="inlineStr">
        <is>
          <t>02.3.01.02-0016</t>
        </is>
      </c>
      <c r="D65" s="397" t="inlineStr">
        <is>
          <t>Песок природный для строительных: работ средний с крупностью зерен размером свыше 5 мм-до 5% по массе</t>
        </is>
      </c>
      <c r="E65" s="389" t="inlineStr">
        <is>
          <t>м3</t>
        </is>
      </c>
      <c r="F65" s="260" t="n">
        <v>0.00075</v>
      </c>
      <c r="G65" s="399" t="n">
        <v>55.26</v>
      </c>
      <c r="H65" s="315" t="n">
        <v>0.04</v>
      </c>
    </row>
    <row r="68">
      <c r="B68" s="338" t="inlineStr">
        <is>
          <t>Составил ______________________     Д.Ю. Нефедова</t>
        </is>
      </c>
    </row>
    <row r="69">
      <c r="B69" s="224" t="inlineStr">
        <is>
          <t xml:space="preserve">                         (подпись, инициалы, фамилия)</t>
        </is>
      </c>
    </row>
    <row r="71">
      <c r="B71" s="338" t="inlineStr">
        <is>
          <t>Проверил ______________________        А.В. Костянецкая</t>
        </is>
      </c>
    </row>
    <row r="72">
      <c r="B72" s="224" t="inlineStr">
        <is>
          <t xml:space="preserve">                        (подпись, инициалы, фамилия)</t>
        </is>
      </c>
    </row>
  </sheetData>
  <mergeCells count="16">
    <mergeCell ref="A30:E30"/>
    <mergeCell ref="A4:H4"/>
    <mergeCell ref="B9:B10"/>
    <mergeCell ref="A3:H3"/>
    <mergeCell ref="C9:C10"/>
    <mergeCell ref="A12:E12"/>
    <mergeCell ref="D9:D10"/>
    <mergeCell ref="F9:F10"/>
    <mergeCell ref="A7:H7"/>
    <mergeCell ref="A9:A10"/>
    <mergeCell ref="E9:E10"/>
    <mergeCell ref="C5:H5"/>
    <mergeCell ref="A29:E29"/>
    <mergeCell ref="A19:E19"/>
    <mergeCell ref="G9:H9"/>
    <mergeCell ref="A17:E17"/>
  </mergeCells>
  <conditionalFormatting sqref="C20:C28">
    <cfRule type="duplicateValues" priority="1" dxfId="0"/>
  </conditionalFormatting>
  <conditionalFormatting sqref="C33:C65">
    <cfRule type="duplicateValues" priority="2" dxfId="0"/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336" min="1" max="1"/>
    <col width="36.28515625" customWidth="1" style="336" min="2" max="2"/>
    <col width="18.85546875" customWidth="1" style="336" min="3" max="3"/>
    <col width="18.28515625" customWidth="1" style="336" min="4" max="4"/>
    <col width="18.85546875" customWidth="1" style="336" min="5" max="5"/>
    <col width="11.42578125" customWidth="1" style="336" min="6" max="6"/>
    <col width="14.42578125" customWidth="1" style="336" min="7" max="7"/>
    <col width="9.140625" customWidth="1" style="336" min="8" max="11"/>
    <col width="13.5703125" customWidth="1" style="336" min="12" max="12"/>
    <col width="9.140625" customWidth="1" style="336" min="13" max="13"/>
  </cols>
  <sheetData>
    <row r="1">
      <c r="B1" s="313" t="n"/>
      <c r="C1" s="313" t="n"/>
      <c r="D1" s="313" t="n"/>
      <c r="E1" s="313" t="n"/>
    </row>
    <row r="2">
      <c r="B2" s="313" t="n"/>
      <c r="C2" s="313" t="n"/>
      <c r="D2" s="313" t="n"/>
      <c r="E2" s="405" t="inlineStr">
        <is>
          <t>Приложение № 4</t>
        </is>
      </c>
    </row>
    <row r="3">
      <c r="B3" s="313" t="n"/>
      <c r="C3" s="313" t="n"/>
      <c r="D3" s="313" t="n"/>
      <c r="E3" s="313" t="n"/>
    </row>
    <row r="4">
      <c r="B4" s="313" t="n"/>
      <c r="C4" s="313" t="n"/>
      <c r="D4" s="313" t="n"/>
      <c r="E4" s="313" t="n"/>
    </row>
    <row r="5">
      <c r="B5" s="360" t="inlineStr">
        <is>
          <t>Ресурсная модель</t>
        </is>
      </c>
    </row>
    <row r="6">
      <c r="B6" s="242" t="n"/>
      <c r="C6" s="313" t="n"/>
      <c r="D6" s="313" t="n"/>
      <c r="E6" s="313" t="n"/>
    </row>
    <row r="7" ht="25.5" customHeight="1" s="336">
      <c r="B7" s="369" t="inlineStr">
        <is>
          <t>Наименование разрабатываемого показателя УНЦ — Защитные конструкций ПС Откатные (раздвижные, автоматические, противопожарные) ворота</t>
        </is>
      </c>
    </row>
    <row r="8">
      <c r="B8" s="385" t="inlineStr">
        <is>
          <t>Единица измерения  — 1 ед.</t>
        </is>
      </c>
    </row>
    <row r="9">
      <c r="B9" s="242" t="n"/>
      <c r="C9" s="313" t="n"/>
      <c r="D9" s="313" t="n"/>
      <c r="E9" s="313" t="n"/>
    </row>
    <row r="10" ht="51" customHeight="1" s="336">
      <c r="B10" s="389" t="inlineStr">
        <is>
          <t>Наименование</t>
        </is>
      </c>
      <c r="C10" s="389" t="inlineStr">
        <is>
          <t>Сметная стоимость в ценах на 01.01.2023
 (руб.)</t>
        </is>
      </c>
      <c r="D10" s="389" t="inlineStr">
        <is>
          <t>Удельный вес, 
(в СМР)</t>
        </is>
      </c>
      <c r="E10" s="389" t="inlineStr">
        <is>
          <t>Удельный вес, % 
(от всего по РМ)</t>
        </is>
      </c>
    </row>
    <row r="11">
      <c r="B11" s="235" t="inlineStr">
        <is>
          <t>Оплата труда рабочих</t>
        </is>
      </c>
      <c r="C11" s="315">
        <f>'Прил.5 Расчет СМР и ОБ'!J14</f>
        <v/>
      </c>
      <c r="D11" s="237">
        <f>C11/$C$24</f>
        <v/>
      </c>
      <c r="E11" s="237">
        <f>C11/$C$40</f>
        <v/>
      </c>
    </row>
    <row r="12">
      <c r="B12" s="235" t="inlineStr">
        <is>
          <t>Эксплуатация машин основных</t>
        </is>
      </c>
      <c r="C12" s="315">
        <f>'Прил.5 Расчет СМР и ОБ'!J22</f>
        <v/>
      </c>
      <c r="D12" s="237">
        <f>C12/$C$24</f>
        <v/>
      </c>
      <c r="E12" s="237">
        <f>C12/$C$40</f>
        <v/>
      </c>
    </row>
    <row r="13">
      <c r="B13" s="235" t="inlineStr">
        <is>
          <t>Эксплуатация машин прочих</t>
        </is>
      </c>
      <c r="C13" s="315">
        <f>'Прил.5 Расчет СМР и ОБ'!J29</f>
        <v/>
      </c>
      <c r="D13" s="237">
        <f>C13/$C$24</f>
        <v/>
      </c>
      <c r="E13" s="237">
        <f>C13/$C$40</f>
        <v/>
      </c>
    </row>
    <row r="14">
      <c r="B14" s="235" t="inlineStr">
        <is>
          <t>ЭКСПЛУАТАЦИЯ МАШИН, ВСЕГО:</t>
        </is>
      </c>
      <c r="C14" s="315">
        <f>C13+C12</f>
        <v/>
      </c>
      <c r="D14" s="237">
        <f>C14/$C$24</f>
        <v/>
      </c>
      <c r="E14" s="237">
        <f>C14/$C$40</f>
        <v/>
      </c>
    </row>
    <row r="15">
      <c r="B15" s="235" t="inlineStr">
        <is>
          <t>в том числе зарплата машинистов</t>
        </is>
      </c>
      <c r="C15" s="315">
        <f>'Прил.5 Расчет СМР и ОБ'!J16</f>
        <v/>
      </c>
      <c r="D15" s="237">
        <f>C15/$C$24</f>
        <v/>
      </c>
      <c r="E15" s="237">
        <f>C15/$C$40</f>
        <v/>
      </c>
    </row>
    <row r="16">
      <c r="B16" s="235" t="inlineStr">
        <is>
          <t>Материалы основные</t>
        </is>
      </c>
      <c r="C16" s="315">
        <f>'Прил.5 Расчет СМР и ОБ'!J45</f>
        <v/>
      </c>
      <c r="D16" s="237">
        <f>C16/$C$24</f>
        <v/>
      </c>
      <c r="E16" s="237">
        <f>C16/$C$40</f>
        <v/>
      </c>
    </row>
    <row r="17">
      <c r="B17" s="235" t="inlineStr">
        <is>
          <t>Материалы прочие</t>
        </is>
      </c>
      <c r="C17" s="315">
        <f>'Прил.5 Расчет СМР и ОБ'!J75</f>
        <v/>
      </c>
      <c r="D17" s="237">
        <f>C17/$C$24</f>
        <v/>
      </c>
      <c r="E17" s="237">
        <f>C17/$C$40</f>
        <v/>
      </c>
    </row>
    <row r="18">
      <c r="B18" s="235" t="inlineStr">
        <is>
          <t>МАТЕРИАЛЫ, ВСЕГО:</t>
        </is>
      </c>
      <c r="C18" s="315">
        <f>C17+C16</f>
        <v/>
      </c>
      <c r="D18" s="237">
        <f>C18/$C$24</f>
        <v/>
      </c>
      <c r="E18" s="237">
        <f>C18/$C$40</f>
        <v/>
      </c>
    </row>
    <row r="19">
      <c r="B19" s="235" t="inlineStr">
        <is>
          <t>ИТОГО</t>
        </is>
      </c>
      <c r="C19" s="315">
        <f>C18+C14+C11</f>
        <v/>
      </c>
      <c r="D19" s="237" t="n"/>
      <c r="E19" s="235" t="n"/>
    </row>
    <row r="20">
      <c r="B20" s="235" t="inlineStr">
        <is>
          <t>Сметная прибыль, руб.</t>
        </is>
      </c>
      <c r="C20" s="315">
        <f>ROUND(C21*(C11+C15),2)</f>
        <v/>
      </c>
      <c r="D20" s="237">
        <f>C20/$C$24</f>
        <v/>
      </c>
      <c r="E20" s="237">
        <f>C20/$C$40</f>
        <v/>
      </c>
    </row>
    <row r="21">
      <c r="B21" s="235" t="inlineStr">
        <is>
          <t>Сметная прибыль, %</t>
        </is>
      </c>
      <c r="C21" s="240">
        <f>'Прил.5 Расчет СМР и ОБ'!D79</f>
        <v/>
      </c>
      <c r="D21" s="237" t="n"/>
      <c r="E21" s="235" t="n"/>
    </row>
    <row r="22">
      <c r="B22" s="235" t="inlineStr">
        <is>
          <t>Накладные расходы, руб.</t>
        </is>
      </c>
      <c r="C22" s="315">
        <f>ROUND(C23*(C11+C15),2)</f>
        <v/>
      </c>
      <c r="D22" s="237">
        <f>C22/$C$24</f>
        <v/>
      </c>
      <c r="E22" s="237">
        <f>C22/$C$40</f>
        <v/>
      </c>
    </row>
    <row r="23">
      <c r="B23" s="235" t="inlineStr">
        <is>
          <t>Накладные расходы, %</t>
        </is>
      </c>
      <c r="C23" s="240">
        <f>'Прил.5 Расчет СМР и ОБ'!D78</f>
        <v/>
      </c>
      <c r="D23" s="237" t="n"/>
      <c r="E23" s="235" t="n"/>
    </row>
    <row r="24">
      <c r="B24" s="235" t="inlineStr">
        <is>
          <t>ВСЕГО СМР с НР и СП</t>
        </is>
      </c>
      <c r="C24" s="315">
        <f>C19+C20+C22</f>
        <v/>
      </c>
      <c r="D24" s="237">
        <f>C24/$C$24</f>
        <v/>
      </c>
      <c r="E24" s="237">
        <f>C24/$C$40</f>
        <v/>
      </c>
    </row>
    <row r="25" ht="25.5" customHeight="1" s="336">
      <c r="B25" s="235" t="inlineStr">
        <is>
          <t>ВСЕГО стоимость оборудования, в том числе</t>
        </is>
      </c>
      <c r="C25" s="315">
        <f>'Прил.5 Расчет СМР и ОБ'!J35</f>
        <v/>
      </c>
      <c r="D25" s="237" t="n"/>
      <c r="E25" s="237">
        <f>C25/$C$40</f>
        <v/>
      </c>
    </row>
    <row r="26" ht="25.5" customHeight="1" s="336">
      <c r="B26" s="235" t="inlineStr">
        <is>
          <t>стоимость оборудования технологического</t>
        </is>
      </c>
      <c r="C26" s="315">
        <f>'Прил.5 Расчет СМР и ОБ'!J36</f>
        <v/>
      </c>
      <c r="D26" s="237" t="n"/>
      <c r="E26" s="237">
        <f>C26/$C$40</f>
        <v/>
      </c>
    </row>
    <row r="27">
      <c r="B27" s="235" t="inlineStr">
        <is>
          <t>ИТОГО (СМР + ОБОРУДОВАНИЕ)</t>
        </is>
      </c>
      <c r="C27" s="295">
        <f>C24+C25</f>
        <v/>
      </c>
      <c r="D27" s="237" t="n"/>
      <c r="E27" s="237">
        <f>C27/$C$40</f>
        <v/>
      </c>
    </row>
    <row r="28" ht="33" customHeight="1" s="336">
      <c r="B28" s="235" t="inlineStr">
        <is>
          <t>ПРОЧ. ЗАТР., УЧТЕННЫЕ ПОКАЗАТЕЛЕМ,  в том числе</t>
        </is>
      </c>
      <c r="C28" s="235" t="n"/>
      <c r="D28" s="235" t="n"/>
      <c r="E28" s="235" t="n"/>
      <c r="F28" s="238" t="n"/>
    </row>
    <row r="29" ht="25.5" customHeight="1" s="336">
      <c r="B29" s="235" t="inlineStr">
        <is>
          <t>Временные здания и сооружения - 3,9%</t>
        </is>
      </c>
      <c r="C29" s="295">
        <f>ROUND(C24*3.9%,2)</f>
        <v/>
      </c>
      <c r="D29" s="235" t="n"/>
      <c r="E29" s="237">
        <f>C29/$C$40</f>
        <v/>
      </c>
    </row>
    <row r="30" ht="38.25" customHeight="1" s="336">
      <c r="B30" s="235" t="inlineStr">
        <is>
          <t>Дополнительные затраты при производстве строительно-монтажных работ в зимнее время - 2,1%</t>
        </is>
      </c>
      <c r="C30" s="295">
        <f>ROUND((C24+C29)*2.1%,2)</f>
        <v/>
      </c>
      <c r="D30" s="235" t="n"/>
      <c r="E30" s="237">
        <f>C30/$C$40</f>
        <v/>
      </c>
      <c r="F30" s="238" t="n"/>
    </row>
    <row r="31">
      <c r="B31" s="235" t="inlineStr">
        <is>
          <t>Пусконаладочные работы</t>
        </is>
      </c>
      <c r="C31" s="295" t="n">
        <v>0</v>
      </c>
      <c r="D31" s="235" t="n"/>
      <c r="E31" s="237">
        <f>C31/$C$40</f>
        <v/>
      </c>
    </row>
    <row r="32" ht="25.5" customHeight="1" s="336">
      <c r="B32" s="235" t="inlineStr">
        <is>
          <t>Затраты по перевозке работников к месту работы и обратно</t>
        </is>
      </c>
      <c r="C32" s="295">
        <f>ROUND(C27*0%,2)</f>
        <v/>
      </c>
      <c r="D32" s="235" t="n"/>
      <c r="E32" s="237">
        <f>C32/$C$40</f>
        <v/>
      </c>
    </row>
    <row r="33" ht="25.5" customHeight="1" s="336">
      <c r="B33" s="235" t="inlineStr">
        <is>
          <t>Затраты, связанные с осуществлением работ вахтовым методом</t>
        </is>
      </c>
      <c r="C33" s="295">
        <f>ROUND(C28*0%,2)</f>
        <v/>
      </c>
      <c r="D33" s="235" t="n"/>
      <c r="E33" s="237">
        <f>C33/$C$40</f>
        <v/>
      </c>
    </row>
    <row r="34" ht="51" customHeight="1" s="336">
      <c r="B34" s="23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95">
        <f>ROUND(C29*0%,2)</f>
        <v/>
      </c>
      <c r="D34" s="235" t="n"/>
      <c r="E34" s="237">
        <f>C34/$C$40</f>
        <v/>
      </c>
      <c r="H34" s="244" t="n"/>
    </row>
    <row r="35" ht="76.7" customHeight="1" s="336">
      <c r="B35" s="23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95">
        <f>ROUND(C30*0%,2)</f>
        <v/>
      </c>
      <c r="D35" s="235" t="n"/>
      <c r="E35" s="237">
        <f>C35/$C$40</f>
        <v/>
      </c>
    </row>
    <row r="36" ht="25.5" customHeight="1" s="336">
      <c r="B36" s="235" t="inlineStr">
        <is>
          <t>Строительный контроль и содержание службы заказчика - 2,14%</t>
        </is>
      </c>
      <c r="C36" s="295">
        <f>ROUND((C27+C32+C33+C34+C35+C29+C31+C30)*2.14%,2)</f>
        <v/>
      </c>
      <c r="D36" s="235" t="n"/>
      <c r="E36" s="237">
        <f>C36/$C$40</f>
        <v/>
      </c>
      <c r="L36" s="238" t="n"/>
    </row>
    <row r="37">
      <c r="B37" s="235" t="inlineStr">
        <is>
          <t>Авторский надзор - 0,2%</t>
        </is>
      </c>
      <c r="C37" s="295">
        <f>ROUND((C27+C32+C33+C34+C35+C29+C31+C30)*0.2%,2)</f>
        <v/>
      </c>
      <c r="D37" s="235" t="n"/>
      <c r="E37" s="237">
        <f>C37/$C$40</f>
        <v/>
      </c>
      <c r="L37" s="238" t="n"/>
    </row>
    <row r="38" ht="38.25" customHeight="1" s="336">
      <c r="B38" s="235" t="inlineStr">
        <is>
          <t>ИТОГО (СМР+ОБОРУДОВАНИЕ+ПРОЧ. ЗАТР., УЧТЕННЫЕ ПОКАЗАТЕЛЕМ)</t>
        </is>
      </c>
      <c r="C38" s="315">
        <f>C27+C32+C33+C34+C35+C29+C31+C30+C36+C37</f>
        <v/>
      </c>
      <c r="D38" s="235" t="n"/>
      <c r="E38" s="237">
        <f>C38/$C$40</f>
        <v/>
      </c>
    </row>
    <row r="39" ht="13.7" customHeight="1" s="336">
      <c r="B39" s="235" t="inlineStr">
        <is>
          <t>Непредвиденные расходы</t>
        </is>
      </c>
      <c r="C39" s="315">
        <f>ROUND(C38*3%,2)</f>
        <v/>
      </c>
      <c r="D39" s="235" t="n"/>
      <c r="E39" s="237">
        <f>C39/$C$38</f>
        <v/>
      </c>
    </row>
    <row r="40">
      <c r="B40" s="235" t="inlineStr">
        <is>
          <t>ВСЕГО:</t>
        </is>
      </c>
      <c r="C40" s="315">
        <f>C39+C38</f>
        <v/>
      </c>
      <c r="D40" s="235" t="n"/>
      <c r="E40" s="237">
        <f>C40/$C$40</f>
        <v/>
      </c>
    </row>
    <row r="41">
      <c r="B41" s="235" t="inlineStr">
        <is>
          <t>ИТОГО ПОКАЗАТЕЛЬ НА ЕД. ИЗМ.</t>
        </is>
      </c>
      <c r="C41" s="315">
        <f>C40/'Прил.5 Расчет СМР и ОБ'!E82</f>
        <v/>
      </c>
      <c r="D41" s="235" t="n"/>
      <c r="E41" s="235" t="n"/>
    </row>
    <row r="42">
      <c r="B42" s="317" t="n"/>
      <c r="C42" s="313" t="n"/>
      <c r="D42" s="313" t="n"/>
      <c r="E42" s="313" t="n"/>
    </row>
    <row r="43">
      <c r="B43" s="317" t="inlineStr">
        <is>
          <t>Составил ____________________________ Д.Ю. Нефедова</t>
        </is>
      </c>
      <c r="C43" s="313" t="n"/>
      <c r="D43" s="313" t="n"/>
      <c r="E43" s="313" t="n"/>
    </row>
    <row r="44">
      <c r="B44" s="317" t="inlineStr">
        <is>
          <t xml:space="preserve">(должность, подпись, инициалы, фамилия) </t>
        </is>
      </c>
      <c r="C44" s="313" t="n"/>
      <c r="D44" s="313" t="n"/>
      <c r="E44" s="313" t="n"/>
    </row>
    <row r="45">
      <c r="B45" s="317" t="n"/>
      <c r="C45" s="313" t="n"/>
      <c r="D45" s="313" t="n"/>
      <c r="E45" s="313" t="n"/>
    </row>
    <row r="46">
      <c r="B46" s="317" t="inlineStr">
        <is>
          <t>Проверил ____________________________ А.В. Костянецкая</t>
        </is>
      </c>
      <c r="C46" s="313" t="n"/>
      <c r="D46" s="313" t="n"/>
      <c r="E46" s="313" t="n"/>
    </row>
    <row r="47">
      <c r="B47" s="385" t="inlineStr">
        <is>
          <t>(должность, подпись, инициалы, фамилия)</t>
        </is>
      </c>
      <c r="D47" s="313" t="n"/>
      <c r="E47" s="313" t="n"/>
    </row>
    <row r="49">
      <c r="B49" s="313" t="n"/>
      <c r="C49" s="313" t="n"/>
      <c r="D49" s="313" t="n"/>
      <c r="E49" s="313" t="n"/>
    </row>
    <row r="50">
      <c r="B50" s="313" t="n"/>
      <c r="C50" s="313" t="n"/>
      <c r="D50" s="313" t="n"/>
      <c r="E50" s="31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88"/>
  <sheetViews>
    <sheetView tabSelected="1" view="pageBreakPreview" zoomScale="70" zoomScaleSheetLayoutView="70" workbookViewId="0">
      <selection activeCell="V34" sqref="V34"/>
    </sheetView>
  </sheetViews>
  <sheetFormatPr baseColWidth="8" defaultColWidth="9.140625" defaultRowHeight="15" outlineLevelRow="1"/>
  <cols>
    <col width="5.7109375" customWidth="1" style="320" min="1" max="1"/>
    <col width="22.5703125" customWidth="1" style="320" min="2" max="2"/>
    <col width="39.140625" customWidth="1" style="320" min="3" max="3"/>
    <col width="10.7109375" customWidth="1" style="283" min="4" max="4"/>
    <col width="12.7109375" customWidth="1" style="320" min="5" max="5"/>
    <col width="15" customWidth="1" style="320" min="6" max="6"/>
    <col width="13.42578125" customWidth="1" style="320" min="7" max="7"/>
    <col width="12.7109375" customWidth="1" style="320" min="8" max="8"/>
    <col width="13.85546875" customWidth="1" style="320" min="9" max="9"/>
    <col width="17.5703125" customWidth="1" style="320" min="10" max="10"/>
    <col width="10.85546875" customWidth="1" style="320" min="11" max="11"/>
    <col width="9.140625" customWidth="1" style="320" min="12" max="12"/>
    <col width="9.140625" customWidth="1" style="336" min="13" max="13"/>
  </cols>
  <sheetData>
    <row r="1" s="336">
      <c r="A1" s="320" t="n"/>
      <c r="B1" s="320" t="n"/>
      <c r="C1" s="320" t="n"/>
      <c r="D1" s="283" t="n"/>
      <c r="E1" s="320" t="n"/>
      <c r="F1" s="320" t="n"/>
      <c r="G1" s="320" t="n"/>
      <c r="H1" s="320" t="n"/>
      <c r="I1" s="320" t="n"/>
      <c r="J1" s="320" t="n"/>
      <c r="K1" s="320" t="n"/>
      <c r="L1" s="320" t="n"/>
      <c r="M1" s="320" t="n"/>
      <c r="N1" s="320" t="n"/>
    </row>
    <row r="2" ht="15.75" customHeight="1" s="336">
      <c r="A2" s="320" t="n"/>
      <c r="B2" s="320" t="n"/>
      <c r="C2" s="320" t="n"/>
      <c r="D2" s="283" t="n"/>
      <c r="E2" s="320" t="n"/>
      <c r="F2" s="320" t="n"/>
      <c r="G2" s="320" t="n"/>
      <c r="H2" s="386" t="inlineStr">
        <is>
          <t>Приложение №5</t>
        </is>
      </c>
      <c r="K2" s="320" t="n"/>
      <c r="L2" s="320" t="n"/>
      <c r="M2" s="320" t="n"/>
      <c r="N2" s="320" t="n"/>
    </row>
    <row r="3" s="336">
      <c r="A3" s="320" t="n"/>
      <c r="B3" s="320" t="n"/>
      <c r="C3" s="320" t="n"/>
      <c r="D3" s="283" t="n"/>
      <c r="E3" s="320" t="n"/>
      <c r="F3" s="320" t="n"/>
      <c r="G3" s="320" t="n"/>
      <c r="H3" s="320" t="n"/>
      <c r="I3" s="320" t="n"/>
      <c r="J3" s="320" t="n"/>
      <c r="K3" s="320" t="n"/>
      <c r="L3" s="320" t="n"/>
      <c r="M3" s="320" t="n"/>
      <c r="N3" s="320" t="n"/>
    </row>
    <row r="4" ht="12.75" customFormat="1" customHeight="1" s="313">
      <c r="A4" s="360" t="inlineStr">
        <is>
          <t>Расчет стоимости СМР и оборудования</t>
        </is>
      </c>
    </row>
    <row r="5" ht="12.75" customFormat="1" customHeight="1" s="313">
      <c r="A5" s="360" t="n"/>
      <c r="B5" s="360" t="n"/>
      <c r="C5" s="412" t="n"/>
      <c r="D5" s="360" t="n"/>
      <c r="E5" s="360" t="n"/>
      <c r="F5" s="360" t="n"/>
      <c r="G5" s="360" t="n"/>
      <c r="H5" s="360" t="n"/>
      <c r="I5" s="360" t="n"/>
      <c r="J5" s="360" t="n"/>
    </row>
    <row r="6" ht="12.75" customFormat="1" customHeight="1" s="313">
      <c r="A6" s="212" t="inlineStr">
        <is>
          <t>Наименование разрабатываемого показателя УНЦ</t>
        </is>
      </c>
      <c r="B6" s="211" t="n"/>
      <c r="C6" s="211" t="n"/>
      <c r="D6" s="392" t="inlineStr">
        <is>
          <t>Защитные конструкций ПС Откатные (раздвижные, автоматические, противопожарные) ворота</t>
        </is>
      </c>
    </row>
    <row r="7" ht="12.75" customFormat="1" customHeight="1" s="313">
      <c r="A7" s="363" t="inlineStr">
        <is>
          <t>Единица измерения  — 1 ед.</t>
        </is>
      </c>
      <c r="I7" s="369" t="n"/>
      <c r="J7" s="369" t="n"/>
    </row>
    <row r="8" ht="13.7" customFormat="1" customHeight="1" s="313">
      <c r="A8" s="363" t="n"/>
    </row>
    <row r="9" ht="27" customHeight="1" s="336">
      <c r="A9" s="389" t="inlineStr">
        <is>
          <t>№ пп.</t>
        </is>
      </c>
      <c r="B9" s="389" t="inlineStr">
        <is>
          <t>Код ресурса</t>
        </is>
      </c>
      <c r="C9" s="389" t="inlineStr">
        <is>
          <t>Наименование</t>
        </is>
      </c>
      <c r="D9" s="389" t="inlineStr">
        <is>
          <t>Ед. изм.</t>
        </is>
      </c>
      <c r="E9" s="389" t="inlineStr">
        <is>
          <t>Кол-во единиц по проектным данным</t>
        </is>
      </c>
      <c r="F9" s="389" t="inlineStr">
        <is>
          <t>Сметная стоимость в ценах на 01.01.2000 (руб.)</t>
        </is>
      </c>
      <c r="G9" s="456" t="n"/>
      <c r="H9" s="389" t="inlineStr">
        <is>
          <t>Удельный вес, %</t>
        </is>
      </c>
      <c r="I9" s="389" t="inlineStr">
        <is>
          <t>Сметная стоимость в ценах на 01.01.2023 (руб.)</t>
        </is>
      </c>
      <c r="J9" s="456" t="n"/>
      <c r="K9" s="320" t="n"/>
      <c r="L9" s="320" t="n"/>
      <c r="M9" s="320" t="n"/>
      <c r="N9" s="320" t="n"/>
    </row>
    <row r="10" ht="28.5" customHeight="1" s="336">
      <c r="A10" s="458" t="n"/>
      <c r="B10" s="458" t="n"/>
      <c r="C10" s="458" t="n"/>
      <c r="D10" s="458" t="n"/>
      <c r="E10" s="458" t="n"/>
      <c r="F10" s="389" t="inlineStr">
        <is>
          <t>на ед. изм.</t>
        </is>
      </c>
      <c r="G10" s="389" t="inlineStr">
        <is>
          <t>общая</t>
        </is>
      </c>
      <c r="H10" s="458" t="n"/>
      <c r="I10" s="389" t="inlineStr">
        <is>
          <t>на ед. изм.</t>
        </is>
      </c>
      <c r="J10" s="389" t="inlineStr">
        <is>
          <t>общая</t>
        </is>
      </c>
      <c r="K10" s="320" t="n"/>
      <c r="L10" s="320" t="n"/>
      <c r="M10" s="320" t="n"/>
      <c r="N10" s="320" t="n"/>
    </row>
    <row r="11" s="336">
      <c r="A11" s="389" t="n">
        <v>1</v>
      </c>
      <c r="B11" s="389" t="n">
        <v>2</v>
      </c>
      <c r="C11" s="389" t="n">
        <v>3</v>
      </c>
      <c r="D11" s="389" t="n">
        <v>4</v>
      </c>
      <c r="E11" s="389" t="n">
        <v>5</v>
      </c>
      <c r="F11" s="389" t="n">
        <v>6</v>
      </c>
      <c r="G11" s="389" t="n">
        <v>7</v>
      </c>
      <c r="H11" s="389" t="n">
        <v>8</v>
      </c>
      <c r="I11" s="390" t="n">
        <v>9</v>
      </c>
      <c r="J11" s="390" t="n">
        <v>10</v>
      </c>
      <c r="K11" s="320" t="n"/>
      <c r="L11" s="320" t="n"/>
      <c r="M11" s="320" t="n"/>
      <c r="N11" s="320" t="n"/>
    </row>
    <row r="12">
      <c r="A12" s="389" t="n"/>
      <c r="B12" s="378" t="inlineStr">
        <is>
          <t>Затраты труда рабочих-строителей</t>
        </is>
      </c>
      <c r="C12" s="455" t="n"/>
      <c r="D12" s="455" t="n"/>
      <c r="E12" s="455" t="n"/>
      <c r="F12" s="455" t="n"/>
      <c r="G12" s="455" t="n"/>
      <c r="H12" s="456" t="n"/>
      <c r="I12" s="200" t="n"/>
      <c r="J12" s="200" t="n"/>
    </row>
    <row r="13" ht="25.5" customHeight="1" s="336">
      <c r="A13" s="389" t="n">
        <v>1</v>
      </c>
      <c r="B13" s="260" t="inlineStr">
        <is>
          <t>1-4-0</t>
        </is>
      </c>
      <c r="C13" s="397" t="inlineStr">
        <is>
          <t>Затраты труда рабочих-строителей среднего разряда (4,0)</t>
        </is>
      </c>
      <c r="D13" s="389" t="inlineStr">
        <is>
          <t>чел.-ч.</t>
        </is>
      </c>
      <c r="E13" s="465">
        <f>G13/F13</f>
        <v/>
      </c>
      <c r="F13" s="206" t="n">
        <v>9.619999999999999</v>
      </c>
      <c r="G13" s="206">
        <f>Прил.3!H12</f>
        <v/>
      </c>
      <c r="H13" s="208">
        <f>G13/G14</f>
        <v/>
      </c>
      <c r="I13" s="206">
        <f>ФОТр.тек.!E13</f>
        <v/>
      </c>
      <c r="J13" s="206">
        <f>ROUND(I13*E13,2)</f>
        <v/>
      </c>
    </row>
    <row r="14" ht="25.5" customFormat="1" customHeight="1" s="320">
      <c r="A14" s="389" t="n"/>
      <c r="B14" s="389" t="n"/>
      <c r="C14" s="378" t="inlineStr">
        <is>
          <t>Итого по разделу "Затраты труда рабочих-строителей"</t>
        </is>
      </c>
      <c r="D14" s="389" t="inlineStr">
        <is>
          <t>чел.-ч.</t>
        </is>
      </c>
      <c r="E14" s="465">
        <f>SUM(E13:E13)</f>
        <v/>
      </c>
      <c r="F14" s="206" t="n"/>
      <c r="G14" s="206">
        <f>SUM(G13:G13)</f>
        <v/>
      </c>
      <c r="H14" s="400" t="n">
        <v>1</v>
      </c>
      <c r="I14" s="200" t="n"/>
      <c r="J14" s="206">
        <f>SUM(J13:J13)</f>
        <v/>
      </c>
    </row>
    <row r="15" ht="14.25" customFormat="1" customHeight="1" s="320">
      <c r="A15" s="389" t="n"/>
      <c r="B15" s="397" t="inlineStr">
        <is>
          <t>Затраты труда машинистов</t>
        </is>
      </c>
      <c r="C15" s="455" t="n"/>
      <c r="D15" s="455" t="n"/>
      <c r="E15" s="455" t="n"/>
      <c r="F15" s="455" t="n"/>
      <c r="G15" s="455" t="n"/>
      <c r="H15" s="456" t="n"/>
      <c r="I15" s="200" t="n"/>
      <c r="J15" s="200" t="n"/>
    </row>
    <row r="16" ht="14.25" customFormat="1" customHeight="1" s="320">
      <c r="A16" s="389" t="n">
        <v>2</v>
      </c>
      <c r="B16" s="389" t="n">
        <v>2</v>
      </c>
      <c r="C16" s="397" t="inlineStr">
        <is>
          <t>Затраты труда машинистов</t>
        </is>
      </c>
      <c r="D16" s="389" t="inlineStr">
        <is>
          <t>чел.-ч.</t>
        </is>
      </c>
      <c r="E16" s="465">
        <f>Прил.3!F18</f>
        <v/>
      </c>
      <c r="F16" s="294">
        <f>G16/E16</f>
        <v/>
      </c>
      <c r="G16" s="206">
        <f>Прил.3!H17</f>
        <v/>
      </c>
      <c r="H16" s="400" t="n">
        <v>1</v>
      </c>
      <c r="I16" s="206">
        <f>ROUND(F16*Прил.10!D11,2)</f>
        <v/>
      </c>
      <c r="J16" s="206">
        <f>ROUND(I16*E16,2)</f>
        <v/>
      </c>
    </row>
    <row r="17" ht="14.25" customFormat="1" customHeight="1" s="320">
      <c r="A17" s="389" t="n"/>
      <c r="B17" s="378" t="inlineStr">
        <is>
          <t>Машины и механизмы</t>
        </is>
      </c>
      <c r="C17" s="455" t="n"/>
      <c r="D17" s="455" t="n"/>
      <c r="E17" s="455" t="n"/>
      <c r="F17" s="455" t="n"/>
      <c r="G17" s="455" t="n"/>
      <c r="H17" s="456" t="n"/>
      <c r="I17" s="200" t="n"/>
      <c r="J17" s="200" t="n"/>
    </row>
    <row r="18" ht="14.25" customFormat="1" customHeight="1" s="320">
      <c r="A18" s="389" t="n"/>
      <c r="B18" s="397" t="inlineStr">
        <is>
          <t>Основные машины и механизмы</t>
        </is>
      </c>
      <c r="C18" s="455" t="n"/>
      <c r="D18" s="455" t="n"/>
      <c r="E18" s="455" t="n"/>
      <c r="F18" s="455" t="n"/>
      <c r="G18" s="455" t="n"/>
      <c r="H18" s="456" t="n"/>
      <c r="I18" s="200" t="n"/>
      <c r="J18" s="200" t="n"/>
    </row>
    <row r="19" ht="25.5" customFormat="1" customHeight="1" s="320">
      <c r="A19" s="389" t="n">
        <v>3</v>
      </c>
      <c r="B19" s="260" t="inlineStr">
        <is>
          <t>91.05.04-010</t>
        </is>
      </c>
      <c r="C19" s="397" t="inlineStr">
        <is>
          <t>Краны мостовые электрические, грузоподъемность 50 т</t>
        </is>
      </c>
      <c r="D19" s="389" t="inlineStr">
        <is>
          <t>маш.-ч</t>
        </is>
      </c>
      <c r="E19" s="466" t="n">
        <v>2.48</v>
      </c>
      <c r="F19" s="399" t="n">
        <v>197.01</v>
      </c>
      <c r="G19" s="206">
        <f>ROUND(E19*F19,2)</f>
        <v/>
      </c>
      <c r="H19" s="208">
        <f>G19/$G$30</f>
        <v/>
      </c>
      <c r="I19" s="206">
        <f>ROUND(F19*Прил.10!$D$12,2)</f>
        <v/>
      </c>
      <c r="J19" s="206">
        <f>ROUND(I19*E19,2)</f>
        <v/>
      </c>
    </row>
    <row r="20" ht="25.5" customFormat="1" customHeight="1" s="320">
      <c r="A20" s="389" t="n">
        <v>4</v>
      </c>
      <c r="B20" s="260" t="inlineStr">
        <is>
          <t>91.05.05-014</t>
        </is>
      </c>
      <c r="C20" s="397" t="inlineStr">
        <is>
          <t>Краны на автомобильном ходу, грузоподъемность 10 т</t>
        </is>
      </c>
      <c r="D20" s="389" t="inlineStr">
        <is>
          <t>маш.-ч</t>
        </is>
      </c>
      <c r="E20" s="466" t="n">
        <v>3.8091</v>
      </c>
      <c r="F20" s="399" t="n">
        <v>111.99</v>
      </c>
      <c r="G20" s="206">
        <f>ROUND(E20*F20,2)</f>
        <v/>
      </c>
      <c r="H20" s="208">
        <f>G20/$G$30</f>
        <v/>
      </c>
      <c r="I20" s="206">
        <f>ROUND(F20*Прил.10!$D$12,2)</f>
        <v/>
      </c>
      <c r="J20" s="206">
        <f>ROUND(I20*E20,2)</f>
        <v/>
      </c>
    </row>
    <row r="21" ht="25.5" customFormat="1" customHeight="1" s="320">
      <c r="A21" s="389" t="n">
        <v>5</v>
      </c>
      <c r="B21" s="260" t="inlineStr">
        <is>
          <t>91.14.02-001</t>
        </is>
      </c>
      <c r="C21" s="397" t="inlineStr">
        <is>
          <t>Автомобили бортовые, грузоподъемность до 5 т</t>
        </is>
      </c>
      <c r="D21" s="389" t="inlineStr">
        <is>
          <t>маш.-ч</t>
        </is>
      </c>
      <c r="E21" s="466" t="n">
        <v>2.8768</v>
      </c>
      <c r="F21" s="399" t="n">
        <v>65.70999999999999</v>
      </c>
      <c r="G21" s="206">
        <f>ROUND(E21*F21,2)</f>
        <v/>
      </c>
      <c r="H21" s="208">
        <f>G21/$G$30</f>
        <v/>
      </c>
      <c r="I21" s="206">
        <f>ROUND(F21*Прил.10!$D$12,2)</f>
        <v/>
      </c>
      <c r="J21" s="206">
        <f>ROUND(I21*E21,2)</f>
        <v/>
      </c>
    </row>
    <row r="22" ht="14.25" customFormat="1" customHeight="1" s="320">
      <c r="A22" s="389" t="n"/>
      <c r="B22" s="389" t="n"/>
      <c r="C22" s="397" t="inlineStr">
        <is>
          <t>Итого основные машины и механизмы</t>
        </is>
      </c>
      <c r="D22" s="389" t="n"/>
      <c r="E22" s="465" t="n"/>
      <c r="F22" s="206" t="n"/>
      <c r="G22" s="206">
        <f>SUM(G19:G21)</f>
        <v/>
      </c>
      <c r="H22" s="400">
        <f>G22/G30</f>
        <v/>
      </c>
      <c r="I22" s="201" t="n"/>
      <c r="J22" s="206">
        <f>SUM(J19:J21)</f>
        <v/>
      </c>
    </row>
    <row r="23" hidden="1" outlineLevel="1" ht="25.5" customFormat="1" customHeight="1" s="320">
      <c r="A23" s="389" t="n">
        <v>6</v>
      </c>
      <c r="B23" s="260" t="inlineStr">
        <is>
          <t>91.17.04-233</t>
        </is>
      </c>
      <c r="C23" s="397" t="inlineStr">
        <is>
          <t>Установки для сварки ручной дуговой (постоянного тока)</t>
        </is>
      </c>
      <c r="D23" s="389" t="inlineStr">
        <is>
          <t>маш.-ч</t>
        </is>
      </c>
      <c r="E23" s="466" t="n">
        <v>17.0008</v>
      </c>
      <c r="F23" s="399" t="n">
        <v>8.1</v>
      </c>
      <c r="G23" s="206">
        <f>ROUND(E23*F23,2)</f>
        <v/>
      </c>
      <c r="H23" s="208">
        <f>G23/$G$30</f>
        <v/>
      </c>
      <c r="I23" s="206">
        <f>ROUND(F23*Прил.10!$D$12,2)</f>
        <v/>
      </c>
      <c r="J23" s="206">
        <f>ROUND(I23*E23,2)</f>
        <v/>
      </c>
    </row>
    <row r="24" hidden="1" outlineLevel="1" ht="25.5" customFormat="1" customHeight="1" s="320">
      <c r="A24" s="389" t="n">
        <v>7</v>
      </c>
      <c r="B24" s="260" t="inlineStr">
        <is>
          <t>91.06.03-061</t>
        </is>
      </c>
      <c r="C24" s="397" t="inlineStr">
        <is>
          <t>Лебедки электрические тяговым усилием до 12,26 кН (1,25 т)</t>
        </is>
      </c>
      <c r="D24" s="389" t="inlineStr">
        <is>
          <t>маш.-ч</t>
        </is>
      </c>
      <c r="E24" s="466" t="n">
        <v>4.644</v>
      </c>
      <c r="F24" s="399" t="n">
        <v>3.28</v>
      </c>
      <c r="G24" s="206">
        <f>ROUND(E24*F24,2)</f>
        <v/>
      </c>
      <c r="H24" s="208">
        <f>G24/$G$30</f>
        <v/>
      </c>
      <c r="I24" s="206">
        <f>ROUND(F24*Прил.10!$D$12,2)</f>
        <v/>
      </c>
      <c r="J24" s="206">
        <f>ROUND(I24*E24,2)</f>
        <v/>
      </c>
    </row>
    <row r="25" hidden="1" outlineLevel="1" ht="14.25" customFormat="1" customHeight="1" s="320">
      <c r="A25" s="389" t="n">
        <v>8</v>
      </c>
      <c r="B25" s="260" t="inlineStr">
        <is>
          <t>331-451</t>
        </is>
      </c>
      <c r="C25" s="397" t="inlineStr">
        <is>
          <t>Перфораторы: электрические</t>
        </is>
      </c>
      <c r="D25" s="389" t="inlineStr">
        <is>
          <t>маш.-ч</t>
        </is>
      </c>
      <c r="E25" s="466" t="n">
        <v>3.905</v>
      </c>
      <c r="F25" s="399" t="n">
        <v>2.08</v>
      </c>
      <c r="G25" s="206">
        <f>ROUND(E25*F25,2)</f>
        <v/>
      </c>
      <c r="H25" s="208">
        <f>G25/$G$30</f>
        <v/>
      </c>
      <c r="I25" s="206">
        <f>ROUND(F25*Прил.10!$D$12,2)</f>
        <v/>
      </c>
      <c r="J25" s="206">
        <f>ROUND(I25*E25,2)</f>
        <v/>
      </c>
    </row>
    <row r="26" hidden="1" outlineLevel="1" ht="38.25" customFormat="1" customHeight="1" s="320">
      <c r="A26" s="389" t="n">
        <v>9</v>
      </c>
      <c r="B26" s="260" t="inlineStr">
        <is>
          <t>91.01.05-106</t>
        </is>
      </c>
      <c r="C26" s="397" t="inlineStr">
        <is>
          <t>Экскаваторы одноковшовые дизельные на пневмоколесном ходу, емкость ковша 0,25 м3</t>
        </is>
      </c>
      <c r="D26" s="389" t="inlineStr">
        <is>
          <t>маш.-ч</t>
        </is>
      </c>
      <c r="E26" s="466" t="n">
        <v>0.0663</v>
      </c>
      <c r="F26" s="399" t="n">
        <v>70.01000000000001</v>
      </c>
      <c r="G26" s="206">
        <f>ROUND(E26*F26,2)</f>
        <v/>
      </c>
      <c r="H26" s="208">
        <f>G26/$G$30</f>
        <v/>
      </c>
      <c r="I26" s="206">
        <f>ROUND(F26*Прил.10!$D$12,2)</f>
        <v/>
      </c>
      <c r="J26" s="206">
        <f>ROUND(I26*E26,2)</f>
        <v/>
      </c>
    </row>
    <row r="27" hidden="1" outlineLevel="1" ht="25.5" customFormat="1" customHeight="1" s="320">
      <c r="A27" s="389" t="n">
        <v>10</v>
      </c>
      <c r="B27" s="260" t="inlineStr">
        <is>
          <t>91.06.01-003</t>
        </is>
      </c>
      <c r="C27" s="397" t="inlineStr">
        <is>
          <t>Домкраты гидравлические, грузоподъемность 63-100 т</t>
        </is>
      </c>
      <c r="D27" s="389" t="inlineStr">
        <is>
          <t>маш.-ч</t>
        </is>
      </c>
      <c r="E27" s="466" t="n">
        <v>4.644</v>
      </c>
      <c r="F27" s="399" t="n">
        <v>0.9</v>
      </c>
      <c r="G27" s="206">
        <f>ROUND(E27*F27,2)</f>
        <v/>
      </c>
      <c r="H27" s="208">
        <f>G27/$G$30</f>
        <v/>
      </c>
      <c r="I27" s="206">
        <f>ROUND(F27*Прил.10!$D$12,2)</f>
        <v/>
      </c>
      <c r="J27" s="206">
        <f>ROUND(I27*E27,2)</f>
        <v/>
      </c>
    </row>
    <row r="28" hidden="1" outlineLevel="1" ht="14.25" customFormat="1" customHeight="1" s="320">
      <c r="A28" s="389" t="n">
        <v>11</v>
      </c>
      <c r="B28" s="260" t="inlineStr">
        <is>
          <t>91.07.04-001</t>
        </is>
      </c>
      <c r="C28" s="397" t="inlineStr">
        <is>
          <t>Вибраторы глубинные</t>
        </is>
      </c>
      <c r="D28" s="389" t="inlineStr">
        <is>
          <t>маш.-ч</t>
        </is>
      </c>
      <c r="E28" s="466" t="n">
        <v>0.2379</v>
      </c>
      <c r="F28" s="399" t="n">
        <v>1.9</v>
      </c>
      <c r="G28" s="206">
        <f>ROUND(E28*F28,2)</f>
        <v/>
      </c>
      <c r="H28" s="208">
        <f>G28/$G$30</f>
        <v/>
      </c>
      <c r="I28" s="206">
        <f>ROUND(F28*Прил.10!$D$12,2)</f>
        <v/>
      </c>
      <c r="J28" s="206">
        <f>ROUND(I28*E28,2)</f>
        <v/>
      </c>
    </row>
    <row r="29" collapsed="1" ht="14.25" customFormat="1" customHeight="1" s="320">
      <c r="A29" s="389" t="n"/>
      <c r="B29" s="389" t="n"/>
      <c r="C29" s="397" t="inlineStr">
        <is>
          <t>Итого прочие машины и механизмы</t>
        </is>
      </c>
      <c r="D29" s="389" t="n"/>
      <c r="E29" s="398" t="n"/>
      <c r="F29" s="206" t="n"/>
      <c r="G29" s="201">
        <f>SUM(G23:G28)</f>
        <v/>
      </c>
      <c r="H29" s="208">
        <f>G29/G30</f>
        <v/>
      </c>
      <c r="I29" s="206" t="n"/>
      <c r="J29" s="206">
        <f>SUM(J23:J28)</f>
        <v/>
      </c>
    </row>
    <row r="30" ht="25.5" customFormat="1" customHeight="1" s="320">
      <c r="A30" s="389" t="n"/>
      <c r="B30" s="389" t="n"/>
      <c r="C30" s="378" t="inlineStr">
        <is>
          <t>Итого по разделу «Машины и механизмы»</t>
        </is>
      </c>
      <c r="D30" s="389" t="n"/>
      <c r="E30" s="398" t="n"/>
      <c r="F30" s="206" t="n"/>
      <c r="G30" s="206">
        <f>G29+G22</f>
        <v/>
      </c>
      <c r="H30" s="194" t="n">
        <v>1</v>
      </c>
      <c r="I30" s="195" t="n"/>
      <c r="J30" s="220">
        <f>J29+J22</f>
        <v/>
      </c>
    </row>
    <row r="31" ht="14.25" customFormat="1" customHeight="1" s="320">
      <c r="A31" s="389" t="n"/>
      <c r="B31" s="378" t="inlineStr">
        <is>
          <t>Оборудование</t>
        </is>
      </c>
      <c r="C31" s="455" t="n"/>
      <c r="D31" s="455" t="n"/>
      <c r="E31" s="455" t="n"/>
      <c r="F31" s="455" t="n"/>
      <c r="G31" s="455" t="n"/>
      <c r="H31" s="456" t="n"/>
      <c r="I31" s="200" t="n"/>
      <c r="J31" s="200" t="n"/>
    </row>
    <row r="32">
      <c r="A32" s="389" t="n"/>
      <c r="B32" s="397" t="inlineStr">
        <is>
          <t>Основное оборудование</t>
        </is>
      </c>
      <c r="C32" s="455" t="n"/>
      <c r="D32" s="455" t="n"/>
      <c r="E32" s="455" t="n"/>
      <c r="F32" s="455" t="n"/>
      <c r="G32" s="455" t="n"/>
      <c r="H32" s="456" t="n"/>
      <c r="I32" s="200" t="n"/>
      <c r="J32" s="200" t="n"/>
      <c r="K32" s="320" t="n"/>
      <c r="L32" s="320" t="n"/>
    </row>
    <row r="33">
      <c r="A33" s="391" t="n"/>
      <c r="B33" s="389" t="n"/>
      <c r="C33" s="397" t="inlineStr">
        <is>
          <t>Итого основное оборудование</t>
        </is>
      </c>
      <c r="D33" s="389" t="n"/>
      <c r="E33" s="466" t="n"/>
      <c r="F33" s="399" t="n"/>
      <c r="G33" s="206" t="n">
        <v>0</v>
      </c>
      <c r="H33" s="208" t="n">
        <v>0</v>
      </c>
      <c r="I33" s="201" t="n"/>
      <c r="J33" s="206" t="n">
        <v>0</v>
      </c>
      <c r="K33" s="320" t="n"/>
      <c r="L33" s="320" t="n"/>
    </row>
    <row r="34">
      <c r="A34" s="391" t="n"/>
      <c r="B34" s="389" t="n"/>
      <c r="C34" s="397" t="inlineStr">
        <is>
          <t>Итого прочее оборудование</t>
        </is>
      </c>
      <c r="D34" s="293" t="n"/>
      <c r="E34" s="466" t="n"/>
      <c r="F34" s="399" t="n"/>
      <c r="G34" s="206" t="n">
        <v>0</v>
      </c>
      <c r="H34" s="208" t="n">
        <v>0</v>
      </c>
      <c r="I34" s="201" t="n"/>
      <c r="J34" s="206" t="n">
        <v>0</v>
      </c>
      <c r="K34" s="320" t="n"/>
      <c r="L34" s="320" t="n"/>
    </row>
    <row r="35">
      <c r="A35" s="389" t="n"/>
      <c r="B35" s="389" t="n"/>
      <c r="C35" s="378" t="inlineStr">
        <is>
          <t>Итого по разделу «Оборудование»</t>
        </is>
      </c>
      <c r="D35" s="389" t="n"/>
      <c r="E35" s="398" t="n"/>
      <c r="F35" s="399" t="n"/>
      <c r="G35" s="206">
        <f>G33+G34</f>
        <v/>
      </c>
      <c r="H35" s="208" t="n">
        <v>0</v>
      </c>
      <c r="I35" s="201" t="n"/>
      <c r="J35" s="206">
        <f>J33+J34</f>
        <v/>
      </c>
      <c r="K35" s="320" t="n"/>
      <c r="L35" s="320" t="n"/>
    </row>
    <row r="36" ht="25.5" customHeight="1" s="336">
      <c r="A36" s="389" t="n"/>
      <c r="B36" s="389" t="n"/>
      <c r="C36" s="397" t="inlineStr">
        <is>
          <t>в том числе технологическое оборудование</t>
        </is>
      </c>
      <c r="D36" s="389" t="n"/>
      <c r="E36" s="466" t="n"/>
      <c r="F36" s="399" t="n"/>
      <c r="G36" s="206">
        <f>'Прил.6 Расчет ОБ'!G12</f>
        <v/>
      </c>
      <c r="H36" s="400" t="n"/>
      <c r="I36" s="201" t="n"/>
      <c r="J36" s="206">
        <f>J35</f>
        <v/>
      </c>
      <c r="K36" s="320" t="n"/>
      <c r="L36" s="320" t="n"/>
    </row>
    <row r="37" ht="14.25" customFormat="1" customHeight="1" s="320">
      <c r="A37" s="389" t="n"/>
      <c r="B37" s="378" t="inlineStr">
        <is>
          <t>Материалы</t>
        </is>
      </c>
      <c r="C37" s="455" t="n"/>
      <c r="D37" s="455" t="n"/>
      <c r="E37" s="455" t="n"/>
      <c r="F37" s="455" t="n"/>
      <c r="G37" s="455" t="n"/>
      <c r="H37" s="456" t="n"/>
      <c r="I37" s="200" t="n"/>
      <c r="J37" s="200" t="n"/>
    </row>
    <row r="38" ht="14.25" customFormat="1" customHeight="1" s="320">
      <c r="A38" s="390" t="n"/>
      <c r="B38" s="393" t="inlineStr">
        <is>
          <t>Основные материалы</t>
        </is>
      </c>
      <c r="C38" s="467" t="n"/>
      <c r="D38" s="467" t="n"/>
      <c r="E38" s="467" t="n"/>
      <c r="F38" s="467" t="n"/>
      <c r="G38" s="467" t="n"/>
      <c r="H38" s="468" t="n"/>
      <c r="I38" s="214" t="n"/>
      <c r="J38" s="214" t="n"/>
    </row>
    <row r="39" ht="25.5" customFormat="1" customHeight="1" s="320">
      <c r="A39" s="389" t="n">
        <v>12</v>
      </c>
      <c r="B39" s="260" t="inlineStr">
        <is>
          <t>БЦ.92_4.11</t>
        </is>
      </c>
      <c r="C39" s="274" t="inlineStr">
        <is>
          <t>Мотор-редуктор для откатных ворот</t>
        </is>
      </c>
      <c r="D39" s="284" t="inlineStr">
        <is>
          <t>шт</t>
        </is>
      </c>
      <c r="E39" s="469" t="n">
        <v>1</v>
      </c>
      <c r="F39" s="409">
        <f>ROUND(I39/Прил.10!D13,2)</f>
        <v/>
      </c>
      <c r="G39" s="206">
        <f>ROUND(E39*F39,2)</f>
        <v/>
      </c>
      <c r="H39" s="208">
        <f>G39/$G$76</f>
        <v/>
      </c>
      <c r="I39" s="274" t="n">
        <v>22801.75</v>
      </c>
      <c r="J39" s="206">
        <f>ROUND(I39*E39,2)</f>
        <v/>
      </c>
    </row>
    <row r="40" ht="51" customFormat="1" customHeight="1" s="320">
      <c r="A40" s="389" t="n">
        <v>13</v>
      </c>
      <c r="B40" s="260" t="inlineStr">
        <is>
          <t>07.2.07.12-0018</t>
        </is>
      </c>
      <c r="C40" s="397" t="inlineStr">
        <is>
          <t>Элементы конструктивные зданий и сооружений с преобладанием гнутых профилей, средняя масса сборочной единицы свыше 0,1 до 0,5 т</t>
        </is>
      </c>
      <c r="D40" s="389" t="inlineStr">
        <is>
          <t>т</t>
        </is>
      </c>
      <c r="E40" s="466" t="n">
        <v>0.612</v>
      </c>
      <c r="F40" s="399" t="n">
        <v>8128</v>
      </c>
      <c r="G40" s="206">
        <f>ROUND(E40*F40,2)</f>
        <v/>
      </c>
      <c r="H40" s="208">
        <f>G40/$G$76</f>
        <v/>
      </c>
      <c r="I40" s="206">
        <f>ROUND(F40*Прил.10!$D$13,2)</f>
        <v/>
      </c>
      <c r="J40" s="206">
        <f>ROUND(I40*E40,2)</f>
        <v/>
      </c>
    </row>
    <row r="41" ht="38.25" customFormat="1" customHeight="1" s="320">
      <c r="A41" s="389" t="n">
        <v>14</v>
      </c>
      <c r="B41" s="260" t="inlineStr">
        <is>
          <t>08.1.06.01-0002</t>
        </is>
      </c>
      <c r="C41" s="397" t="inlineStr">
        <is>
          <t>Ворота различных типов рамы, каркасы, панели с заполнением из тонколистовой стали без механизма открывания</t>
        </is>
      </c>
      <c r="D41" s="389" t="inlineStr">
        <is>
          <t>т</t>
        </is>
      </c>
      <c r="E41" s="466" t="n">
        <v>0.588</v>
      </c>
      <c r="F41" s="399" t="n">
        <v>5999.99</v>
      </c>
      <c r="G41" s="206">
        <f>ROUND(E41*F41,2)</f>
        <v/>
      </c>
      <c r="H41" s="208">
        <f>G41/$G$76</f>
        <v/>
      </c>
      <c r="I41" s="206">
        <f>ROUND(F41*Прил.10!$D$13,2)</f>
        <v/>
      </c>
      <c r="J41" s="206">
        <f>ROUND(I41*E41,2)</f>
        <v/>
      </c>
    </row>
    <row r="42" ht="14.25" customFormat="1" customHeight="1" s="320">
      <c r="A42" s="389" t="n">
        <v>15</v>
      </c>
      <c r="B42" s="287" t="inlineStr">
        <is>
          <t>62.1.02.14-0069</t>
        </is>
      </c>
      <c r="C42" s="274" t="inlineStr">
        <is>
          <t>Ящик управления РУСМ 5410-2274 У2</t>
        </is>
      </c>
      <c r="D42" s="284" t="inlineStr">
        <is>
          <t>шт.</t>
        </is>
      </c>
      <c r="E42" s="469" t="n">
        <v>1</v>
      </c>
      <c r="F42" s="274" t="n">
        <v>1097.28</v>
      </c>
      <c r="G42" s="206">
        <f>ROUND(E42*F42,2)</f>
        <v/>
      </c>
      <c r="H42" s="208">
        <f>G42/$G$76</f>
        <v/>
      </c>
      <c r="I42" s="274">
        <f>ROUND(F42*Прил.10!$D$13,2)</f>
        <v/>
      </c>
      <c r="J42" s="206">
        <f>ROUND(I42*E42,2)</f>
        <v/>
      </c>
    </row>
    <row r="43" ht="14.25" customFormat="1" customHeight="1" s="320">
      <c r="A43" s="389" t="n">
        <v>16</v>
      </c>
      <c r="B43" s="260" t="inlineStr">
        <is>
          <t>08.1.02.13-0005</t>
        </is>
      </c>
      <c r="C43" s="397" t="inlineStr">
        <is>
          <t>Рукава металлические из стальной оцинкованной ленты, негерметичные, простого профиля, РЗ-ЦХ, условный диаметр 15 мм</t>
        </is>
      </c>
      <c r="D43" s="389" t="inlineStr">
        <is>
          <t>м</t>
        </is>
      </c>
      <c r="E43" s="466" t="n">
        <v>110</v>
      </c>
      <c r="F43" s="399" t="n">
        <v>8.279999999999999</v>
      </c>
      <c r="G43" s="206">
        <f>ROUND(E43*F43,2)</f>
        <v/>
      </c>
      <c r="H43" s="208">
        <f>G43/$G$76</f>
        <v/>
      </c>
      <c r="I43" s="206">
        <f>ROUND(F43*Прил.10!$D$13,2)</f>
        <v/>
      </c>
      <c r="J43" s="206">
        <f>ROUND(I43*E43,2)</f>
        <v/>
      </c>
    </row>
    <row r="44">
      <c r="A44" s="389" t="n">
        <v>17</v>
      </c>
      <c r="B44" s="260" t="inlineStr">
        <is>
          <t>05.1.08.01-0088</t>
        </is>
      </c>
      <c r="C44" s="397" t="inlineStr">
        <is>
          <t>Блоки железобетонные фундаментные</t>
        </is>
      </c>
      <c r="D44" s="389" t="inlineStr">
        <is>
          <t>м3</t>
        </is>
      </c>
      <c r="E44" s="466" t="n">
        <v>1</v>
      </c>
      <c r="F44" s="399" t="n">
        <v>682</v>
      </c>
      <c r="G44" s="206">
        <f>ROUND(E44*F44,2)</f>
        <v/>
      </c>
      <c r="H44" s="208">
        <f>G44/$G$76</f>
        <v/>
      </c>
      <c r="I44" s="206">
        <f>ROUND(F44*Прил.10!$D$13,2)</f>
        <v/>
      </c>
      <c r="J44" s="206">
        <f>ROUND(I44*E44,2)</f>
        <v/>
      </c>
    </row>
    <row r="45" ht="14.25" customFormat="1" customHeight="1" s="320">
      <c r="A45" s="391" t="n"/>
      <c r="B45" s="216" t="n"/>
      <c r="C45" s="217" t="inlineStr">
        <is>
          <t>Итого основные материалы</t>
        </is>
      </c>
      <c r="D45" s="391" t="n"/>
      <c r="E45" s="470" t="n"/>
      <c r="F45" s="220" t="n"/>
      <c r="G45" s="220">
        <f>SUM(G39:G44)</f>
        <v/>
      </c>
      <c r="H45" s="208">
        <f>G45/$G$76</f>
        <v/>
      </c>
      <c r="I45" s="206" t="n"/>
      <c r="J45" s="220">
        <f>SUM(J39:J44)</f>
        <v/>
      </c>
    </row>
    <row r="46" ht="25.5" customFormat="1" customHeight="1" s="320">
      <c r="A46" s="389" t="n">
        <v>18</v>
      </c>
      <c r="B46" s="260" t="inlineStr">
        <is>
          <t>21.1.05.02-0001</t>
        </is>
      </c>
      <c r="C46" s="397" t="inlineStr">
        <is>
          <t>Кабель силовой повышенной гибкости с медными жилами КПГ 2х2,5-660</t>
        </is>
      </c>
      <c r="D46" s="389" t="inlineStr">
        <is>
          <t>1000 м</t>
        </is>
      </c>
      <c r="E46" s="466" t="n">
        <v>0.03</v>
      </c>
      <c r="F46" s="399" t="n">
        <v>17230.19</v>
      </c>
      <c r="G46" s="206">
        <f>ROUND(E46*F46,2)</f>
        <v/>
      </c>
      <c r="H46" s="208">
        <f>G46/$G$76</f>
        <v/>
      </c>
      <c r="I46" s="206">
        <f>ROUND(F46*Прил.10!$D$13,2)</f>
        <v/>
      </c>
      <c r="J46" s="206">
        <f>ROUND(I46*E46,2)</f>
        <v/>
      </c>
    </row>
    <row r="47" hidden="1" outlineLevel="1" ht="14.25" customFormat="1" customHeight="1" s="320">
      <c r="A47" s="389" t="n">
        <v>19</v>
      </c>
      <c r="B47" s="260" t="inlineStr">
        <is>
          <t>18.5.08.09-0001</t>
        </is>
      </c>
      <c r="C47" s="397" t="inlineStr">
        <is>
          <t>Патрубки</t>
        </is>
      </c>
      <c r="D47" s="389" t="inlineStr">
        <is>
          <t>10 шт</t>
        </is>
      </c>
      <c r="E47" s="466" t="n">
        <v>1.1</v>
      </c>
      <c r="F47" s="399" t="n">
        <v>277.5</v>
      </c>
      <c r="G47" s="206">
        <f>ROUND(E47*F47,2)</f>
        <v/>
      </c>
      <c r="H47" s="208">
        <f>G47/$G$76</f>
        <v/>
      </c>
      <c r="I47" s="206">
        <f>ROUND(F47*Прил.10!$D$13,2)</f>
        <v/>
      </c>
      <c r="J47" s="206">
        <f>ROUND(I47*E47,2)</f>
        <v/>
      </c>
    </row>
    <row r="48" hidden="1" outlineLevel="1" ht="38.25" customFormat="1" customHeight="1" s="320">
      <c r="A48" s="389" t="n">
        <v>20</v>
      </c>
      <c r="B48" s="260" t="inlineStr">
        <is>
          <t>08.3.07.01-0076</t>
        </is>
      </c>
      <c r="C48" s="397" t="inlineStr">
        <is>
          <t>Прокат полосовой, горячекатаный, марка стали Ст3сп, ширина 50-200 мм, толщина 4-5 мм</t>
        </is>
      </c>
      <c r="D48" s="389" t="inlineStr">
        <is>
          <t>т</t>
        </is>
      </c>
      <c r="E48" s="466" t="n">
        <v>0.05665</v>
      </c>
      <c r="F48" s="399" t="n">
        <v>5000</v>
      </c>
      <c r="G48" s="206">
        <f>ROUND(E48*F48,2)</f>
        <v/>
      </c>
      <c r="H48" s="208">
        <f>G48/$G$76</f>
        <v/>
      </c>
      <c r="I48" s="206">
        <f>ROUND(F48*Прил.10!$D$13,2)</f>
        <v/>
      </c>
      <c r="J48" s="206">
        <f>ROUND(I48*E48,2)</f>
        <v/>
      </c>
    </row>
    <row r="49" hidden="1" outlineLevel="1" ht="25.5" customFormat="1" customHeight="1" s="320">
      <c r="A49" s="389" t="n">
        <v>21</v>
      </c>
      <c r="B49" s="260" t="inlineStr">
        <is>
          <t>07.2.07.04-0007</t>
        </is>
      </c>
      <c r="C49" s="397" t="inlineStr">
        <is>
          <t>Конструкции стальные индивидуальные решетчатые сварные, масса до 0,1 т</t>
        </is>
      </c>
      <c r="D49" s="389" t="inlineStr">
        <is>
          <t>т</t>
        </is>
      </c>
      <c r="E49" s="466" t="n">
        <v>0.02</v>
      </c>
      <c r="F49" s="399" t="n">
        <v>11500</v>
      </c>
      <c r="G49" s="206">
        <f>ROUND(E49*F49,2)</f>
        <v/>
      </c>
      <c r="H49" s="208">
        <f>G49/$G$76</f>
        <v/>
      </c>
      <c r="I49" s="206">
        <f>ROUND(F49*Прил.10!$D$13,2)</f>
        <v/>
      </c>
      <c r="J49" s="206">
        <f>ROUND(I49*E49,2)</f>
        <v/>
      </c>
    </row>
    <row r="50" hidden="1" outlineLevel="1" ht="38.25" customFormat="1" customHeight="1" s="320">
      <c r="A50" s="389" t="n">
        <v>22</v>
      </c>
      <c r="B50" s="260" t="inlineStr">
        <is>
          <t>04.1.02.05-0023</t>
        </is>
      </c>
      <c r="C50" s="397" t="inlineStr">
        <is>
          <t>Смеси бетонные тяжелого бетона (БСТ), крупность заполнителя 10 мм, класс В7,5 (М100)</t>
        </is>
      </c>
      <c r="D50" s="389" t="inlineStr">
        <is>
          <t>м3</t>
        </is>
      </c>
      <c r="E50" s="466" t="n">
        <v>0.291</v>
      </c>
      <c r="F50" s="399" t="n">
        <v>600</v>
      </c>
      <c r="G50" s="206">
        <f>ROUND(E50*F50,2)</f>
        <v/>
      </c>
      <c r="H50" s="208">
        <f>G50/$G$76</f>
        <v/>
      </c>
      <c r="I50" s="206">
        <f>ROUND(F50*Прил.10!$D$13,2)</f>
        <v/>
      </c>
      <c r="J50" s="206">
        <f>ROUND(I50*E50,2)</f>
        <v/>
      </c>
    </row>
    <row r="51" hidden="1" outlineLevel="1" ht="25.5" customFormat="1" customHeight="1" s="320">
      <c r="A51" s="389" t="n">
        <v>23</v>
      </c>
      <c r="B51" s="260" t="inlineStr">
        <is>
          <t>21.2.03.05-0002</t>
        </is>
      </c>
      <c r="C51" s="397" t="inlineStr">
        <is>
          <t>Провод силовой установочный АПВ 2,5-450</t>
        </is>
      </c>
      <c r="D51" s="389" t="inlineStr">
        <is>
          <t>1000 м</t>
        </is>
      </c>
      <c r="E51" s="466" t="n">
        <v>0.1</v>
      </c>
      <c r="F51" s="399" t="n">
        <v>887.03</v>
      </c>
      <c r="G51" s="206">
        <f>ROUND(E51*F51,2)</f>
        <v/>
      </c>
      <c r="H51" s="208">
        <f>G51/$G$76</f>
        <v/>
      </c>
      <c r="I51" s="206">
        <f>ROUND(F51*Прил.10!$D$13,2)</f>
        <v/>
      </c>
      <c r="J51" s="206">
        <f>ROUND(I51*E51,2)</f>
        <v/>
      </c>
    </row>
    <row r="52" hidden="1" outlineLevel="1" ht="25.5" customFormat="1" customHeight="1" s="320">
      <c r="A52" s="389" t="n">
        <v>24</v>
      </c>
      <c r="B52" s="260" t="inlineStr">
        <is>
          <t>10.3.02.03-0002</t>
        </is>
      </c>
      <c r="C52" s="397" t="inlineStr">
        <is>
          <t>Припои оловянно-свинцовые бессурьмянистые в чушках, марка ПОС30</t>
        </is>
      </c>
      <c r="D52" s="389" t="inlineStr">
        <is>
          <t>т</t>
        </is>
      </c>
      <c r="E52" s="466" t="n">
        <v>0.0007</v>
      </c>
      <c r="F52" s="399" t="n">
        <v>86162.5</v>
      </c>
      <c r="G52" s="206">
        <f>ROUND(E52*F52,2)</f>
        <v/>
      </c>
      <c r="H52" s="208">
        <f>G52/$G$76</f>
        <v/>
      </c>
      <c r="I52" s="206">
        <f>ROUND(F52*Прил.10!$D$13,2)</f>
        <v/>
      </c>
      <c r="J52" s="206">
        <f>ROUND(I52*E52,2)</f>
        <v/>
      </c>
    </row>
    <row r="53" hidden="1" outlineLevel="1" ht="25.5" customFormat="1" customHeight="1" s="320">
      <c r="A53" s="389" t="n">
        <v>25</v>
      </c>
      <c r="B53" s="260" t="inlineStr">
        <is>
          <t>21.2.03.05-0045</t>
        </is>
      </c>
      <c r="C53" s="397" t="inlineStr">
        <is>
          <t>Провод силовой установочный с медными жилами ПВ1 1,5-450</t>
        </is>
      </c>
      <c r="D53" s="389" t="inlineStr">
        <is>
          <t>1000 м</t>
        </is>
      </c>
      <c r="E53" s="466" t="n">
        <v>0.03</v>
      </c>
      <c r="F53" s="399" t="n">
        <v>1335.52</v>
      </c>
      <c r="G53" s="206">
        <f>ROUND(E53*F53,2)</f>
        <v/>
      </c>
      <c r="H53" s="208">
        <f>G53/$G$76</f>
        <v/>
      </c>
      <c r="I53" s="206">
        <f>ROUND(F53*Прил.10!$D$13,2)</f>
        <v/>
      </c>
      <c r="J53" s="206">
        <f>ROUND(I53*E53,2)</f>
        <v/>
      </c>
    </row>
    <row r="54" hidden="1" outlineLevel="1" ht="25.5" customFormat="1" customHeight="1" s="320">
      <c r="A54" s="389" t="n">
        <v>26</v>
      </c>
      <c r="B54" s="260" t="inlineStr">
        <is>
          <t>01.7.15.04-0011</t>
        </is>
      </c>
      <c r="C54" s="397" t="inlineStr">
        <is>
          <t>Винты с полукруглой головкой, длина 50 мм</t>
        </is>
      </c>
      <c r="D54" s="389" t="inlineStr">
        <is>
          <t>т</t>
        </is>
      </c>
      <c r="E54" s="466" t="n">
        <v>0.002398</v>
      </c>
      <c r="F54" s="399" t="n">
        <v>12430</v>
      </c>
      <c r="G54" s="206">
        <f>ROUND(E54*F54,2)</f>
        <v/>
      </c>
      <c r="H54" s="208">
        <f>G54/$G$76</f>
        <v/>
      </c>
      <c r="I54" s="206">
        <f>ROUND(F54*Прил.10!$D$13,2)</f>
        <v/>
      </c>
      <c r="J54" s="206">
        <f>ROUND(I54*E54,2)</f>
        <v/>
      </c>
    </row>
    <row r="55" hidden="1" outlineLevel="1" ht="14.25" customFormat="1" customHeight="1" s="320">
      <c r="A55" s="389" t="n">
        <v>27</v>
      </c>
      <c r="B55" s="260" t="inlineStr">
        <is>
          <t>20.1.02.23-0082</t>
        </is>
      </c>
      <c r="C55" s="397" t="inlineStr">
        <is>
          <t>Перемычки гибкие, тип ПГС-50</t>
        </is>
      </c>
      <c r="D55" s="389" t="inlineStr">
        <is>
          <t>10 шт</t>
        </is>
      </c>
      <c r="E55" s="466" t="n">
        <v>0.55</v>
      </c>
      <c r="F55" s="399" t="n">
        <v>39</v>
      </c>
      <c r="G55" s="206">
        <f>ROUND(E55*F55,2)</f>
        <v/>
      </c>
      <c r="H55" s="208">
        <f>G55/$G$76</f>
        <v/>
      </c>
      <c r="I55" s="206">
        <f>ROUND(F55*Прил.10!$D$13,2)</f>
        <v/>
      </c>
      <c r="J55" s="206">
        <f>ROUND(I55*E55,2)</f>
        <v/>
      </c>
    </row>
    <row r="56" hidden="1" outlineLevel="1" ht="38.25" customFormat="1" customHeight="1" s="320">
      <c r="A56" s="389" t="n">
        <v>28</v>
      </c>
      <c r="B56" s="260" t="inlineStr">
        <is>
          <t>11.1.03.05-0085</t>
        </is>
      </c>
      <c r="C56" s="397" t="inlineStr">
        <is>
          <t>Доска необрезная, хвойных пород, длина 4-6,5 м, все ширины, толщина 44 мм и более, сорт III</t>
        </is>
      </c>
      <c r="D56" s="389" t="inlineStr">
        <is>
          <t>м3</t>
        </is>
      </c>
      <c r="E56" s="466" t="n">
        <v>0.031</v>
      </c>
      <c r="F56" s="399" t="n">
        <v>684</v>
      </c>
      <c r="G56" s="206">
        <f>ROUND(E56*F56,2)</f>
        <v/>
      </c>
      <c r="H56" s="208">
        <f>G56/$G$76</f>
        <v/>
      </c>
      <c r="I56" s="206">
        <f>ROUND(F56*Прил.10!$D$13,2)</f>
        <v/>
      </c>
      <c r="J56" s="206">
        <f>ROUND(I56*E56,2)</f>
        <v/>
      </c>
    </row>
    <row r="57" hidden="1" outlineLevel="1" ht="14.25" customFormat="1" customHeight="1" s="320">
      <c r="A57" s="389" t="n">
        <v>29</v>
      </c>
      <c r="B57" s="260" t="inlineStr">
        <is>
          <t>01.7.15.03-0042</t>
        </is>
      </c>
      <c r="C57" s="397" t="inlineStr">
        <is>
          <t>Болты с гайками и шайбами строительные</t>
        </is>
      </c>
      <c r="D57" s="389" t="inlineStr">
        <is>
          <t>кг</t>
        </is>
      </c>
      <c r="E57" s="466" t="n">
        <v>1.905</v>
      </c>
      <c r="F57" s="399" t="n">
        <v>9.039999999999999</v>
      </c>
      <c r="G57" s="206">
        <f>ROUND(E57*F57,2)</f>
        <v/>
      </c>
      <c r="H57" s="208">
        <f>G57/$G$76</f>
        <v/>
      </c>
      <c r="I57" s="206">
        <f>ROUND(F57*Прил.10!$D$13,2)</f>
        <v/>
      </c>
      <c r="J57" s="206">
        <f>ROUND(I57*E57,2)</f>
        <v/>
      </c>
    </row>
    <row r="58" hidden="1" outlineLevel="1" ht="25.5" customFormat="1" customHeight="1" s="320">
      <c r="A58" s="389" t="n">
        <v>30</v>
      </c>
      <c r="B58" s="260" t="inlineStr">
        <is>
          <t>999-9950</t>
        </is>
      </c>
      <c r="C58" s="397" t="inlineStr">
        <is>
          <t>Вспомогательные ненормируемые ресурсы (2% от оплаты труда рабочих)</t>
        </is>
      </c>
      <c r="D58" s="389" t="inlineStr">
        <is>
          <t>руб</t>
        </is>
      </c>
      <c r="E58" s="466" t="n">
        <v>14.13885</v>
      </c>
      <c r="F58" s="399" t="n">
        <v>1</v>
      </c>
      <c r="G58" s="206">
        <f>ROUND(E58*F58,2)</f>
        <v/>
      </c>
      <c r="H58" s="208">
        <f>G58/$G$76</f>
        <v/>
      </c>
      <c r="I58" s="206">
        <f>ROUND(F58*Прил.10!$D$13,2)</f>
        <v/>
      </c>
      <c r="J58" s="206">
        <f>ROUND(I58*E58,2)</f>
        <v/>
      </c>
    </row>
    <row r="59" hidden="1" outlineLevel="1" ht="25.5" customFormat="1" customHeight="1" s="320">
      <c r="A59" s="389" t="n">
        <v>31</v>
      </c>
      <c r="B59" s="260" t="inlineStr">
        <is>
          <t>01.7.11.07-0034</t>
        </is>
      </c>
      <c r="C59" s="397" t="inlineStr">
        <is>
          <t>Электроды сварочные Э42А, диаметр 4 мм</t>
        </is>
      </c>
      <c r="D59" s="389" t="inlineStr">
        <is>
          <t>кг</t>
        </is>
      </c>
      <c r="E59" s="466" t="n">
        <v>1.326</v>
      </c>
      <c r="F59" s="399" t="n">
        <v>10.57</v>
      </c>
      <c r="G59" s="206">
        <f>ROUND(E59*F59,2)</f>
        <v/>
      </c>
      <c r="H59" s="208">
        <f>G59/$G$76</f>
        <v/>
      </c>
      <c r="I59" s="206">
        <f>ROUND(F59*Прил.10!$D$13,2)</f>
        <v/>
      </c>
      <c r="J59" s="206">
        <f>ROUND(I59*E59,2)</f>
        <v/>
      </c>
    </row>
    <row r="60" hidden="1" outlineLevel="1" ht="25.5" customFormat="1" customHeight="1" s="320">
      <c r="A60" s="389" t="n">
        <v>32</v>
      </c>
      <c r="B60" s="260" t="inlineStr">
        <is>
          <t>25.1.01.04-0031</t>
        </is>
      </c>
      <c r="C60" s="397" t="inlineStr">
        <is>
          <t>Шпалы непропитанные для железных дорог, тип I</t>
        </is>
      </c>
      <c r="D60" s="389" t="inlineStr">
        <is>
          <t>шт</t>
        </is>
      </c>
      <c r="E60" s="466" t="n">
        <v>0.05</v>
      </c>
      <c r="F60" s="399" t="n">
        <v>266.67</v>
      </c>
      <c r="G60" s="206">
        <f>ROUND(E60*F60,2)</f>
        <v/>
      </c>
      <c r="H60" s="208">
        <f>G60/$G$76</f>
        <v/>
      </c>
      <c r="I60" s="206">
        <f>ROUND(F60*Прил.10!$D$13,2)</f>
        <v/>
      </c>
      <c r="J60" s="206">
        <f>ROUND(I60*E60,2)</f>
        <v/>
      </c>
    </row>
    <row r="61" hidden="1" outlineLevel="1" ht="14.25" customFormat="1" customHeight="1" s="320">
      <c r="A61" s="389" t="n">
        <v>33</v>
      </c>
      <c r="B61" s="260" t="inlineStr">
        <is>
          <t>20.2.09.05-0012</t>
        </is>
      </c>
      <c r="C61" s="397" t="inlineStr">
        <is>
          <t>Муфты соединительные</t>
        </is>
      </c>
      <c r="D61" s="389" t="inlineStr">
        <is>
          <t>шт</t>
        </is>
      </c>
      <c r="E61" s="466" t="n">
        <v>11</v>
      </c>
      <c r="F61" s="399" t="n">
        <v>0.71</v>
      </c>
      <c r="G61" s="206">
        <f>ROUND(E61*F61,2)</f>
        <v/>
      </c>
      <c r="H61" s="208">
        <f>G61/$G$76</f>
        <v/>
      </c>
      <c r="I61" s="206">
        <f>ROUND(F61*Прил.10!$D$13,2)</f>
        <v/>
      </c>
      <c r="J61" s="206">
        <f>ROUND(I61*E61,2)</f>
        <v/>
      </c>
    </row>
    <row r="62" hidden="1" outlineLevel="1" ht="14.25" customFormat="1" customHeight="1" s="320">
      <c r="A62" s="389" t="n">
        <v>34</v>
      </c>
      <c r="B62" s="260" t="inlineStr">
        <is>
          <t>01.7.15.14-0165</t>
        </is>
      </c>
      <c r="C62" s="397" t="inlineStr">
        <is>
          <t>Шурупы с полукруглой головкой 4х40 мм</t>
        </is>
      </c>
      <c r="D62" s="389" t="inlineStr">
        <is>
          <t>т</t>
        </is>
      </c>
      <c r="E62" s="466" t="n">
        <v>0.000372</v>
      </c>
      <c r="F62" s="399" t="n">
        <v>12430</v>
      </c>
      <c r="G62" s="206">
        <f>ROUND(E62*F62,2)</f>
        <v/>
      </c>
      <c r="H62" s="208">
        <f>G62/$G$76</f>
        <v/>
      </c>
      <c r="I62" s="206">
        <f>ROUND(F62*Прил.10!$D$13,2)</f>
        <v/>
      </c>
      <c r="J62" s="206">
        <f>ROUND(I62*E62,2)</f>
        <v/>
      </c>
    </row>
    <row r="63" hidden="1" outlineLevel="1" ht="14.25" customFormat="1" customHeight="1" s="320">
      <c r="A63" s="389" t="n">
        <v>35</v>
      </c>
      <c r="B63" s="260" t="inlineStr">
        <is>
          <t>14.4.03.03-0002</t>
        </is>
      </c>
      <c r="C63" s="397" t="inlineStr">
        <is>
          <t>Лак битумный БТ-123</t>
        </is>
      </c>
      <c r="D63" s="389" t="inlineStr">
        <is>
          <t>т</t>
        </is>
      </c>
      <c r="E63" s="466" t="n">
        <v>0.000498</v>
      </c>
      <c r="F63" s="399" t="n">
        <v>7826.9</v>
      </c>
      <c r="G63" s="206">
        <f>ROUND(E63*F63,2)</f>
        <v/>
      </c>
      <c r="H63" s="208">
        <f>G63/$G$76</f>
        <v/>
      </c>
      <c r="I63" s="206">
        <f>ROUND(F63*Прил.10!$D$13,2)</f>
        <v/>
      </c>
      <c r="J63" s="206">
        <f>ROUND(I63*E63,2)</f>
        <v/>
      </c>
    </row>
    <row r="64" hidden="1" outlineLevel="1" ht="14.25" customFormat="1" customHeight="1" s="320">
      <c r="A64" s="389" t="n">
        <v>36</v>
      </c>
      <c r="B64" s="260" t="inlineStr">
        <is>
          <t>01.7.06.07-0001</t>
        </is>
      </c>
      <c r="C64" s="397" t="inlineStr">
        <is>
          <t>Лента К226</t>
        </is>
      </c>
      <c r="D64" s="389" t="inlineStr">
        <is>
          <t>100 м</t>
        </is>
      </c>
      <c r="E64" s="466" t="n">
        <v>0.02526</v>
      </c>
      <c r="F64" s="399" t="n">
        <v>120</v>
      </c>
      <c r="G64" s="206">
        <f>ROUND(E64*F64,2)</f>
        <v/>
      </c>
      <c r="H64" s="208">
        <f>G64/$G$76</f>
        <v/>
      </c>
      <c r="I64" s="206">
        <f>ROUND(F64*Прил.10!$D$13,2)</f>
        <v/>
      </c>
      <c r="J64" s="206">
        <f>ROUND(I64*E64,2)</f>
        <v/>
      </c>
    </row>
    <row r="65" hidden="1" outlineLevel="1" ht="14.25" customFormat="1" customHeight="1" s="320">
      <c r="A65" s="389" t="n">
        <v>37</v>
      </c>
      <c r="B65" s="260" t="inlineStr">
        <is>
          <t>20.2.02.01-0019</t>
        </is>
      </c>
      <c r="C65" s="397" t="inlineStr">
        <is>
          <t>Втулки изолирующие</t>
        </is>
      </c>
      <c r="D65" s="389" t="inlineStr">
        <is>
          <t>1000 шт</t>
        </is>
      </c>
      <c r="E65" s="466" t="n">
        <v>0.011</v>
      </c>
      <c r="F65" s="399" t="n">
        <v>270</v>
      </c>
      <c r="G65" s="206">
        <f>ROUND(E65*F65,2)</f>
        <v/>
      </c>
      <c r="H65" s="208">
        <f>G65/$G$76</f>
        <v/>
      </c>
      <c r="I65" s="206">
        <f>ROUND(F65*Прил.10!$D$13,2)</f>
        <v/>
      </c>
      <c r="J65" s="206">
        <f>ROUND(I65*E65,2)</f>
        <v/>
      </c>
    </row>
    <row r="66" hidden="1" outlineLevel="1" ht="14.25" customFormat="1" customHeight="1" s="320">
      <c r="A66" s="389" t="n">
        <v>38</v>
      </c>
      <c r="B66" s="260" t="inlineStr">
        <is>
          <t>01.7.11.07-0054</t>
        </is>
      </c>
      <c r="C66" s="397" t="inlineStr">
        <is>
          <t>Электроды сварочные Э42, диаметр 6 мм</t>
        </is>
      </c>
      <c r="D66" s="389" t="inlineStr">
        <is>
          <t>т</t>
        </is>
      </c>
      <c r="E66" s="466" t="n">
        <v>0.0003</v>
      </c>
      <c r="F66" s="399" t="n">
        <v>9424</v>
      </c>
      <c r="G66" s="206">
        <f>ROUND(E66*F66,2)</f>
        <v/>
      </c>
      <c r="H66" s="208">
        <f>G66/$G$76</f>
        <v/>
      </c>
      <c r="I66" s="206">
        <f>ROUND(F66*Прил.10!$D$13,2)</f>
        <v/>
      </c>
      <c r="J66" s="206">
        <f>ROUND(I66*E66,2)</f>
        <v/>
      </c>
    </row>
    <row r="67" hidden="1" outlineLevel="1" ht="38.25" customFormat="1" customHeight="1" s="320">
      <c r="A67" s="389" t="n">
        <v>39</v>
      </c>
      <c r="B67" s="260" t="inlineStr">
        <is>
          <t>11.1.02.04-0031</t>
        </is>
      </c>
      <c r="C67" s="397" t="inlineStr">
        <is>
          <t>Лесоматериалы круглые, хвойных пород, для строительства, диаметр 14-24 см, длина 3-6,5 м</t>
        </is>
      </c>
      <c r="D67" s="389" t="inlineStr">
        <is>
          <t>м3</t>
        </is>
      </c>
      <c r="E67" s="466" t="n">
        <v>0.005</v>
      </c>
      <c r="F67" s="399" t="n">
        <v>558.33</v>
      </c>
      <c r="G67" s="206">
        <f>ROUND(E67*F67,2)</f>
        <v/>
      </c>
      <c r="H67" s="208">
        <f>G67/$G$76</f>
        <v/>
      </c>
      <c r="I67" s="206">
        <f>ROUND(F67*Прил.10!$D$13,2)</f>
        <v/>
      </c>
      <c r="J67" s="206">
        <f>ROUND(I67*E67,2)</f>
        <v/>
      </c>
    </row>
    <row r="68" hidden="1" outlineLevel="1" ht="25.5" customFormat="1" customHeight="1" s="320">
      <c r="A68" s="389" t="n">
        <v>40</v>
      </c>
      <c r="B68" s="260" t="inlineStr">
        <is>
          <t>06.1.01.05-0015</t>
        </is>
      </c>
      <c r="C68" s="397" t="inlineStr">
        <is>
          <t>Кирпич керамический лицевой, размер 250х120х65 мм, марка 100</t>
        </is>
      </c>
      <c r="D68" s="389" t="inlineStr">
        <is>
          <t>1000 шт</t>
        </is>
      </c>
      <c r="E68" s="466" t="n">
        <v>0.00106</v>
      </c>
      <c r="F68" s="399" t="n">
        <v>1740.2</v>
      </c>
      <c r="G68" s="206">
        <f>ROUND(E68*F68,2)</f>
        <v/>
      </c>
      <c r="H68" s="208">
        <f>G68/$G$76</f>
        <v/>
      </c>
      <c r="I68" s="206">
        <f>ROUND(F68*Прил.10!$D$13,2)</f>
        <v/>
      </c>
      <c r="J68" s="206">
        <f>ROUND(I68*E68,2)</f>
        <v/>
      </c>
    </row>
    <row r="69" hidden="1" outlineLevel="1" ht="14.25" customFormat="1" customHeight="1" s="320">
      <c r="A69" s="389" t="n">
        <v>41</v>
      </c>
      <c r="B69" s="260" t="inlineStr">
        <is>
          <t>14.4.02.09-0001</t>
        </is>
      </c>
      <c r="C69" s="397" t="inlineStr">
        <is>
          <t>Краска</t>
        </is>
      </c>
      <c r="D69" s="389" t="inlineStr">
        <is>
          <t>кг</t>
        </is>
      </c>
      <c r="E69" s="466" t="n">
        <v>0.03</v>
      </c>
      <c r="F69" s="399" t="n">
        <v>28.6</v>
      </c>
      <c r="G69" s="206">
        <f>ROUND(E69*F69,2)</f>
        <v/>
      </c>
      <c r="H69" s="208">
        <f>G69/$G$76</f>
        <v/>
      </c>
      <c r="I69" s="206">
        <f>ROUND(F69*Прил.10!$D$13,2)</f>
        <v/>
      </c>
      <c r="J69" s="206">
        <f>ROUND(I69*E69,2)</f>
        <v/>
      </c>
    </row>
    <row r="70" hidden="1" outlineLevel="1" ht="14.25" customFormat="1" customHeight="1" s="320">
      <c r="A70" s="389" t="n">
        <v>42</v>
      </c>
      <c r="B70" s="260" t="inlineStr">
        <is>
          <t>01.7.15.07-0031</t>
        </is>
      </c>
      <c r="C70" s="397" t="inlineStr">
        <is>
          <t>Дюбели распорные с гайкой</t>
        </is>
      </c>
      <c r="D70" s="389" t="inlineStr">
        <is>
          <t>100 шт</t>
        </is>
      </c>
      <c r="E70" s="466" t="n">
        <v>0.004</v>
      </c>
      <c r="F70" s="399" t="n">
        <v>110</v>
      </c>
      <c r="G70" s="206">
        <f>ROUND(E70*F70,2)</f>
        <v/>
      </c>
      <c r="H70" s="208">
        <f>G70/$G$76</f>
        <v/>
      </c>
      <c r="I70" s="206">
        <f>ROUND(F70*Прил.10!$D$13,2)</f>
        <v/>
      </c>
      <c r="J70" s="206">
        <f>ROUND(I70*E70,2)</f>
        <v/>
      </c>
    </row>
    <row r="71" hidden="1" outlineLevel="1" ht="38.25" customFormat="1" customHeight="1" s="320">
      <c r="A71" s="389" t="n">
        <v>43</v>
      </c>
      <c r="B71" s="260" t="inlineStr">
        <is>
          <t>03.2.01.01-0003</t>
        </is>
      </c>
      <c r="C71" s="397" t="inlineStr">
        <is>
          <t>Портландцемент общестроительного назначения бездобавочный М500 Д0 (ЦЕМ I 42,5Н)</t>
        </is>
      </c>
      <c r="D71" s="389" t="inlineStr">
        <is>
          <t>т</t>
        </is>
      </c>
      <c r="E71" s="466" t="n">
        <v>0.0009</v>
      </c>
      <c r="F71" s="399" t="n">
        <v>480</v>
      </c>
      <c r="G71" s="206">
        <f>ROUND(E71*F71,2)</f>
        <v/>
      </c>
      <c r="H71" s="208">
        <f>G71/$G$76</f>
        <v/>
      </c>
      <c r="I71" s="206">
        <f>ROUND(F71*Прил.10!$D$13,2)</f>
        <v/>
      </c>
      <c r="J71" s="206">
        <f>ROUND(I71*E71,2)</f>
        <v/>
      </c>
    </row>
    <row r="72" hidden="1" outlineLevel="1" ht="14.25" customFormat="1" customHeight="1" s="320">
      <c r="A72" s="389" t="n">
        <v>44</v>
      </c>
      <c r="B72" s="260" t="inlineStr">
        <is>
          <t>01.7.15.10-0053</t>
        </is>
      </c>
      <c r="C72" s="397" t="inlineStr">
        <is>
          <t>Скобы металлические</t>
        </is>
      </c>
      <c r="D72" s="389" t="inlineStr">
        <is>
          <t>кг</t>
        </is>
      </c>
      <c r="E72" s="466" t="n">
        <v>0.06</v>
      </c>
      <c r="F72" s="399" t="n">
        <v>6.4</v>
      </c>
      <c r="G72" s="206">
        <f>ROUND(E72*F72,2)</f>
        <v/>
      </c>
      <c r="H72" s="208">
        <f>G72/$G$76</f>
        <v/>
      </c>
      <c r="I72" s="206">
        <f>ROUND(F72*Прил.10!$D$13,2)</f>
        <v/>
      </c>
      <c r="J72" s="206">
        <f>ROUND(I72*E72,2)</f>
        <v/>
      </c>
    </row>
    <row r="73" hidden="1" outlineLevel="1" ht="25.5" customFormat="1" customHeight="1" s="320">
      <c r="A73" s="389" t="n">
        <v>45</v>
      </c>
      <c r="B73" s="260" t="inlineStr">
        <is>
          <t>04.3.01.09-0011</t>
        </is>
      </c>
      <c r="C73" s="397" t="inlineStr">
        <is>
          <t>Раствор готовый кладочный, цементный, М25</t>
        </is>
      </c>
      <c r="D73" s="389" t="inlineStr">
        <is>
          <t>м3</t>
        </is>
      </c>
      <c r="E73" s="466" t="n">
        <v>0.00031</v>
      </c>
      <c r="F73" s="399" t="n">
        <v>463.3</v>
      </c>
      <c r="G73" s="206">
        <f>ROUND(E73*F73,2)</f>
        <v/>
      </c>
      <c r="H73" s="208">
        <f>G73/$G$76</f>
        <v/>
      </c>
      <c r="I73" s="206">
        <f>ROUND(F73*Прил.10!$D$13,2)</f>
        <v/>
      </c>
      <c r="J73" s="206">
        <f>ROUND(I73*E73,2)</f>
        <v/>
      </c>
    </row>
    <row r="74" hidden="1" outlineLevel="1" ht="38.25" customFormat="1" customHeight="1" s="320">
      <c r="A74" s="389" t="n">
        <v>46</v>
      </c>
      <c r="B74" s="260" t="inlineStr">
        <is>
          <t>02.3.01.02-0016</t>
        </is>
      </c>
      <c r="C74" s="397" t="inlineStr">
        <is>
          <t>Песок природный для строительных: работ средний с крупностью зерен размером свыше 5 мм-до 5% по массе</t>
        </is>
      </c>
      <c r="D74" s="389" t="inlineStr">
        <is>
          <t>м3</t>
        </is>
      </c>
      <c r="E74" s="466" t="n">
        <v>0.00075</v>
      </c>
      <c r="F74" s="399" t="n">
        <v>55.26</v>
      </c>
      <c r="G74" s="206">
        <f>ROUND(E74*F74,2)</f>
        <v/>
      </c>
      <c r="H74" s="208">
        <f>G74/$G$76</f>
        <v/>
      </c>
      <c r="I74" s="206">
        <f>ROUND(F74*Прил.10!$D$13,2)</f>
        <v/>
      </c>
      <c r="J74" s="206">
        <f>ROUND(I74*E74,2)</f>
        <v/>
      </c>
    </row>
    <row r="75" collapsed="1" ht="14.25" customFormat="1" customHeight="1" s="320">
      <c r="A75" s="389" t="n"/>
      <c r="B75" s="389" t="n"/>
      <c r="C75" s="397" t="inlineStr">
        <is>
          <t>Итого прочие материалы</t>
        </is>
      </c>
      <c r="D75" s="389" t="n"/>
      <c r="E75" s="466" t="n"/>
      <c r="F75" s="399" t="n"/>
      <c r="G75" s="206">
        <f>SUM(G46:G74)</f>
        <v/>
      </c>
      <c r="H75" s="208">
        <f>G75/$G$76</f>
        <v/>
      </c>
      <c r="I75" s="206" t="n"/>
      <c r="J75" s="206">
        <f>SUM(J46:J74)</f>
        <v/>
      </c>
    </row>
    <row r="76" ht="14.25" customFormat="1" customHeight="1" s="320">
      <c r="A76" s="389" t="n"/>
      <c r="B76" s="389" t="n"/>
      <c r="C76" s="378" t="inlineStr">
        <is>
          <t>Итого по разделу «Материалы»</t>
        </is>
      </c>
      <c r="D76" s="389" t="n"/>
      <c r="E76" s="398" t="n"/>
      <c r="F76" s="399" t="n"/>
      <c r="G76" s="206">
        <f>G45+G75</f>
        <v/>
      </c>
      <c r="H76" s="400">
        <f>G76/$G$76</f>
        <v/>
      </c>
      <c r="I76" s="206" t="n"/>
      <c r="J76" s="206">
        <f>J45+J75</f>
        <v/>
      </c>
    </row>
    <row r="77" ht="14.25" customFormat="1" customHeight="1" s="320">
      <c r="A77" s="389" t="n"/>
      <c r="B77" s="389" t="n"/>
      <c r="C77" s="397" t="inlineStr">
        <is>
          <t>ИТОГО ПО РМ</t>
        </is>
      </c>
      <c r="D77" s="389" t="n"/>
      <c r="E77" s="398" t="n"/>
      <c r="F77" s="399" t="n"/>
      <c r="G77" s="206">
        <f>G14+G30+G76</f>
        <v/>
      </c>
      <c r="H77" s="400" t="n"/>
      <c r="I77" s="206" t="n"/>
      <c r="J77" s="206">
        <f>J14+J30+J76</f>
        <v/>
      </c>
    </row>
    <row r="78" ht="14.25" customFormat="1" customHeight="1" s="320">
      <c r="A78" s="389" t="n"/>
      <c r="B78" s="389" t="n"/>
      <c r="C78" s="397" t="inlineStr">
        <is>
          <t>Накладные расходы</t>
        </is>
      </c>
      <c r="D78" s="282">
        <f>ROUND(G78/(G$16+$G$14),2)</f>
        <v/>
      </c>
      <c r="E78" s="398" t="n"/>
      <c r="F78" s="399" t="n"/>
      <c r="G78" s="206" t="n">
        <v>1007</v>
      </c>
      <c r="H78" s="400" t="n"/>
      <c r="I78" s="206" t="n"/>
      <c r="J78" s="206">
        <f>ROUND(D78*(J14+J16),2)</f>
        <v/>
      </c>
    </row>
    <row r="79" ht="14.25" customFormat="1" customHeight="1" s="320">
      <c r="A79" s="389" t="n"/>
      <c r="B79" s="389" t="n"/>
      <c r="C79" s="397" t="inlineStr">
        <is>
          <t>Сметная прибыль</t>
        </is>
      </c>
      <c r="D79" s="282">
        <f>ROUND(G79/(G$14+G$16),2)</f>
        <v/>
      </c>
      <c r="E79" s="398" t="n"/>
      <c r="F79" s="399" t="n"/>
      <c r="G79" s="206" t="n">
        <v>680.4</v>
      </c>
      <c r="H79" s="400" t="n"/>
      <c r="I79" s="206" t="n"/>
      <c r="J79" s="206">
        <f>ROUND(D79*(J14+J16),2)</f>
        <v/>
      </c>
    </row>
    <row r="80" ht="14.25" customFormat="1" customHeight="1" s="320">
      <c r="A80" s="389" t="n"/>
      <c r="B80" s="389" t="n"/>
      <c r="C80" s="397" t="inlineStr">
        <is>
          <t>Итого СМР (с НР и СП)</t>
        </is>
      </c>
      <c r="D80" s="389" t="n"/>
      <c r="E80" s="398" t="n"/>
      <c r="F80" s="399" t="n"/>
      <c r="G80" s="206">
        <f>G14+G30+G76+G78+G79</f>
        <v/>
      </c>
      <c r="H80" s="400" t="n"/>
      <c r="I80" s="206" t="n"/>
      <c r="J80" s="206">
        <f>J14+J30+J76+J78+J79</f>
        <v/>
      </c>
    </row>
    <row r="81" ht="14.25" customFormat="1" customHeight="1" s="320">
      <c r="A81" s="389" t="n"/>
      <c r="B81" s="389" t="n"/>
      <c r="C81" s="397" t="inlineStr">
        <is>
          <t>ВСЕГО СМР + ОБОРУДОВАНИЕ</t>
        </is>
      </c>
      <c r="D81" s="389" t="n"/>
      <c r="E81" s="398" t="n"/>
      <c r="F81" s="399" t="n"/>
      <c r="G81" s="206">
        <f>G80+G35</f>
        <v/>
      </c>
      <c r="H81" s="400" t="n"/>
      <c r="I81" s="206" t="n"/>
      <c r="J81" s="206">
        <f>J80+J35</f>
        <v/>
      </c>
    </row>
    <row r="82" ht="34.5" customFormat="1" customHeight="1" s="320">
      <c r="A82" s="389" t="n"/>
      <c r="B82" s="389" t="n"/>
      <c r="C82" s="397" t="inlineStr">
        <is>
          <t>ИТОГО ПОКАЗАТЕЛЬ НА ЕД. ИЗМ.</t>
        </is>
      </c>
      <c r="D82" s="389" t="inlineStr">
        <is>
          <t>1 ед.</t>
        </is>
      </c>
      <c r="E82" s="398" t="n">
        <v>1</v>
      </c>
      <c r="F82" s="399" t="n"/>
      <c r="G82" s="206">
        <f>G81/E82</f>
        <v/>
      </c>
      <c r="H82" s="400" t="n"/>
      <c r="I82" s="206" t="n"/>
      <c r="J82" s="206">
        <f>J81/E82</f>
        <v/>
      </c>
    </row>
    <row r="84" ht="14.25" customFormat="1" customHeight="1" s="320">
      <c r="A84" s="313" t="inlineStr">
        <is>
          <t>Составил ______________________    Д.Ю. Нефедова</t>
        </is>
      </c>
      <c r="D84" s="283" t="n"/>
    </row>
    <row r="85" ht="14.25" customFormat="1" customHeight="1" s="320">
      <c r="A85" s="321" t="inlineStr">
        <is>
          <t xml:space="preserve">                         (подпись, инициалы, фамилия)</t>
        </is>
      </c>
      <c r="D85" s="283" t="n"/>
    </row>
    <row r="86" ht="14.25" customFormat="1" customHeight="1" s="320">
      <c r="A86" s="313" t="n"/>
      <c r="D86" s="283" t="n"/>
    </row>
    <row r="87" ht="14.25" customFormat="1" customHeight="1" s="320">
      <c r="A87" s="313" t="inlineStr">
        <is>
          <t>Проверил ______________________        А.В. Костянецкая</t>
        </is>
      </c>
      <c r="D87" s="283" t="n"/>
    </row>
    <row r="88" ht="14.25" customFormat="1" customHeight="1" s="320">
      <c r="A88" s="321" t="inlineStr">
        <is>
          <t xml:space="preserve">                        (подпись, инициалы, фамилия)</t>
        </is>
      </c>
      <c r="D88" s="283" t="n"/>
    </row>
  </sheetData>
  <mergeCells count="21">
    <mergeCell ref="H9:H10"/>
    <mergeCell ref="A4:J4"/>
    <mergeCell ref="B15:H15"/>
    <mergeCell ref="H2:J2"/>
    <mergeCell ref="C9:C10"/>
    <mergeCell ref="B32:H32"/>
    <mergeCell ref="E9:E10"/>
    <mergeCell ref="A7:H7"/>
    <mergeCell ref="B31:H31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38:H38"/>
    <mergeCell ref="B37:H37"/>
    <mergeCell ref="I9:J9"/>
  </mergeCells>
  <conditionalFormatting sqref="B19:B21">
    <cfRule type="duplicateValues" priority="1" dxfId="0"/>
  </conditionalFormatting>
  <conditionalFormatting sqref="B23:B28">
    <cfRule type="duplicateValues" priority="2" dxfId="0"/>
  </conditionalFormatting>
  <conditionalFormatting sqref="B47:B74">
    <cfRule type="duplicateValues" priority="3" dxfId="0"/>
  </conditionalFormatting>
  <conditionalFormatting sqref="B40:B41">
    <cfRule type="duplicateValues" priority="4" dxfId="0"/>
  </conditionalFormatting>
  <conditionalFormatting sqref="B43:B44">
    <cfRule type="duplicateValues" priority="5" dxfId="0"/>
  </conditionalFormatting>
  <conditionalFormatting sqref="B46">
    <cfRule type="duplicateValues" priority="6" dxfId="0"/>
  </conditionalFormatting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2" manualBreakCount="2">
    <brk id="30" min="0" max="9" man="1"/>
    <brk id="43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4" workbookViewId="0">
      <selection activeCell="D21" sqref="D21"/>
    </sheetView>
  </sheetViews>
  <sheetFormatPr baseColWidth="8" defaultRowHeight="15"/>
  <cols>
    <col width="5.7109375" customWidth="1" style="336" min="1" max="1"/>
    <col width="17.5703125" customWidth="1" style="336" min="2" max="2"/>
    <col width="39.140625" customWidth="1" style="336" min="3" max="3"/>
    <col width="10.7109375" customWidth="1" style="336" min="4" max="4"/>
    <col width="13.85546875" customWidth="1" style="336" min="5" max="5"/>
    <col width="13.28515625" customWidth="1" style="336" min="6" max="6"/>
    <col width="14.140625" customWidth="1" style="336" min="7" max="7"/>
  </cols>
  <sheetData>
    <row r="1">
      <c r="A1" s="405" t="inlineStr">
        <is>
          <t>Приложение №6</t>
        </is>
      </c>
    </row>
    <row r="2" ht="21.75" customHeight="1" s="336">
      <c r="A2" s="405" t="n"/>
      <c r="B2" s="405" t="n"/>
      <c r="C2" s="405" t="n"/>
      <c r="D2" s="405" t="n"/>
      <c r="E2" s="405" t="n"/>
      <c r="F2" s="405" t="n"/>
      <c r="G2" s="405" t="n"/>
    </row>
    <row r="3">
      <c r="A3" s="360" t="inlineStr">
        <is>
          <t>Расчет стоимости оборудования</t>
        </is>
      </c>
    </row>
    <row r="4" ht="25.5" customHeight="1" s="336">
      <c r="A4" s="363" t="inlineStr">
        <is>
          <t>Наименование разрабатываемого показателя УНЦ — Защитные конструкций ПС Откатные (раздвижные, автоматические, противопожарные) ворота</t>
        </is>
      </c>
    </row>
    <row r="5">
      <c r="A5" s="313" t="n"/>
      <c r="B5" s="313" t="n"/>
      <c r="C5" s="313" t="n"/>
      <c r="D5" s="313" t="n"/>
      <c r="E5" s="313" t="n"/>
      <c r="F5" s="313" t="n"/>
      <c r="G5" s="313" t="n"/>
    </row>
    <row r="6" ht="30.2" customHeight="1" s="336">
      <c r="A6" s="410" t="inlineStr">
        <is>
          <t>№ пп.</t>
        </is>
      </c>
      <c r="B6" s="410" t="inlineStr">
        <is>
          <t>Код ресурса</t>
        </is>
      </c>
      <c r="C6" s="410" t="inlineStr">
        <is>
          <t>Наименование</t>
        </is>
      </c>
      <c r="D6" s="410" t="inlineStr">
        <is>
          <t>Ед. изм.</t>
        </is>
      </c>
      <c r="E6" s="389" t="inlineStr">
        <is>
          <t>Кол-во единиц по проектным данным</t>
        </is>
      </c>
      <c r="F6" s="410" t="inlineStr">
        <is>
          <t>Сметная стоимость в ценах на 01.01.2000 (руб.)</t>
        </is>
      </c>
      <c r="G6" s="456" t="n"/>
    </row>
    <row r="7">
      <c r="A7" s="458" t="n"/>
      <c r="B7" s="458" t="n"/>
      <c r="C7" s="458" t="n"/>
      <c r="D7" s="458" t="n"/>
      <c r="E7" s="458" t="n"/>
      <c r="F7" s="389" t="inlineStr">
        <is>
          <t>на ед. изм.</t>
        </is>
      </c>
      <c r="G7" s="389" t="inlineStr">
        <is>
          <t>общая</t>
        </is>
      </c>
    </row>
    <row r="8">
      <c r="A8" s="389" t="n">
        <v>1</v>
      </c>
      <c r="B8" s="389" t="n">
        <v>2</v>
      </c>
      <c r="C8" s="389" t="n">
        <v>3</v>
      </c>
      <c r="D8" s="389" t="n">
        <v>4</v>
      </c>
      <c r="E8" s="389" t="n">
        <v>5</v>
      </c>
      <c r="F8" s="389" t="n">
        <v>6</v>
      </c>
      <c r="G8" s="389" t="n">
        <v>7</v>
      </c>
    </row>
    <row r="9" ht="15" customHeight="1" s="336">
      <c r="A9" s="235" t="n"/>
      <c r="B9" s="397" t="inlineStr">
        <is>
          <t>ИНЖЕНЕРНОЕ ОБОРУДОВАНИЕ</t>
        </is>
      </c>
      <c r="C9" s="455" t="n"/>
      <c r="D9" s="455" t="n"/>
      <c r="E9" s="455" t="n"/>
      <c r="F9" s="455" t="n"/>
      <c r="G9" s="456" t="n"/>
    </row>
    <row r="10" ht="27" customHeight="1" s="336">
      <c r="A10" s="389" t="n"/>
      <c r="B10" s="378" t="n"/>
      <c r="C10" s="397" t="inlineStr">
        <is>
          <t>ИТОГО ИНЖЕНЕРНОЕ ОБОРУДОВАНИЕ</t>
        </is>
      </c>
      <c r="D10" s="378" t="n"/>
      <c r="E10" s="148" t="n"/>
      <c r="F10" s="399" t="n"/>
      <c r="G10" s="399" t="n">
        <v>0</v>
      </c>
    </row>
    <row r="11">
      <c r="A11" s="389" t="n"/>
      <c r="B11" s="397" t="inlineStr">
        <is>
          <t>ТЕХНОЛОГИЧЕСКОЕ ОБОРУДОВАНИЕ</t>
        </is>
      </c>
      <c r="C11" s="455" t="n"/>
      <c r="D11" s="455" t="n"/>
      <c r="E11" s="455" t="n"/>
      <c r="F11" s="455" t="n"/>
      <c r="G11" s="456" t="n"/>
    </row>
    <row r="12" ht="25.5" customHeight="1" s="336">
      <c r="A12" s="389" t="n"/>
      <c r="B12" s="397" t="n"/>
      <c r="C12" s="397" t="inlineStr">
        <is>
          <t>ИТОГО ТЕХНОЛОГИЧЕСКОЕ ОБОРУДОВАНИЕ</t>
        </is>
      </c>
      <c r="D12" s="397" t="n"/>
      <c r="E12" s="409" t="n"/>
      <c r="F12" s="399" t="n"/>
      <c r="G12" s="206" t="n">
        <v>0</v>
      </c>
    </row>
    <row r="13" ht="19.5" customHeight="1" s="336">
      <c r="A13" s="389" t="n"/>
      <c r="B13" s="397" t="n"/>
      <c r="C13" s="397" t="inlineStr">
        <is>
          <t>Всего по разделу «Оборудование»</t>
        </is>
      </c>
      <c r="D13" s="397" t="n"/>
      <c r="E13" s="409" t="n"/>
      <c r="F13" s="399" t="n"/>
      <c r="G13" s="206">
        <f>G10+G12</f>
        <v/>
      </c>
    </row>
    <row r="14">
      <c r="A14" s="318" t="n"/>
      <c r="B14" s="319" t="n"/>
      <c r="C14" s="318" t="n"/>
      <c r="D14" s="318" t="n"/>
      <c r="E14" s="318" t="n"/>
      <c r="F14" s="318" t="n"/>
      <c r="G14" s="318" t="n"/>
    </row>
    <row r="15">
      <c r="A15" s="313" t="inlineStr">
        <is>
          <t>Составил ______________________    Д.Ю. Нефедова</t>
        </is>
      </c>
      <c r="B15" s="320" t="n"/>
      <c r="C15" s="320" t="n"/>
      <c r="D15" s="318" t="n"/>
      <c r="E15" s="318" t="n"/>
      <c r="F15" s="318" t="n"/>
      <c r="G15" s="318" t="n"/>
    </row>
    <row r="16">
      <c r="A16" s="321" t="inlineStr">
        <is>
          <t xml:space="preserve">                         (подпись, инициалы, фамилия)</t>
        </is>
      </c>
      <c r="B16" s="320" t="n"/>
      <c r="C16" s="320" t="n"/>
      <c r="D16" s="318" t="n"/>
      <c r="E16" s="318" t="n"/>
      <c r="F16" s="318" t="n"/>
      <c r="G16" s="318" t="n"/>
    </row>
    <row r="17">
      <c r="A17" s="313" t="n"/>
      <c r="B17" s="320" t="n"/>
      <c r="C17" s="320" t="n"/>
      <c r="D17" s="318" t="n"/>
      <c r="E17" s="318" t="n"/>
      <c r="F17" s="318" t="n"/>
      <c r="G17" s="318" t="n"/>
    </row>
    <row r="18">
      <c r="A18" s="313" t="inlineStr">
        <is>
          <t>Проверил ______________________        А.В. Костянецкая</t>
        </is>
      </c>
      <c r="B18" s="320" t="n"/>
      <c r="C18" s="320" t="n"/>
      <c r="D18" s="318" t="n"/>
      <c r="E18" s="318" t="n"/>
      <c r="F18" s="318" t="n"/>
      <c r="G18" s="318" t="n"/>
    </row>
    <row r="19">
      <c r="A19" s="321" t="inlineStr">
        <is>
          <t xml:space="preserve">                        (подпись, инициалы, фамилия)</t>
        </is>
      </c>
      <c r="B19" s="320" t="n"/>
      <c r="C19" s="320" t="n"/>
      <c r="D19" s="318" t="n"/>
      <c r="E19" s="318" t="n"/>
      <c r="F19" s="318" t="n"/>
      <c r="G19" s="31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336" min="1" max="1"/>
    <col width="29.5703125" customWidth="1" style="336" min="2" max="2"/>
    <col width="39.140625" customWidth="1" style="336" min="3" max="3"/>
    <col width="48.140625" customWidth="1" style="336" min="4" max="4"/>
    <col width="8.85546875" customWidth="1" style="336" min="5" max="5"/>
  </cols>
  <sheetData>
    <row r="1">
      <c r="B1" s="313" t="n"/>
      <c r="C1" s="313" t="n"/>
      <c r="D1" s="405" t="inlineStr">
        <is>
          <t>Приложение №7</t>
        </is>
      </c>
    </row>
    <row r="2">
      <c r="A2" s="405" t="n"/>
      <c r="B2" s="405" t="n"/>
      <c r="C2" s="405" t="n"/>
      <c r="D2" s="405" t="n"/>
    </row>
    <row r="3" ht="24.75" customHeight="1" s="336">
      <c r="A3" s="360" t="inlineStr">
        <is>
          <t>Расчет показателя УНЦ</t>
        </is>
      </c>
    </row>
    <row r="4" ht="24.75" customHeight="1" s="336">
      <c r="A4" s="360" t="n"/>
      <c r="B4" s="360" t="n"/>
      <c r="C4" s="360" t="n"/>
      <c r="D4" s="360" t="n"/>
    </row>
    <row r="5" ht="24.6" customHeight="1" s="336">
      <c r="A5" s="363" t="inlineStr">
        <is>
          <t xml:space="preserve">Наименование разрабатываемого показателя УНЦ - </t>
        </is>
      </c>
      <c r="D5" s="363">
        <f>'Прил.5 Расчет СМР и ОБ'!D6:J6</f>
        <v/>
      </c>
    </row>
    <row r="6" ht="19.9" customHeight="1" s="336">
      <c r="A6" s="363" t="inlineStr">
        <is>
          <t>Единица измерения  — 1 ед.</t>
        </is>
      </c>
      <c r="D6" s="363" t="n"/>
    </row>
    <row r="7">
      <c r="A7" s="313" t="n"/>
      <c r="B7" s="313" t="n"/>
      <c r="C7" s="313" t="n"/>
      <c r="D7" s="313" t="n"/>
    </row>
    <row r="8" ht="14.45" customHeight="1" s="336">
      <c r="A8" s="377" t="inlineStr">
        <is>
          <t>Код показателя</t>
        </is>
      </c>
      <c r="B8" s="377" t="inlineStr">
        <is>
          <t>Наименование показателя</t>
        </is>
      </c>
      <c r="C8" s="377" t="inlineStr">
        <is>
          <t>Наименование РМ, входящих в состав показателя</t>
        </is>
      </c>
      <c r="D8" s="377" t="inlineStr">
        <is>
          <t>Норматив цены на 01.01.2023, тыс.руб.</t>
        </is>
      </c>
    </row>
    <row r="9" ht="15" customHeight="1" s="336">
      <c r="A9" s="458" t="n"/>
      <c r="B9" s="458" t="n"/>
      <c r="C9" s="458" t="n"/>
      <c r="D9" s="458" t="n"/>
    </row>
    <row r="10">
      <c r="A10" s="389" t="n">
        <v>1</v>
      </c>
      <c r="B10" s="389" t="n">
        <v>2</v>
      </c>
      <c r="C10" s="389" t="n">
        <v>3</v>
      </c>
      <c r="D10" s="389" t="n">
        <v>4</v>
      </c>
    </row>
    <row r="11" ht="52.9" customHeight="1" s="336">
      <c r="A11" s="389" t="inlineStr">
        <is>
          <t>У3-02</t>
        </is>
      </c>
      <c r="B11" s="389" t="inlineStr">
        <is>
          <t>Защитные конструкций ПС
Откатные (раздвижные, автоматические, противопожарные) ворота</t>
        </is>
      </c>
      <c r="C11" s="315">
        <f>D5</f>
        <v/>
      </c>
      <c r="D11" s="316">
        <f>'Прил.4 РМ'!C41/1000</f>
        <v/>
      </c>
      <c r="E11" s="317" t="n"/>
    </row>
    <row r="12">
      <c r="A12" s="318" t="n"/>
      <c r="B12" s="319" t="n"/>
      <c r="C12" s="318" t="n"/>
      <c r="D12" s="318" t="n"/>
    </row>
    <row r="13">
      <c r="A13" s="313" t="inlineStr">
        <is>
          <t>Составил ______________________      Д.Ю. Нефедова</t>
        </is>
      </c>
      <c r="B13" s="320" t="n"/>
      <c r="C13" s="320" t="n"/>
      <c r="D13" s="318" t="n"/>
    </row>
    <row r="14">
      <c r="A14" s="321" t="inlineStr">
        <is>
          <t xml:space="preserve">                         (подпись, инициалы, фамилия)</t>
        </is>
      </c>
      <c r="B14" s="320" t="n"/>
      <c r="C14" s="320" t="n"/>
      <c r="D14" s="318" t="n"/>
    </row>
    <row r="15">
      <c r="A15" s="313" t="n"/>
      <c r="B15" s="320" t="n"/>
      <c r="C15" s="320" t="n"/>
      <c r="D15" s="318" t="n"/>
    </row>
    <row r="16">
      <c r="A16" s="313" t="inlineStr">
        <is>
          <t>Проверил ______________________        А.В. Костянецкая</t>
        </is>
      </c>
      <c r="B16" s="320" t="n"/>
      <c r="C16" s="320" t="n"/>
      <c r="D16" s="318" t="n"/>
    </row>
    <row r="17">
      <c r="A17" s="321" t="inlineStr">
        <is>
          <t xml:space="preserve">                        (подпись, инициалы, фамилия)</t>
        </is>
      </c>
      <c r="B17" s="320" t="n"/>
      <c r="C17" s="320" t="n"/>
      <c r="D17" s="31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D24" sqref="D24"/>
    </sheetView>
  </sheetViews>
  <sheetFormatPr baseColWidth="8" defaultColWidth="9.140625" defaultRowHeight="15"/>
  <cols>
    <col width="9.140625" customWidth="1" style="336" min="1" max="1"/>
    <col width="40.7109375" customWidth="1" style="336" min="2" max="2"/>
    <col width="37" customWidth="1" style="336" min="3" max="3"/>
    <col width="32" customWidth="1" style="336" min="4" max="4"/>
    <col width="9.140625" customWidth="1" style="336" min="5" max="5"/>
  </cols>
  <sheetData>
    <row r="4" ht="15.75" customHeight="1" s="336">
      <c r="B4" s="371" t="inlineStr">
        <is>
          <t>Приложение № 10</t>
        </is>
      </c>
    </row>
    <row r="5" ht="18.75" customHeight="1" s="336">
      <c r="B5" s="172" t="n"/>
    </row>
    <row r="6" ht="15.75" customHeight="1" s="336">
      <c r="B6" s="376" t="inlineStr">
        <is>
          <t>Используемые индексы изменений сметной стоимости и нормы сопутствующих затрат</t>
        </is>
      </c>
    </row>
    <row r="7">
      <c r="B7" s="411" t="n"/>
    </row>
    <row r="8">
      <c r="B8" s="411" t="n"/>
      <c r="C8" s="411" t="n"/>
      <c r="D8" s="411" t="n"/>
      <c r="E8" s="411" t="n"/>
    </row>
    <row r="9" ht="47.25" customHeight="1" s="336">
      <c r="B9" s="377" t="inlineStr">
        <is>
          <t>Наименование индекса / норм сопутствующих затрат</t>
        </is>
      </c>
      <c r="C9" s="377" t="inlineStr">
        <is>
          <t>Дата применения и обоснование индекса / норм сопутствующих затрат</t>
        </is>
      </c>
      <c r="D9" s="377" t="inlineStr">
        <is>
          <t>Размер индекса / норма сопутствующих затрат</t>
        </is>
      </c>
    </row>
    <row r="10" ht="15.75" customHeight="1" s="336">
      <c r="B10" s="377" t="n">
        <v>1</v>
      </c>
      <c r="C10" s="377" t="n">
        <v>2</v>
      </c>
      <c r="D10" s="377" t="n">
        <v>3</v>
      </c>
    </row>
    <row r="11" ht="45" customHeight="1" s="336">
      <c r="B11" s="377" t="inlineStr">
        <is>
          <t xml:space="preserve">Индекс изменения сметной стоимости на 1 квартал 2023 года. ОЗП </t>
        </is>
      </c>
      <c r="C11" s="377" t="inlineStr">
        <is>
          <t>Письмо Минстроя России от 30.03.2023г. №17106-ИФ/09  прил.1</t>
        </is>
      </c>
      <c r="D11" s="377" t="n">
        <v>44.29</v>
      </c>
    </row>
    <row r="12" ht="29.25" customHeight="1" s="336">
      <c r="B12" s="377" t="inlineStr">
        <is>
          <t>Индекс изменения сметной стоимости на 1 квартал 2023 года. ЭМ</t>
        </is>
      </c>
      <c r="C12" s="377" t="inlineStr">
        <is>
          <t>Письмо Минстроя России от 30.03.2023г. №17106-ИФ/09  прил.1</t>
        </is>
      </c>
      <c r="D12" s="377" t="n">
        <v>13.47</v>
      </c>
    </row>
    <row r="13" ht="29.25" customHeight="1" s="336">
      <c r="B13" s="377" t="inlineStr">
        <is>
          <t>Индекс изменения сметной стоимости на 1 квартал 2023 года. МАТ</t>
        </is>
      </c>
      <c r="C13" s="377" t="inlineStr">
        <is>
          <t>Письмо Минстроя России от 30.03.2023г. №17106-ИФ/09  прил.1</t>
        </is>
      </c>
      <c r="D13" s="377" t="n">
        <v>8.039999999999999</v>
      </c>
    </row>
    <row r="14" ht="30.75" customHeight="1" s="336">
      <c r="B14" s="377" t="inlineStr">
        <is>
          <t>Индекс изменения сметной стоимости на 1 квартал 2023 года. ОБ</t>
        </is>
      </c>
      <c r="C14" s="305" t="inlineStr">
        <is>
          <t>Письмо Минстроя России от 23.02.2023г. №9791-ИФ/09 прил.6</t>
        </is>
      </c>
      <c r="D14" s="377" t="n">
        <v>6.26</v>
      </c>
    </row>
    <row r="15" ht="89.45" customHeight="1" s="336">
      <c r="B15" s="377" t="inlineStr">
        <is>
          <t>Временные здания и сооружения</t>
        </is>
      </c>
      <c r="C15" s="377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36">
      <c r="B16" s="377" t="inlineStr">
        <is>
          <t>Дополнительные затраты при производстве строительно-монтажных работ в зимнее время</t>
        </is>
      </c>
      <c r="C16" s="377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36">
      <c r="B17" s="377" t="inlineStr">
        <is>
          <t>Строительный контроль</t>
        </is>
      </c>
      <c r="C17" s="377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36">
      <c r="B18" s="377" t="inlineStr">
        <is>
          <t>Авторский надзор - 0,2%</t>
        </is>
      </c>
      <c r="C18" s="377" t="inlineStr">
        <is>
          <t>Приказ от 4.08.2020 № 421/пр п.173</t>
        </is>
      </c>
      <c r="D18" s="175" t="n">
        <v>0.002</v>
      </c>
    </row>
    <row r="19" ht="24" customHeight="1" s="336">
      <c r="B19" s="377" t="inlineStr">
        <is>
          <t>Непредвиденные расходы</t>
        </is>
      </c>
      <c r="C19" s="377" t="inlineStr">
        <is>
          <t>Приказ от 4.08.2020 № 421/пр п.179</t>
        </is>
      </c>
      <c r="D19" s="175" t="n">
        <v>0.03</v>
      </c>
    </row>
    <row r="20" ht="18.75" customHeight="1" s="336">
      <c r="B20" s="299" t="n"/>
    </row>
    <row r="21" ht="18.75" customHeight="1" s="336">
      <c r="B21" s="299" t="n"/>
    </row>
    <row r="22" ht="18.75" customHeight="1" s="336">
      <c r="B22" s="299" t="n"/>
    </row>
    <row r="23" ht="18.75" customHeight="1" s="336">
      <c r="B23" s="299" t="n"/>
    </row>
    <row r="26">
      <c r="B26" s="313" t="inlineStr">
        <is>
          <t>Составил ______________________        Д.Ю. Нефедова</t>
        </is>
      </c>
      <c r="C26" s="320" t="n"/>
    </row>
    <row r="27">
      <c r="B27" s="321" t="inlineStr">
        <is>
          <t xml:space="preserve">                         (подпись, инициалы, фамилия)</t>
        </is>
      </c>
      <c r="C27" s="320" t="n"/>
    </row>
    <row r="28">
      <c r="B28" s="313" t="n"/>
      <c r="C28" s="320" t="n"/>
    </row>
    <row r="29">
      <c r="B29" s="313" t="inlineStr">
        <is>
          <t>Проверил ______________________        А.В. Костянецкая</t>
        </is>
      </c>
      <c r="C29" s="320" t="n"/>
    </row>
    <row r="30">
      <c r="B30" s="321" t="inlineStr">
        <is>
          <t xml:space="preserve">                        (подпись, инициалы, фамилия)</t>
        </is>
      </c>
      <c r="C30" s="32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J7" sqref="J7"/>
    </sheetView>
  </sheetViews>
  <sheetFormatPr baseColWidth="8" defaultColWidth="9.140625" defaultRowHeight="15"/>
  <cols>
    <col width="44.85546875" customWidth="1" style="336" min="2" max="2"/>
    <col width="13" customWidth="1" style="336" min="3" max="3"/>
    <col width="22.85546875" customWidth="1" style="336" min="4" max="4"/>
    <col width="21.5703125" customWidth="1" style="336" min="5" max="5"/>
    <col width="43.85546875" customWidth="1" style="336" min="6" max="6"/>
  </cols>
  <sheetData>
    <row r="1" s="336"/>
    <row r="2" ht="18" customHeight="1" s="336">
      <c r="A2" s="376" t="inlineStr">
        <is>
          <t>Расчет размера средств на оплату труда рабочих-строителей в текущем уровне цен (ФОТр.тек.)</t>
        </is>
      </c>
    </row>
    <row r="3" s="336"/>
    <row r="4" ht="18" customHeight="1" s="336">
      <c r="A4" s="337" t="inlineStr">
        <is>
          <t>Составлен в уровне цен на 01.01.2023 г.</t>
        </is>
      </c>
      <c r="B4" s="338" t="n"/>
      <c r="C4" s="338" t="n"/>
      <c r="D4" s="338" t="n"/>
      <c r="E4" s="338" t="n"/>
      <c r="F4" s="338" t="n"/>
      <c r="G4" s="338" t="n"/>
    </row>
    <row r="5" ht="15.6" customHeight="1" s="336">
      <c r="A5" s="339" t="inlineStr">
        <is>
          <t>№ пп.</t>
        </is>
      </c>
      <c r="B5" s="339" t="inlineStr">
        <is>
          <t>Наименование элемента</t>
        </is>
      </c>
      <c r="C5" s="339" t="inlineStr">
        <is>
          <t>Обозначение</t>
        </is>
      </c>
      <c r="D5" s="339" t="inlineStr">
        <is>
          <t>Формула</t>
        </is>
      </c>
      <c r="E5" s="339" t="inlineStr">
        <is>
          <t>Величина элемента</t>
        </is>
      </c>
      <c r="F5" s="339" t="inlineStr">
        <is>
          <t>Наименования обосновывающих документов</t>
        </is>
      </c>
      <c r="G5" s="338" t="n"/>
    </row>
    <row r="6" ht="15.6" customHeight="1" s="336">
      <c r="A6" s="339" t="n">
        <v>1</v>
      </c>
      <c r="B6" s="339" t="n">
        <v>2</v>
      </c>
      <c r="C6" s="339" t="n">
        <v>3</v>
      </c>
      <c r="D6" s="339" t="n">
        <v>4</v>
      </c>
      <c r="E6" s="339" t="n">
        <v>5</v>
      </c>
      <c r="F6" s="339" t="n">
        <v>6</v>
      </c>
      <c r="G6" s="338" t="n"/>
    </row>
    <row r="7" ht="109.15" customHeight="1" s="336">
      <c r="A7" s="340" t="inlineStr">
        <is>
          <t>1.1</t>
        </is>
      </c>
      <c r="B7" s="34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7" t="inlineStr">
        <is>
          <t>С1ср</t>
        </is>
      </c>
      <c r="D7" s="377" t="inlineStr">
        <is>
          <t>-</t>
        </is>
      </c>
      <c r="E7" s="343" t="n">
        <v>47872.94</v>
      </c>
      <c r="F7" s="34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8" t="n"/>
    </row>
    <row r="8" ht="31.15" customHeight="1" s="336">
      <c r="A8" s="340" t="inlineStr">
        <is>
          <t>1.2</t>
        </is>
      </c>
      <c r="B8" s="345" t="inlineStr">
        <is>
          <t>Среднегодовое нормативное число часов работы одного рабочего в месяц, часы (ч.)</t>
        </is>
      </c>
      <c r="C8" s="377" t="inlineStr">
        <is>
          <t>tср</t>
        </is>
      </c>
      <c r="D8" s="377" t="inlineStr">
        <is>
          <t>1973ч/12мес.</t>
        </is>
      </c>
      <c r="E8" s="344">
        <f>1973/12</f>
        <v/>
      </c>
      <c r="F8" s="345" t="inlineStr">
        <is>
          <t>Производственный календарь 2023 год
(40-часов.неделя)</t>
        </is>
      </c>
      <c r="G8" s="347" t="n"/>
    </row>
    <row r="9" ht="15.6" customHeight="1" s="336">
      <c r="A9" s="340" t="inlineStr">
        <is>
          <t>1.3</t>
        </is>
      </c>
      <c r="B9" s="345" t="inlineStr">
        <is>
          <t>Коэффициент увеличения</t>
        </is>
      </c>
      <c r="C9" s="377" t="inlineStr">
        <is>
          <t>Кув</t>
        </is>
      </c>
      <c r="D9" s="377" t="inlineStr">
        <is>
          <t>-</t>
        </is>
      </c>
      <c r="E9" s="344" t="n">
        <v>1</v>
      </c>
      <c r="F9" s="345" t="n"/>
      <c r="G9" s="347" t="n"/>
    </row>
    <row r="10" ht="15.6" customHeight="1" s="336">
      <c r="A10" s="340" t="inlineStr">
        <is>
          <t>1.4</t>
        </is>
      </c>
      <c r="B10" s="345" t="inlineStr">
        <is>
          <t>Средний разряд работ</t>
        </is>
      </c>
      <c r="C10" s="377" t="n"/>
      <c r="D10" s="377" t="n"/>
      <c r="E10" s="348" t="n">
        <v>4</v>
      </c>
      <c r="F10" s="345" t="inlineStr">
        <is>
          <t>РТМ</t>
        </is>
      </c>
      <c r="G10" s="347" t="n"/>
    </row>
    <row r="11" ht="78" customHeight="1" s="336">
      <c r="A11" s="340" t="inlineStr">
        <is>
          <t>1.5</t>
        </is>
      </c>
      <c r="B11" s="345" t="inlineStr">
        <is>
          <t>Тарифный коэффициент среднего разряда работ</t>
        </is>
      </c>
      <c r="C11" s="377" t="inlineStr">
        <is>
          <t>КТ</t>
        </is>
      </c>
      <c r="D11" s="377" t="inlineStr">
        <is>
          <t>-</t>
        </is>
      </c>
      <c r="E11" s="349" t="n">
        <v>1.34</v>
      </c>
      <c r="F11" s="34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8" t="n"/>
    </row>
    <row r="12" ht="78" customHeight="1" s="336">
      <c r="A12" s="340" t="inlineStr">
        <is>
          <t>1.6</t>
        </is>
      </c>
      <c r="B12" s="350" t="inlineStr">
        <is>
          <t>Коэффициент инфляции, определяемый поквартально</t>
        </is>
      </c>
      <c r="C12" s="377" t="inlineStr">
        <is>
          <t>Кинф</t>
        </is>
      </c>
      <c r="D12" s="377" t="inlineStr">
        <is>
          <t>-</t>
        </is>
      </c>
      <c r="E12" s="471" t="n">
        <v>1.139</v>
      </c>
      <c r="F12" s="35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7" t="n"/>
    </row>
    <row r="13" ht="62.45" customHeight="1" s="336">
      <c r="A13" s="353" t="inlineStr">
        <is>
          <t>1.7</t>
        </is>
      </c>
      <c r="B13" s="354" t="inlineStr">
        <is>
          <t>Размер средств на оплату труда рабочих-строителей в текущем уровне цен (ФОТр.тек.), руб/чел.-ч</t>
        </is>
      </c>
      <c r="C13" s="355" t="inlineStr">
        <is>
          <t>ФОТр.тек.</t>
        </is>
      </c>
      <c r="D13" s="355" t="inlineStr">
        <is>
          <t>(С1ср/tср*КТ*Т*Кув)*Кинф</t>
        </is>
      </c>
      <c r="E13" s="356">
        <f>((E7*E9/E8)*E11)*E12</f>
        <v/>
      </c>
      <c r="F13" s="35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8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2025-01-24T12:19:08Z</dcterms:modified>
  <cp:lastModifiedBy>REDMIBOOK</cp:lastModifiedBy>
  <cp:lastPrinted>2023-12-01T12:10:32Z</cp:lastPrinted>
</cp:coreProperties>
</file>