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rm.local\storage\все файлы\"/>
    </mc:Choice>
  </mc:AlternateContent>
  <xr:revisionPtr revIDLastSave="0" documentId="13_ncr:20001_{3EE7E0DC-1E20-4945-9CC7-B4D5FCDA7C08}" xr6:coauthVersionLast="40" xr6:coauthVersionMax="40" xr10:uidLastSave="{00000000-0000-0000-0000-000000000000}"/>
  <bookViews>
    <workbookView xWindow="0" yWindow="0" windowWidth="28800" windowHeight="11520" activeTab="4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 10" sheetId="8" r:id="rId8"/>
    <sheet name="ФОТр.тек." sheetId="9" r:id="rId9"/>
  </sheets>
  <calcPr calcId="191029"/>
  <fileRecoveryPr dataExtractLoad="1"/>
</workbook>
</file>

<file path=xl/calcChain.xml><?xml version="1.0" encoding="utf-8"?>
<calcChain xmlns="http://schemas.openxmlformats.org/spreadsheetml/2006/main">
  <c r="E8" i="9" l="1"/>
  <c r="E13" i="9" s="1"/>
  <c r="I13" i="5" s="1"/>
  <c r="D5" i="7"/>
  <c r="C11" i="7" s="1"/>
  <c r="G13" i="6"/>
  <c r="A4" i="6"/>
  <c r="E53" i="5"/>
  <c r="I45" i="5"/>
  <c r="J45" i="5" s="1"/>
  <c r="G45" i="5"/>
  <c r="I44" i="5"/>
  <c r="J44" i="5" s="1"/>
  <c r="G44" i="5"/>
  <c r="I43" i="5"/>
  <c r="J43" i="5" s="1"/>
  <c r="G43" i="5"/>
  <c r="I42" i="5"/>
  <c r="J42" i="5" s="1"/>
  <c r="G42" i="5"/>
  <c r="I41" i="5"/>
  <c r="J41" i="5" s="1"/>
  <c r="G41" i="5"/>
  <c r="G46" i="5" s="1"/>
  <c r="I39" i="5"/>
  <c r="J39" i="5" s="1"/>
  <c r="G39" i="5"/>
  <c r="J38" i="5"/>
  <c r="J40" i="5" s="1"/>
  <c r="I38" i="5"/>
  <c r="G38" i="5"/>
  <c r="G40" i="5" s="1"/>
  <c r="J35" i="5"/>
  <c r="G35" i="5"/>
  <c r="G34" i="5"/>
  <c r="I27" i="5"/>
  <c r="J27" i="5" s="1"/>
  <c r="G27" i="5"/>
  <c r="J26" i="5"/>
  <c r="I26" i="5"/>
  <c r="G26" i="5"/>
  <c r="I25" i="5"/>
  <c r="J25" i="5" s="1"/>
  <c r="G25" i="5"/>
  <c r="J24" i="5"/>
  <c r="I24" i="5"/>
  <c r="G24" i="5"/>
  <c r="G28" i="5" s="1"/>
  <c r="I22" i="5"/>
  <c r="J22" i="5" s="1"/>
  <c r="G22" i="5"/>
  <c r="I21" i="5"/>
  <c r="J21" i="5" s="1"/>
  <c r="G21" i="5"/>
  <c r="I20" i="5"/>
  <c r="J20" i="5" s="1"/>
  <c r="G20" i="5"/>
  <c r="I19" i="5"/>
  <c r="J19" i="5" s="1"/>
  <c r="J23" i="5" s="1"/>
  <c r="G19" i="5"/>
  <c r="G23" i="5" s="1"/>
  <c r="I16" i="5"/>
  <c r="J16" i="5" s="1"/>
  <c r="C15" i="4" s="1"/>
  <c r="G16" i="5"/>
  <c r="F16" i="5"/>
  <c r="E16" i="5"/>
  <c r="A7" i="5"/>
  <c r="C31" i="4"/>
  <c r="C26" i="4"/>
  <c r="C25" i="4"/>
  <c r="B8" i="4"/>
  <c r="B7" i="4"/>
  <c r="H36" i="3"/>
  <c r="H35" i="3"/>
  <c r="H34" i="3"/>
  <c r="H33" i="3"/>
  <c r="H32" i="3"/>
  <c r="H31" i="3"/>
  <c r="H30" i="3"/>
  <c r="H29" i="3"/>
  <c r="H27" i="3"/>
  <c r="H26" i="3"/>
  <c r="H25" i="3"/>
  <c r="H24" i="3"/>
  <c r="H23" i="3"/>
  <c r="H22" i="3"/>
  <c r="H21" i="3"/>
  <c r="H20" i="3"/>
  <c r="H19" i="3" s="1"/>
  <c r="H17" i="3"/>
  <c r="H16" i="3"/>
  <c r="H15" i="3"/>
  <c r="H14" i="3"/>
  <c r="H13" i="3"/>
  <c r="G13" i="5" s="1"/>
  <c r="H12" i="3"/>
  <c r="F12" i="3"/>
  <c r="A6" i="3"/>
  <c r="G36" i="2"/>
  <c r="I35" i="2"/>
  <c r="I36" i="2" s="1"/>
  <c r="H35" i="2"/>
  <c r="H36" i="2" s="1"/>
  <c r="G35" i="2"/>
  <c r="F34" i="2"/>
  <c r="F35" i="2" s="1"/>
  <c r="C34" i="2"/>
  <c r="I23" i="2"/>
  <c r="I22" i="2"/>
  <c r="H22" i="2"/>
  <c r="H23" i="2" s="1"/>
  <c r="G22" i="2"/>
  <c r="G23" i="2" s="1"/>
  <c r="F22" i="2"/>
  <c r="F23" i="2" s="1"/>
  <c r="J23" i="2" s="1"/>
  <c r="E23" i="1" s="1"/>
  <c r="E24" i="1" s="1"/>
  <c r="F21" i="2"/>
  <c r="J21" i="2" s="1"/>
  <c r="C21" i="2"/>
  <c r="I14" i="2"/>
  <c r="G14" i="2"/>
  <c r="I13" i="2"/>
  <c r="H13" i="2"/>
  <c r="H14" i="2" s="1"/>
  <c r="G13" i="2"/>
  <c r="F12" i="2"/>
  <c r="F13" i="2" s="1"/>
  <c r="C12" i="2"/>
  <c r="B7" i="2"/>
  <c r="B6" i="2"/>
  <c r="E18" i="1"/>
  <c r="E17" i="1"/>
  <c r="F15" i="1"/>
  <c r="D8" i="1"/>
  <c r="D22" i="1" s="1"/>
  <c r="J46" i="5" l="1"/>
  <c r="C17" i="4" s="1"/>
  <c r="F22" i="1"/>
  <c r="E22" i="1"/>
  <c r="H42" i="5"/>
  <c r="C12" i="4"/>
  <c r="G47" i="5"/>
  <c r="H38" i="5" s="1"/>
  <c r="H40" i="5"/>
  <c r="H43" i="5"/>
  <c r="H13" i="5"/>
  <c r="E13" i="5"/>
  <c r="E14" i="5" s="1"/>
  <c r="G14" i="5"/>
  <c r="H45" i="5"/>
  <c r="C16" i="4"/>
  <c r="J47" i="5"/>
  <c r="J35" i="2"/>
  <c r="F36" i="2"/>
  <c r="J36" i="2" s="1"/>
  <c r="F23" i="1" s="1"/>
  <c r="F24" i="1" s="1"/>
  <c r="J28" i="5"/>
  <c r="C13" i="4" s="1"/>
  <c r="J13" i="2"/>
  <c r="F14" i="2"/>
  <c r="J14" i="2" s="1"/>
  <c r="D23" i="1" s="1"/>
  <c r="D24" i="1" s="1"/>
  <c r="D18" i="1"/>
  <c r="D17" i="1" s="1"/>
  <c r="G29" i="5"/>
  <c r="H39" i="5"/>
  <c r="H44" i="5"/>
  <c r="J12" i="2"/>
  <c r="F18" i="1"/>
  <c r="F17" i="1" s="1"/>
  <c r="J22" i="2"/>
  <c r="J34" i="2"/>
  <c r="H41" i="5"/>
  <c r="H19" i="5" l="1"/>
  <c r="H26" i="5"/>
  <c r="H24" i="5"/>
  <c r="H21" i="5"/>
  <c r="H23" i="5"/>
  <c r="J29" i="5"/>
  <c r="J13" i="5"/>
  <c r="J14" i="5" s="1"/>
  <c r="H22" i="5"/>
  <c r="C14" i="4"/>
  <c r="C18" i="4"/>
  <c r="H20" i="5"/>
  <c r="H46" i="5"/>
  <c r="H25" i="5"/>
  <c r="H27" i="5"/>
  <c r="H28" i="5"/>
  <c r="E49" i="5"/>
  <c r="G48" i="5"/>
  <c r="G51" i="5"/>
  <c r="G52" i="5" s="1"/>
  <c r="G53" i="5" s="1"/>
  <c r="E50" i="5"/>
  <c r="J48" i="5" l="1"/>
  <c r="C11" i="4"/>
  <c r="J49" i="5"/>
  <c r="J51" i="5" s="1"/>
  <c r="J52" i="5" s="1"/>
  <c r="J53" i="5" s="1"/>
  <c r="C23" i="4"/>
  <c r="C22" i="4" s="1"/>
  <c r="C21" i="4"/>
  <c r="J50" i="5"/>
  <c r="C20" i="4" l="1"/>
  <c r="C19" i="4"/>
  <c r="C24" i="4" s="1"/>
  <c r="C29" i="4" l="1"/>
  <c r="D24" i="4"/>
  <c r="C27" i="4"/>
  <c r="D15" i="4"/>
  <c r="D16" i="4"/>
  <c r="D13" i="4"/>
  <c r="D12" i="4"/>
  <c r="D17" i="4"/>
  <c r="D18" i="4"/>
  <c r="D14" i="4"/>
  <c r="D22" i="4"/>
  <c r="D20" i="4"/>
  <c r="D11" i="4"/>
  <c r="C30" i="4" l="1"/>
  <c r="C37" i="4" l="1"/>
  <c r="C36" i="4"/>
  <c r="C38" i="4" l="1"/>
  <c r="C39" i="4" l="1"/>
  <c r="C40" i="4" l="1"/>
  <c r="E39" i="4"/>
  <c r="E40" i="4" l="1"/>
  <c r="E35" i="4"/>
  <c r="E34" i="4"/>
  <c r="E33" i="4"/>
  <c r="C41" i="4"/>
  <c r="D11" i="7" s="1"/>
  <c r="E32" i="4"/>
  <c r="E26" i="4"/>
  <c r="E25" i="4"/>
  <c r="E31" i="4"/>
  <c r="E15" i="4"/>
  <c r="E16" i="4"/>
  <c r="E12" i="4"/>
  <c r="E13" i="4"/>
  <c r="E17" i="4"/>
  <c r="E18" i="4"/>
  <c r="E14" i="4"/>
  <c r="E11" i="4"/>
  <c r="E22" i="4"/>
  <c r="E24" i="4"/>
  <c r="E20" i="4"/>
  <c r="E27" i="4"/>
  <c r="E29" i="4"/>
  <c r="E30" i="4"/>
  <c r="E36" i="4"/>
  <c r="E37" i="4"/>
  <c r="E38" i="4"/>
</calcChain>
</file>

<file path=xl/sharedStrings.xml><?xml version="1.0" encoding="utf-8"?>
<sst xmlns="http://schemas.openxmlformats.org/spreadsheetml/2006/main" count="469" uniqueCount="296">
  <si>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</si>
  <si>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</si>
  <si>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</t>
  </si>
  <si>
    <t>Наименование разрабатываемого показателя УНЦ - Противоподкопные мероприятия</t>
  </si>
  <si>
    <t xml:space="preserve">Сопоставимый уровень цен: </t>
  </si>
  <si>
    <t>Единица измерения  — 1 м периметра ПС</t>
  </si>
  <si>
    <t>№ п/п</t>
  </si>
  <si>
    <t>Параметр</t>
  </si>
  <si>
    <t>Объект-представитель 1</t>
  </si>
  <si>
    <t>Объект-представитель 2</t>
  </si>
  <si>
    <t>Объект-представитель 3</t>
  </si>
  <si>
    <t>Наименование объекта-представителя</t>
  </si>
  <si>
    <t>Строительство ПС 500кв Белобережская с заходами ВЛ500кв Новобрянская-Елецкая,строительство ВЛ220квБелобережская-Цементная,ВЛ220кв Белобережская-Машзавод,ВЛ220кв Белобережская-Брянская</t>
  </si>
  <si>
    <t>ПС 500 кВ Усть-Кут с заходами ВЛ 500кВ и ВЛ 220кВ</t>
  </si>
  <si>
    <t>Строительство ПС 220 кВ Зубовка с двумя трансформаторами по 200 МВА каждый и реконструкцией ВЛ 220 кВ Южная – Черный Яр №2 в объёме  сооружения одного двухцепного участка ориентировочно 5 км с образованием: ВЛ 220 кВ Южная – Зубовка ориентировочно 141 км и ВЛ 220 кВ Чёрный Яр – Зубовка ориентировочно 20 км (для ТП ООО «Одиннадцатый Ветропарк ФРВ» и ООО «Пятнадцатый Ветропарк ФРВ»)»</t>
  </si>
  <si>
    <t>Наименование субъекта Российской Федерации</t>
  </si>
  <si>
    <t>н.п. Березовский Карачевского района Брянской области</t>
  </si>
  <si>
    <t>Усть-Кутский район Иркутской области</t>
  </si>
  <si>
    <t>Черноярский район Астраханской области</t>
  </si>
  <si>
    <t>Климатический район и подрайон</t>
  </si>
  <si>
    <t>II / II В</t>
  </si>
  <si>
    <t>I / I Д</t>
  </si>
  <si>
    <t>III / III 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</si>
  <si>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</si>
  <si>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</si>
  <si>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В грунте под панелями наружного ограждения на глубину 500 мм - дополнительное ограждение из сварной сетки Ø16 АI с ячейкой 150х150 мм</t>
  </si>
  <si>
    <t>Сетка противоподкопная (Сетка 2С    
                            2200х850, ГОСТ 23279-85)</t>
  </si>
  <si>
    <t>По низу панелей наружного ограждения - решетка из арматуры Ø 16 А240 с шагом 150х150 мм и с заглублением в грунт на 500 мм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</si>
  <si>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</si>
  <si>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</si>
  <si>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</si>
  <si>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</si>
  <si>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</si>
  <si>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</si>
  <si>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</si>
  <si>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</si>
  <si>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</si>
  <si>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</si>
  <si>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</si>
  <si>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</si>
  <si>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</si>
  <si>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</si>
  <si>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</si>
  <si>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</si>
  <si>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</si>
  <si>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</si>
  <si>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Исключены доп. затраты, связанные с усложненными условиями выполнения смр (стесненность, работа вблизи объектов под высоким напряжением)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</si>
  <si>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</si>
  <si>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</si>
  <si>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</si>
  <si>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</si>
  <si>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</si>
  <si>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 2014г.,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</si>
  <si>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</si>
  <si>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</si>
  <si>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</si>
  <si>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</si>
  <si>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</si>
  <si>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07-01-02</t>
  </si>
  <si>
    <t>Наружное ограждение ПС, ПС500кв Белобережская</t>
  </si>
  <si>
    <t>Всего по объекту:</t>
  </si>
  <si>
    <t>Всего по объекту в сопоставимом уровне цен (1 кв. 2021 г):</t>
  </si>
  <si>
    <t>Сметная стоимость в уровне цен 2 кв. 2018 г., тыс. руб.</t>
  </si>
  <si>
    <t>07-05-01</t>
  </si>
  <si>
    <t>Наружное ограждение ОРУ 500 кВ ПС 500 кВ Усть-Кут</t>
  </si>
  <si>
    <t>*</t>
  </si>
  <si>
    <t xml:space="preserve"> стоимость с учетом исключения затрат:</t>
  </si>
  <si>
    <t>-</t>
  </si>
  <si>
    <t>Производство строительных и других работ на открытых и полуоткрытых производственных площадках в стесненных условиях: с наличием в зоне производства работ действующего технологического оборудования или движения технологического транспорта</t>
  </si>
  <si>
    <t>Производство строительных и других работ вблизи объектов, находящихся под высоким напряжением, в том числе в охранной зоне действующей воздушной линии электропередачи</t>
  </si>
  <si>
    <t>Сметная стоимость в уровне цен 1 кв. 2021 г., тыс. руб.</t>
  </si>
  <si>
    <t>07-03-01</t>
  </si>
  <si>
    <t>Строительство ПС 220 кВ Зубовка. Ограждение наружное. Конструктивные и объемно-планировочные решения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</si>
  <si>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</si>
  <si>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</si>
  <si>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</si>
  <si>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</si>
  <si>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</si>
  <si>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</si>
  <si>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</si>
  <si>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</si>
  <si>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</si>
  <si>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</si>
  <si>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</si>
  <si>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</si>
  <si>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</si>
  <si>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</si>
  <si>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1-4-9</t>
  </si>
  <si>
    <t>Рабочий среднего разряда 4,9</t>
  </si>
  <si>
    <t>чел.-ч</t>
  </si>
  <si>
    <t>1-4-4</t>
  </si>
  <si>
    <t>Рабочий среднего разряда 4,4</t>
  </si>
  <si>
    <t>1-3-5</t>
  </si>
  <si>
    <t>Рабочий среднего разряда 3,5</t>
  </si>
  <si>
    <t>1-2-0</t>
  </si>
  <si>
    <t>Рабочий среднего разряда 2,0</t>
  </si>
  <si>
    <t>Затраты труда машинистов</t>
  </si>
  <si>
    <t>Машины и механизмы</t>
  </si>
  <si>
    <t>6</t>
  </si>
  <si>
    <t>91.21.01-012</t>
  </si>
  <si>
    <t>Агрегаты окрасочные высокого давления для окраски поверхностей конструкций, мощность 1 кВт</t>
  </si>
  <si>
    <t>маш.-ч.</t>
  </si>
  <si>
    <t>7</t>
  </si>
  <si>
    <t>91.17.04-233</t>
  </si>
  <si>
    <t>Установки для сварки ручной дуговой (постоянного тока)</t>
  </si>
  <si>
    <t>8</t>
  </si>
  <si>
    <t>91.01.05-085</t>
  </si>
  <si>
    <t>Экскаваторы одноковшовые дизельные на гусеничном ходу, емкость ковша 0,5 м3</t>
  </si>
  <si>
    <t>9</t>
  </si>
  <si>
    <t>91.14.02-001</t>
  </si>
  <si>
    <t>Автомобили бортовые, грузоподъемность до 5 т</t>
  </si>
  <si>
    <t>10</t>
  </si>
  <si>
    <t>91.01.01-035</t>
  </si>
  <si>
    <t>Бульдозеры, мощность 79 кВт (108 л.с.)</t>
  </si>
  <si>
    <t>11</t>
  </si>
  <si>
    <t>91.01.01-034</t>
  </si>
  <si>
    <t>Бульдозеры, мощность 59 кВт (80 л.с.)</t>
  </si>
  <si>
    <t>12</t>
  </si>
  <si>
    <t>91.06.05-011</t>
  </si>
  <si>
    <t>Погрузчики, грузоподъемность 5 т</t>
  </si>
  <si>
    <t>13</t>
  </si>
  <si>
    <t>91.06.03-060</t>
  </si>
  <si>
    <t>Лебедки электрические тяговым усилием до 5,79 кН (0,59 т)</t>
  </si>
  <si>
    <t>Материалы</t>
  </si>
  <si>
    <t>08.4.03.02-0006</t>
  </si>
  <si>
    <t>Сталь арматурная, горячекатаная, гладкая, класс А-I, диаметр 16-18 мм</t>
  </si>
  <si>
    <t>т</t>
  </si>
  <si>
    <t>15</t>
  </si>
  <si>
    <t>14.4.03.03-0102</t>
  </si>
  <si>
    <t>Лак битумный БТ-577</t>
  </si>
  <si>
    <t>14.4.02.09-0302</t>
  </si>
  <si>
    <t>Краска БТ-177</t>
  </si>
  <si>
    <t>17</t>
  </si>
  <si>
    <t>01.7.11.07-0054</t>
  </si>
  <si>
    <t>Электроды сварочные Э42, диаметр 6 мм</t>
  </si>
  <si>
    <t>14.5.09.11-0102</t>
  </si>
  <si>
    <t>Уайт-спирит</t>
  </si>
  <si>
    <t>кг</t>
  </si>
  <si>
    <t>19</t>
  </si>
  <si>
    <t>14.5.09.02-0002</t>
  </si>
  <si>
    <t>Ксилол нефтяной, марка А</t>
  </si>
  <si>
    <t>02.2.05.04-1777</t>
  </si>
  <si>
    <t>Щебень М 800, фракция 20-40 мм, группа 2</t>
  </si>
  <si>
    <t>м3</t>
  </si>
  <si>
    <t xml:space="preserve">Примечание: </t>
  </si>
  <si>
    <t xml:space="preserve">Сметная стоимость ресурсов принята на основании данных по объекту - представителя в ценах на 01.01.2000 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</si>
  <si>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</si>
  <si>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</si>
  <si>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</si>
  <si>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</si>
  <si>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</si>
  <si>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</si>
  <si>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</si>
  <si>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</si>
  <si>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</si>
  <si>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</si>
  <si>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</si>
  <si>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</si>
  <si>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</si>
  <si>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</si>
  <si>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</si>
  <si>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</si>
  <si>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</si>
  <si>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</si>
  <si>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</si>
  <si>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</si>
  <si>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</si>
  <si>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</si>
  <si>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</si>
  <si>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</si>
  <si>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</si>
  <si>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</si>
  <si>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</si>
  <si>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</si>
  <si>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</si>
  <si>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</si>
  <si>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</si>
  <si>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</si>
  <si>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</si>
  <si>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</si>
  <si>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</si>
  <si>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</si>
  <si>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</si>
  <si>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Е.А. Князева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</si>
  <si>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</si>
  <si>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</si>
  <si>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</si>
  <si>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</si>
  <si>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</si>
  <si>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- </t>
  </si>
  <si>
    <t>Противоподкопные мероприятия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</si>
  <si>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</si>
  <si>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</si>
  <si>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</si>
  <si>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</si>
  <si>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</si>
  <si>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</si>
  <si>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1-4-7</t>
  </si>
  <si>
    <t>Затраты труда рабочих-строителей среднего разряда (4,7)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</si>
  <si>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</si>
  <si>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</si>
  <si>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</si>
  <si>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</si>
  <si>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</si>
  <si>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</si>
  <si>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</si>
  <si>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</si>
  <si>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</si>
  <si>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</si>
  <si>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</si>
  <si>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</si>
  <si>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</si>
  <si>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</si>
  <si>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</si>
  <si>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</si>
  <si>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</si>
  <si>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</si>
  <si>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</si>
  <si>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</si>
  <si>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</si>
  <si>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</si>
  <si>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Примечание:</t>
  </si>
  <si>
    <t>Стоимость основных показателей в текущем уровне цен принята на основании анализа ориентиров цены, проведенного по данным, предоставленным АО «ЦИУС ЕЭС» и Ген.подрядчиками, задействованными в реализации текущего проекта по актуализации УНЦ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</si>
  <si>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</si>
  <si>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</si>
  <si>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</si>
  <si>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</si>
  <si>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</si>
  <si>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</si>
  <si>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</si>
  <si>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</si>
  <si>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</si>
  <si>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</si>
  <si>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</si>
  <si>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</si>
  <si>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</si>
  <si>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</si>
  <si>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У4-01</t>
  </si>
  <si>
    <t>УНЦ защитных ограждений ПС</t>
  </si>
  <si>
    <t>Составил ______________________   Е.А.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</si>
  <si>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</si>
  <si>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</si>
  <si>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</si>
  <si>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</si>
  <si>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</si>
  <si>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</si>
  <si>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</si>
  <si>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</si>
  <si>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</si>
  <si>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</si>
  <si>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</si>
  <si>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</si>
  <si>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</si>
  <si>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</si>
  <si>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</si>
  <si>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</si>
  <si>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</si>
  <si>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</si>
  <si>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</si>
  <si>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</si>
  <si>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>Расчет размера средств на оплату труда рабочих-строителей в текущем уровне цен (ФОТр.тек.)</t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</si>
  <si>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</si>
  <si>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</si>
  <si>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</si>
  <si>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</si>
  <si>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</si>
  <si>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</si>
  <si>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</si>
  <si>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</si>
  <si>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t>С1ср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</si>
  <si>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</si>
  <si>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</si>
  <si>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</si>
  <si>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t>tср</t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</si>
  <si>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</si>
  <si>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</si>
  <si>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</si>
  <si>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</si>
  <si>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</si>
  <si>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</si>
  <si>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</si>
  <si>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</si>
  <si>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</si>
  <si>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</si>
  <si>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t>КТ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</si>
  <si>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</si>
  <si>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</si>
  <si>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</si>
  <si>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t>Кинф</t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</si>
  <si>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</si>
  <si>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</si>
  <si>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</si>
  <si>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t>Размер средств на оплату труда рабочих-строителей в текущем уровне цен (ФОТр.тек.), руб/чел.-ч</t>
  </si>
  <si>
    <t>ФОТр.тек.</t>
  </si>
  <si>
    <t>(С1ср/tср*КТ*Т*Кув)*Кинф</t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</si>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</sst>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0.000"/>
    <numFmt numFmtId="172" formatCode="0.0_ ;\-0.0\ "/>
    <numFmt numFmtId="173" formatCode="#,##0.00_ ;\-#,##0.00\ "/>
  </numFmts>
  <fonts count="1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sz val="9"/>
      <color rgb="FF000000"/>
      <name val="Arial"/>
    </font>
    <font>
      <i/>
      <sz val="10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u/>
      <sz val="10"/>
      <color rgb="FF0563C1"/>
      <name val="Arial Cyr"/>
    </font>
    <font>
      <u/>
      <sz val="11"/>
      <color rgb="FF0563C1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i/>
      <sz val="9"/>
      <color rgb="FF000000"/>
      <name val="Arial"/>
    </font>
    <font>
      <sz val="11"/>
      <color rgb="FF000000"/>
      <name val="Times New Roman"/>
    </font>
    <font>
      <b/>
      <sz val="12"/>
      <color rgb="FF000000"/>
      <name val="Times New Roman"/>
    </font>
    <font>
      <sz val="11"/>
      <color rgb="FFBFBFBF"/>
      <name val="Calibri"/>
    </font>
    <font>
      <b/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9" fillId="0" borderId="0" xfId="0" applyFont="1"/>
    <xf numFmtId="0" fontId="13" fillId="0" borderId="0" xfId="0" applyFont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top" wrapText="1"/>
    </xf>
    <xf numFmtId="49" fontId="0" fillId="0" borderId="0" xfId="0" applyNumberFormat="1"/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1" xfId="0" applyFont="1" applyBorder="1" applyAlignment="1">
      <alignment horizontal="justify" vertical="center" wrapText="1"/>
    </xf>
    <xf numFmtId="10" fontId="13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" fontId="1" fillId="0" borderId="1" xfId="0" applyNumberFormat="1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2" fontId="1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0" xfId="0" applyFont="1" applyAlignment="1">
      <alignment vertical="top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10" fontId="1" fillId="0" borderId="0" xfId="0" applyNumberFormat="1" applyFont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5" fontId="4" fillId="0" borderId="0" xfId="0" applyNumberFormat="1" applyFont="1"/>
    <xf numFmtId="169" fontId="1" fillId="0" borderId="1" xfId="0" applyNumberFormat="1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1" fillId="0" borderId="4" xfId="0" applyNumberFormat="1" applyFont="1" applyBorder="1" applyAlignment="1">
      <alignment horizontal="righ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4" fillId="0" borderId="0" xfId="0" applyNumberFormat="1" applyFont="1"/>
    <xf numFmtId="4" fontId="4" fillId="0" borderId="0" xfId="0" applyNumberFormat="1" applyFont="1"/>
    <xf numFmtId="4" fontId="1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justify" vertical="center"/>
    </xf>
    <xf numFmtId="0" fontId="1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/>
    <xf numFmtId="0" fontId="0" fillId="0" borderId="0" xfId="0" applyAlignment="1">
      <alignment horizontal="right" vertical="top"/>
    </xf>
    <xf numFmtId="4" fontId="15" fillId="0" borderId="1" xfId="0" applyNumberFormat="1" applyFont="1" applyBorder="1" applyAlignment="1">
      <alignment horizontal="center" vertical="center"/>
    </xf>
    <xf numFmtId="4" fontId="15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right" vertical="center" wrapText="1"/>
    </xf>
    <xf numFmtId="171" fontId="13" fillId="0" borderId="1" xfId="0" applyNumberFormat="1" applyFont="1" applyBorder="1" applyAlignment="1">
      <alignment horizontal="right" vertical="center"/>
    </xf>
    <xf numFmtId="171" fontId="13" fillId="0" borderId="1" xfId="0" applyNumberFormat="1" applyFont="1" applyBorder="1" applyAlignment="1">
      <alignment horizontal="right" vertical="center" wrapText="1"/>
    </xf>
    <xf numFmtId="171" fontId="16" fillId="0" borderId="1" xfId="0" applyNumberFormat="1" applyFont="1" applyBorder="1" applyAlignment="1">
      <alignment vertical="center" wrapText="1"/>
    </xf>
    <xf numFmtId="172" fontId="7" fillId="2" borderId="0" xfId="0" applyNumberFormat="1" applyFont="1" applyFill="1"/>
    <xf numFmtId="14" fontId="13" fillId="0" borderId="0" xfId="0" applyNumberFormat="1" applyFont="1" applyAlignment="1">
      <alignment horizontal="left" vertical="center" wrapText="1"/>
    </xf>
    <xf numFmtId="14" fontId="13" fillId="0" borderId="1" xfId="0" quotePrefix="1" applyNumberFormat="1" applyFont="1" applyBorder="1" applyAlignment="1">
      <alignment horizontal="center" vertical="center"/>
    </xf>
    <xf numFmtId="173" fontId="17" fillId="0" borderId="0" xfId="0" applyNumberFormat="1" applyFont="1"/>
    <xf numFmtId="4" fontId="1" fillId="0" borderId="0" xfId="0" applyNumberFormat="1" applyFont="1" applyAlignment="1">
      <alignment vertical="center"/>
    </xf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  <xf numFmtId="4" fontId="13" fillId="0" borderId="1" xfId="0" applyNumberFormat="1" applyFont="1" applyBorder="1" applyAlignment="1">
      <alignment horizontal="center" vertical="center"/>
    </xf>
    <xf numFmtId="4" fontId="13" fillId="0" borderId="1" xfId="0" applyNumberFormat="1" applyFont="1" applyBorder="1" applyAlignment="1">
      <alignment vertical="center" wrapText="1"/>
    </xf>
    <xf numFmtId="0" fontId="13" fillId="0" borderId="0" xfId="0" applyFont="1"/>
    <xf numFmtId="0" fontId="16" fillId="0" borderId="0" xfId="0" applyFont="1"/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justify" vertical="center"/>
    </xf>
    <xf numFmtId="0" fontId="13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4" fontId="13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49" fontId="0" fillId="0" borderId="4" xfId="0" applyNumberFormat="1" applyBorder="1" applyAlignment="1">
      <alignment horizontal="center" vertical="center"/>
    </xf>
    <xf numFmtId="168" fontId="0" fillId="2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49" fontId="0" fillId="0" borderId="9" xfId="0" applyNumberFormat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4" fontId="8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3:F40"/>
  <sheetViews>
    <sheetView workbookViewId="0"/>
  </sheetViews>
  <sheetFormatPr defaultRowHeight="15" x14ac:dyDescent="0.25"/>
  <sheetData>
    <row r="3" spans="2:6" ht="15.75" x14ac:dyDescent="0.25">
      <c r="B3" s="89" t="s">
        <v>0</v>
      </c>
    </row>
    <row r="4" spans="2:6" ht="18.75" x14ac:dyDescent="0.25">
      <c r="B4" s="90" t="s">
        <v>1</v>
      </c>
    </row>
    <row r="5" spans="2:6" ht="409.5" x14ac:dyDescent="0.25">
      <c r="B5" s="91" t="s">
        <v>2</v>
      </c>
    </row>
    <row r="6" spans="2:6" ht="18.75" x14ac:dyDescent="0.25">
      <c r="B6" s="26"/>
      <c r="C6" s="26"/>
      <c r="D6" s="26"/>
    </row>
    <row r="7" spans="2:6" ht="204.75" x14ac:dyDescent="0.25">
      <c r="B7" s="88" t="s">
        <v>3</v>
      </c>
    </row>
    <row r="8" spans="2:6" ht="15.75" x14ac:dyDescent="0.25">
      <c r="B8" s="97" t="s">
        <v>4</v>
      </c>
      <c r="D8" s="74">
        <f>LARGE(D38:F38, 1)</f>
        <v>44197</v>
      </c>
    </row>
    <row r="9" spans="2:6" ht="110.25" x14ac:dyDescent="0.25">
      <c r="B9" s="88" t="s">
        <v>5</v>
      </c>
    </row>
    <row r="10" spans="2:6" ht="18.75" x14ac:dyDescent="0.25">
      <c r="B10" s="60"/>
    </row>
    <row r="11" spans="2:6" ht="63" x14ac:dyDescent="0.25">
      <c r="B11" s="93" t="s">
        <v>6</v>
      </c>
      <c r="C11" s="93" t="s">
        <v>7</v>
      </c>
      <c r="D11" s="93" t="s">
        <v>8</v>
      </c>
      <c r="E11" s="93" t="s">
        <v>9</v>
      </c>
      <c r="F11" s="93" t="s">
        <v>10</v>
      </c>
    </row>
    <row r="12" spans="2:6" ht="409.5" x14ac:dyDescent="0.25">
      <c r="B12" s="93">
        <v>1</v>
      </c>
      <c r="C12" s="62" t="s">
        <v>11</v>
      </c>
      <c r="D12" s="61" t="s">
        <v>12</v>
      </c>
      <c r="E12" s="61" t="s">
        <v>13</v>
      </c>
      <c r="F12" s="61" t="s">
        <v>14</v>
      </c>
    </row>
    <row r="13" spans="2:6" ht="135" x14ac:dyDescent="0.25">
      <c r="B13" s="93">
        <v>2</v>
      </c>
      <c r="C13" s="62" t="s">
        <v>15</v>
      </c>
      <c r="D13" s="61" t="s">
        <v>16</v>
      </c>
      <c r="E13" s="61" t="s">
        <v>17</v>
      </c>
      <c r="F13" s="61" t="s">
        <v>18</v>
      </c>
    </row>
    <row r="14" spans="2:6" ht="78.75" x14ac:dyDescent="0.25">
      <c r="B14" s="93">
        <v>3</v>
      </c>
      <c r="C14" s="62" t="s">
        <v>19</v>
      </c>
      <c r="D14" s="61" t="s">
        <v>20</v>
      </c>
      <c r="E14" s="61" t="s">
        <v>21</v>
      </c>
      <c r="F14" s="61" t="s">
        <v>22</v>
      </c>
    </row>
    <row r="15" spans="2:6" ht="47.25" x14ac:dyDescent="0.25">
      <c r="B15" s="93">
        <v>4</v>
      </c>
      <c r="C15" s="62" t="s">
        <v>23</v>
      </c>
      <c r="D15" s="61">
        <v>1381</v>
      </c>
      <c r="E15" s="61">
        <v>3009</v>
      </c>
      <c r="F15" s="61">
        <f>2.5*239</f>
        <v>597.5</v>
      </c>
    </row>
    <row r="16" spans="2:6" ht="393.75" x14ac:dyDescent="0.25">
      <c r="B16" s="93">
        <v>5</v>
      </c>
      <c r="C16" s="24" t="s">
        <v>24</v>
      </c>
      <c r="D16" s="61" t="s">
        <v>25</v>
      </c>
      <c r="E16" s="61" t="s">
        <v>26</v>
      </c>
      <c r="F16" s="61" t="s">
        <v>27</v>
      </c>
    </row>
    <row r="17" spans="2:6" ht="378" x14ac:dyDescent="0.25">
      <c r="B17" s="93">
        <v>6</v>
      </c>
      <c r="C17" s="24" t="s">
        <v>28</v>
      </c>
      <c r="D17" s="67">
        <f>D21+D20+D19+D18</f>
        <v>745.24814000000003</v>
      </c>
      <c r="E17" s="68">
        <f>E21+E20+E19+E18</f>
        <v>3886.3205008</v>
      </c>
      <c r="F17" s="67">
        <f>F21+F20+F19+F18</f>
        <v>518.28884099999993</v>
      </c>
    </row>
    <row r="18" spans="2:6" ht="78.75" x14ac:dyDescent="0.25">
      <c r="B18" s="19" t="s">
        <v>29</v>
      </c>
      <c r="C18" s="62" t="s">
        <v>30</v>
      </c>
      <c r="D18" s="68">
        <f>'Прил.2 Расч стоим'!F13</f>
        <v>745.24814000000003</v>
      </c>
      <c r="E18" s="68">
        <f>'Прил.2 Расч стоим'!F21</f>
        <v>3886.3205008</v>
      </c>
      <c r="F18" s="68">
        <f>'Прил.2 Расч стоим'!F34+'Прил.2 Расч стоим'!G34</f>
        <v>518.28884099999993</v>
      </c>
    </row>
    <row r="19" spans="2:6" ht="63" x14ac:dyDescent="0.25">
      <c r="B19" s="19" t="s">
        <v>31</v>
      </c>
      <c r="C19" s="62" t="s">
        <v>32</v>
      </c>
      <c r="D19" s="69"/>
      <c r="E19" s="69"/>
      <c r="F19" s="69"/>
    </row>
    <row r="20" spans="2:6" ht="63" x14ac:dyDescent="0.25">
      <c r="B20" s="19" t="s">
        <v>33</v>
      </c>
      <c r="C20" s="62" t="s">
        <v>34</v>
      </c>
      <c r="D20" s="69"/>
      <c r="E20" s="69"/>
      <c r="F20" s="69"/>
    </row>
    <row r="21" spans="2:6" ht="94.5" x14ac:dyDescent="0.25">
      <c r="B21" s="19" t="s">
        <v>35</v>
      </c>
      <c r="C21" s="62" t="s">
        <v>36</v>
      </c>
      <c r="D21" s="69"/>
      <c r="E21" s="69"/>
      <c r="F21" s="69"/>
    </row>
    <row r="22" spans="2:6" ht="63" x14ac:dyDescent="0.25">
      <c r="B22" s="93">
        <v>7</v>
      </c>
      <c r="C22" s="62" t="s">
        <v>37</v>
      </c>
      <c r="D22" s="63">
        <f>D8</f>
        <v>44197</v>
      </c>
      <c r="E22" s="63">
        <f>D22</f>
        <v>44197</v>
      </c>
      <c r="F22" s="63">
        <f>D22</f>
        <v>44197</v>
      </c>
    </row>
    <row r="23" spans="2:6" ht="409.5" x14ac:dyDescent="0.25">
      <c r="B23" s="93">
        <v>8</v>
      </c>
      <c r="C23" s="24" t="s">
        <v>38</v>
      </c>
      <c r="D23" s="64">
        <f>'Прил.2 Расч стоим'!J14</f>
        <v>1046.5002908697331</v>
      </c>
      <c r="E23" s="64">
        <f>'Прил.2 Расч стоим'!J23</f>
        <v>4323.8704512230024</v>
      </c>
      <c r="F23" s="64">
        <f>'Прил.2 Расч стоим'!J36</f>
        <v>518.28884099999993</v>
      </c>
    </row>
    <row r="24" spans="2:6" ht="204.75" x14ac:dyDescent="0.25">
      <c r="B24" s="93">
        <v>9</v>
      </c>
      <c r="C24" s="24" t="s">
        <v>39</v>
      </c>
      <c r="D24" s="64">
        <f>D23/D15</f>
        <v>0.75778442495998055</v>
      </c>
      <c r="E24" s="64">
        <f>E23/E15</f>
        <v>1.4369792127693595</v>
      </c>
      <c r="F24" s="64">
        <f>F23/F15</f>
        <v>0.86742902259414212</v>
      </c>
    </row>
    <row r="25" spans="2:6" ht="204.75" x14ac:dyDescent="0.25">
      <c r="B25" s="93">
        <v>10</v>
      </c>
      <c r="C25" s="62" t="s">
        <v>40</v>
      </c>
      <c r="D25" s="62" t="s">
        <v>41</v>
      </c>
      <c r="E25" s="62"/>
      <c r="F25" s="62"/>
    </row>
    <row r="26" spans="2:6" ht="15.75" x14ac:dyDescent="0.25">
      <c r="B26" s="16"/>
      <c r="C26" s="17"/>
      <c r="D26" s="17"/>
    </row>
    <row r="27" spans="2:6" x14ac:dyDescent="0.25">
      <c r="B27" s="81" t="s">
        <v>42</v>
      </c>
      <c r="C27" s="79"/>
    </row>
    <row r="28" spans="2:6" x14ac:dyDescent="0.25">
      <c r="B28" s="80" t="s">
        <v>43</v>
      </c>
      <c r="C28" s="79"/>
    </row>
    <row r="29" spans="2:6" x14ac:dyDescent="0.25">
      <c r="B29" s="81"/>
      <c r="C29" s="79"/>
    </row>
    <row r="30" spans="2:6" x14ac:dyDescent="0.25">
      <c r="B30" s="81" t="s">
        <v>44</v>
      </c>
      <c r="C30" s="79"/>
    </row>
    <row r="31" spans="2:6" x14ac:dyDescent="0.25">
      <c r="B31" s="80" t="s">
        <v>45</v>
      </c>
      <c r="C31" s="79"/>
    </row>
    <row r="32" spans="2:6" ht="15.75" x14ac:dyDescent="0.25">
      <c r="B32" s="17"/>
      <c r="C32" s="17"/>
      <c r="D32" s="17"/>
    </row>
    <row r="38" spans="4:6" x14ac:dyDescent="0.25">
      <c r="D38" s="63">
        <v>41913</v>
      </c>
      <c r="E38" s="63">
        <v>43191</v>
      </c>
      <c r="F38" s="63">
        <v>44197</v>
      </c>
    </row>
    <row r="40" spans="4:6" x14ac:dyDescent="0.25">
      <c r="D40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3:K48"/>
  <sheetViews>
    <sheetView workbookViewId="0"/>
  </sheetViews>
  <sheetFormatPr defaultRowHeight="15" x14ac:dyDescent="0.25"/>
  <sheetData>
    <row r="3" spans="2:11" ht="15.75" x14ac:dyDescent="0.25">
      <c r="B3" s="89" t="s">
        <v>47</v>
      </c>
    </row>
    <row r="4" spans="2:11" ht="15.75" x14ac:dyDescent="0.25">
      <c r="B4" s="95" t="s">
        <v>48</v>
      </c>
    </row>
    <row r="5" spans="2:11" ht="15.75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2:11" ht="15.75" x14ac:dyDescent="0.25">
      <c r="B6" s="88" t="str">
        <f>'Прил.1 Сравнит табл'!B7</f>
        <v>Наименование разрабатываемого показателя УНЦ - Противоподкопные мероприятия</v>
      </c>
    </row>
    <row r="7" spans="2:11" ht="15.75" x14ac:dyDescent="0.25">
      <c r="B7" s="88" t="str">
        <f>'Прил.1 Сравнит табл'!B9</f>
        <v>Единица измерения  — 1 м периметра ПС</v>
      </c>
    </row>
    <row r="8" spans="2:11" ht="18.75" x14ac:dyDescent="0.25">
      <c r="B8" s="60"/>
    </row>
    <row r="9" spans="2:11" ht="409.5" x14ac:dyDescent="0.25">
      <c r="B9" s="93" t="s">
        <v>6</v>
      </c>
      <c r="C9" s="93" t="s">
        <v>49</v>
      </c>
      <c r="D9" s="93" t="s">
        <v>8</v>
      </c>
      <c r="E9" s="130"/>
      <c r="F9" s="130"/>
      <c r="G9" s="130"/>
      <c r="H9" s="130"/>
      <c r="I9" s="130"/>
      <c r="J9" s="131"/>
    </row>
    <row r="10" spans="2:11" ht="141.75" x14ac:dyDescent="0.25">
      <c r="B10" s="132"/>
      <c r="C10" s="132"/>
      <c r="D10" s="93" t="s">
        <v>50</v>
      </c>
      <c r="E10" s="93" t="s">
        <v>51</v>
      </c>
      <c r="F10" s="93" t="s">
        <v>52</v>
      </c>
      <c r="G10" s="130"/>
      <c r="H10" s="130"/>
      <c r="I10" s="130"/>
      <c r="J10" s="131"/>
    </row>
    <row r="11" spans="2:11" ht="47.25" x14ac:dyDescent="0.25">
      <c r="B11" s="133"/>
      <c r="C11" s="133"/>
      <c r="D11" s="133"/>
      <c r="E11" s="133"/>
      <c r="F11" s="93" t="s">
        <v>53</v>
      </c>
      <c r="G11" s="93" t="s">
        <v>54</v>
      </c>
      <c r="H11" s="93" t="s">
        <v>55</v>
      </c>
      <c r="I11" s="93" t="s">
        <v>56</v>
      </c>
      <c r="J11" s="93" t="s">
        <v>57</v>
      </c>
    </row>
    <row r="12" spans="2:11" ht="126" x14ac:dyDescent="0.25">
      <c r="B12" s="65"/>
      <c r="C12" s="62" t="str">
        <f>'Прил.1 Сравнит табл'!D16</f>
        <v>В грунте под панелями наружного ограждения на глубину 500 мм - дополнительное ограждение из сварной сетки Ø16 АI с ячейкой 150х150 мм</v>
      </c>
      <c r="D12" s="75" t="s">
        <v>58</v>
      </c>
      <c r="E12" s="62" t="s">
        <v>59</v>
      </c>
      <c r="F12" s="70">
        <f>114653.56/1000*6.5</f>
        <v>745.24814000000003</v>
      </c>
      <c r="G12" s="70">
        <v>0</v>
      </c>
      <c r="H12" s="70">
        <v>0</v>
      </c>
      <c r="I12" s="70">
        <v>0</v>
      </c>
      <c r="J12" s="71">
        <f>SUM(F12:I12)</f>
        <v>745.24814000000003</v>
      </c>
    </row>
    <row r="13" spans="2:11" ht="63" x14ac:dyDescent="0.25">
      <c r="B13" s="94" t="s">
        <v>60</v>
      </c>
      <c r="C13" s="130"/>
      <c r="D13" s="130"/>
      <c r="E13" s="131"/>
      <c r="F13" s="72">
        <f>F12</f>
        <v>745.24814000000003</v>
      </c>
      <c r="G13" s="72">
        <f>G12</f>
        <v>0</v>
      </c>
      <c r="H13" s="72">
        <f>H12</f>
        <v>0</v>
      </c>
      <c r="I13" s="72">
        <f>I12</f>
        <v>0</v>
      </c>
      <c r="J13" s="72">
        <f>SUM(F13:I13)</f>
        <v>745.24814000000003</v>
      </c>
    </row>
    <row r="14" spans="2:11" ht="157.5" x14ac:dyDescent="0.25">
      <c r="B14" s="94" t="s">
        <v>61</v>
      </c>
      <c r="C14" s="130"/>
      <c r="D14" s="130"/>
      <c r="E14" s="131"/>
      <c r="F14" s="72">
        <f>F13*1.40423066452703</f>
        <v>1046.5002908697331</v>
      </c>
      <c r="G14" s="72">
        <f>G13*1.40423066452703</f>
        <v>0</v>
      </c>
      <c r="H14" s="72">
        <f>H13*1.40423066452703</f>
        <v>0</v>
      </c>
      <c r="I14" s="72">
        <f>I13*1.40423066452703</f>
        <v>0</v>
      </c>
      <c r="J14" s="72">
        <f>SUM(F14:I14)</f>
        <v>1046.5002908697331</v>
      </c>
    </row>
    <row r="17" spans="1:10" ht="18.75" x14ac:dyDescent="0.25">
      <c r="B17" s="60"/>
    </row>
    <row r="18" spans="1:10" ht="409.5" x14ac:dyDescent="0.25">
      <c r="B18" s="93" t="s">
        <v>6</v>
      </c>
      <c r="C18" s="93" t="s">
        <v>49</v>
      </c>
      <c r="D18" s="93" t="s">
        <v>9</v>
      </c>
      <c r="E18" s="130"/>
      <c r="F18" s="130"/>
      <c r="G18" s="130"/>
      <c r="H18" s="130"/>
      <c r="I18" s="130"/>
      <c r="J18" s="131"/>
    </row>
    <row r="19" spans="1:10" ht="141.75" x14ac:dyDescent="0.25">
      <c r="B19" s="132"/>
      <c r="C19" s="132"/>
      <c r="D19" s="93" t="s">
        <v>50</v>
      </c>
      <c r="E19" s="93" t="s">
        <v>51</v>
      </c>
      <c r="F19" s="93" t="s">
        <v>62</v>
      </c>
      <c r="G19" s="130"/>
      <c r="H19" s="130"/>
      <c r="I19" s="130"/>
      <c r="J19" s="131"/>
    </row>
    <row r="20" spans="1:10" ht="47.25" x14ac:dyDescent="0.25">
      <c r="B20" s="133"/>
      <c r="C20" s="133"/>
      <c r="D20" s="133"/>
      <c r="E20" s="133"/>
      <c r="F20" s="93" t="s">
        <v>53</v>
      </c>
      <c r="G20" s="93" t="s">
        <v>54</v>
      </c>
      <c r="H20" s="93" t="s">
        <v>55</v>
      </c>
      <c r="I20" s="93" t="s">
        <v>56</v>
      </c>
      <c r="J20" s="93" t="s">
        <v>57</v>
      </c>
    </row>
    <row r="21" spans="1:10" ht="141.75" x14ac:dyDescent="0.25">
      <c r="B21" s="65"/>
      <c r="C21" s="62" t="str">
        <f>'Прил.1 Сравнит табл'!E16</f>
        <v>Сетка противоподкопная (Сетка 2С    
                            2200х850, ГОСТ 23279-85)</v>
      </c>
      <c r="D21" s="75" t="s">
        <v>63</v>
      </c>
      <c r="E21" s="62" t="s">
        <v>64</v>
      </c>
      <c r="F21" s="70">
        <f>8.08*480980.26/1000</f>
        <v>3886.3205008</v>
      </c>
      <c r="G21" s="70">
        <v>0</v>
      </c>
      <c r="H21" s="70">
        <v>0</v>
      </c>
      <c r="I21" s="70">
        <v>0</v>
      </c>
      <c r="J21" s="71">
        <f>SUM(F21:I21)</f>
        <v>3886.3205008</v>
      </c>
    </row>
    <row r="22" spans="1:10" ht="63" x14ac:dyDescent="0.25">
      <c r="B22" s="94" t="s">
        <v>60</v>
      </c>
      <c r="C22" s="130"/>
      <c r="D22" s="130"/>
      <c r="E22" s="131"/>
      <c r="F22" s="72">
        <f>F21</f>
        <v>3886.3205008</v>
      </c>
      <c r="G22" s="72">
        <f>G21</f>
        <v>0</v>
      </c>
      <c r="H22" s="72">
        <f>H21</f>
        <v>0</v>
      </c>
      <c r="I22" s="72">
        <f>I21</f>
        <v>0</v>
      </c>
      <c r="J22" s="72">
        <f>SUM(F22:I22)</f>
        <v>3886.3205008</v>
      </c>
    </row>
    <row r="23" spans="1:10" ht="157.5" x14ac:dyDescent="0.25">
      <c r="B23" s="94" t="s">
        <v>61</v>
      </c>
      <c r="C23" s="130"/>
      <c r="D23" s="130"/>
      <c r="E23" s="131"/>
      <c r="F23" s="72">
        <f>F22*1.11258720178455</f>
        <v>4323.8704512230024</v>
      </c>
      <c r="G23" s="72">
        <f>G22*1.11258720178455</f>
        <v>0</v>
      </c>
      <c r="H23" s="72">
        <f>H22*1.11258720178455</f>
        <v>0</v>
      </c>
      <c r="I23" s="72">
        <f>I22*1.11258720178455</f>
        <v>0</v>
      </c>
      <c r="J23" s="72">
        <f>SUM(F23:I23)</f>
        <v>4323.8704512230024</v>
      </c>
    </row>
    <row r="24" spans="1:10" ht="18.75" x14ac:dyDescent="0.25">
      <c r="B24" s="60"/>
    </row>
    <row r="25" spans="1:10" ht="15.75" x14ac:dyDescent="0.25">
      <c r="B25" s="103" t="s">
        <v>65</v>
      </c>
      <c r="C25" s="84" t="s">
        <v>66</v>
      </c>
    </row>
    <row r="26" spans="1:10" ht="409.5" x14ac:dyDescent="0.25">
      <c r="A26" s="66" t="s">
        <v>67</v>
      </c>
      <c r="B26" s="92" t="s">
        <v>68</v>
      </c>
    </row>
    <row r="27" spans="1:10" ht="390" x14ac:dyDescent="0.25">
      <c r="A27" s="66" t="s">
        <v>67</v>
      </c>
      <c r="B27" s="92" t="s">
        <v>69</v>
      </c>
    </row>
    <row r="31" spans="1:10" ht="409.5" x14ac:dyDescent="0.25">
      <c r="B31" s="93" t="s">
        <v>6</v>
      </c>
      <c r="C31" s="93" t="s">
        <v>49</v>
      </c>
      <c r="D31" s="93" t="s">
        <v>10</v>
      </c>
      <c r="E31" s="130"/>
      <c r="F31" s="130"/>
      <c r="G31" s="130"/>
      <c r="H31" s="130"/>
      <c r="I31" s="130"/>
      <c r="J31" s="131"/>
    </row>
    <row r="32" spans="1:10" ht="141.75" x14ac:dyDescent="0.25">
      <c r="B32" s="132"/>
      <c r="C32" s="132"/>
      <c r="D32" s="93" t="s">
        <v>50</v>
      </c>
      <c r="E32" s="93" t="s">
        <v>51</v>
      </c>
      <c r="F32" s="93" t="s">
        <v>70</v>
      </c>
      <c r="G32" s="130"/>
      <c r="H32" s="130"/>
      <c r="I32" s="130"/>
      <c r="J32" s="131"/>
    </row>
    <row r="33" spans="1:10" ht="47.25" x14ac:dyDescent="0.25">
      <c r="B33" s="133"/>
      <c r="C33" s="133"/>
      <c r="D33" s="133"/>
      <c r="E33" s="133"/>
      <c r="F33" s="93" t="s">
        <v>53</v>
      </c>
      <c r="G33" s="93" t="s">
        <v>54</v>
      </c>
      <c r="H33" s="93" t="s">
        <v>55</v>
      </c>
      <c r="I33" s="93" t="s">
        <v>56</v>
      </c>
      <c r="J33" s="93" t="s">
        <v>57</v>
      </c>
    </row>
    <row r="34" spans="1:10" ht="299.25" x14ac:dyDescent="0.25">
      <c r="B34" s="65"/>
      <c r="C34" s="62" t="str">
        <f>'Прил.1 Сравнит табл'!F16</f>
        <v>По низу панелей наружного ограждения - решетка из арматуры Ø 16 А240 с шагом 150х150 мм и с заглублением в грунт на 500 мм</v>
      </c>
      <c r="D34" s="75" t="s">
        <v>71</v>
      </c>
      <c r="E34" s="62" t="s">
        <v>72</v>
      </c>
      <c r="F34" s="70">
        <f>8.7*59573.43/1000</f>
        <v>518.28884099999993</v>
      </c>
      <c r="G34" s="70">
        <v>0</v>
      </c>
      <c r="H34" s="70">
        <v>0</v>
      </c>
      <c r="I34" s="70">
        <v>0</v>
      </c>
      <c r="J34" s="71">
        <f>SUM(F34:I34)</f>
        <v>518.28884099999993</v>
      </c>
    </row>
    <row r="35" spans="1:10" ht="63" x14ac:dyDescent="0.25">
      <c r="B35" s="94" t="s">
        <v>60</v>
      </c>
      <c r="C35" s="130"/>
      <c r="D35" s="130"/>
      <c r="E35" s="131"/>
      <c r="F35" s="72">
        <f t="shared" ref="F35:I36" si="0">F34</f>
        <v>518.28884099999993</v>
      </c>
      <c r="G35" s="72">
        <f t="shared" si="0"/>
        <v>0</v>
      </c>
      <c r="H35" s="72">
        <f t="shared" si="0"/>
        <v>0</v>
      </c>
      <c r="I35" s="72">
        <f t="shared" si="0"/>
        <v>0</v>
      </c>
      <c r="J35" s="72">
        <f>SUM(F35:I35)</f>
        <v>518.28884099999993</v>
      </c>
    </row>
    <row r="36" spans="1:10" ht="157.5" x14ac:dyDescent="0.25">
      <c r="B36" s="94" t="s">
        <v>61</v>
      </c>
      <c r="C36" s="130"/>
      <c r="D36" s="130"/>
      <c r="E36" s="131"/>
      <c r="F36" s="72">
        <f t="shared" si="0"/>
        <v>518.28884099999993</v>
      </c>
      <c r="G36" s="72">
        <f t="shared" si="0"/>
        <v>0</v>
      </c>
      <c r="H36" s="72">
        <f t="shared" si="0"/>
        <v>0</v>
      </c>
      <c r="I36" s="72">
        <f t="shared" si="0"/>
        <v>0</v>
      </c>
      <c r="J36" s="72">
        <f>SUM(F36:I36)</f>
        <v>518.28884099999993</v>
      </c>
    </row>
    <row r="37" spans="1:10" ht="18.75" x14ac:dyDescent="0.25">
      <c r="B37" s="60"/>
    </row>
    <row r="38" spans="1:10" ht="15.75" x14ac:dyDescent="0.25">
      <c r="B38" s="103" t="s">
        <v>65</v>
      </c>
      <c r="C38" s="84" t="s">
        <v>66</v>
      </c>
    </row>
    <row r="39" spans="1:10" ht="409.5" x14ac:dyDescent="0.25">
      <c r="A39" s="66" t="s">
        <v>67</v>
      </c>
      <c r="B39" s="92" t="s">
        <v>68</v>
      </c>
    </row>
    <row r="40" spans="1:10" ht="390" x14ac:dyDescent="0.25">
      <c r="A40" s="66" t="s">
        <v>67</v>
      </c>
      <c r="B40" s="92" t="s">
        <v>69</v>
      </c>
    </row>
    <row r="44" spans="1:10" x14ac:dyDescent="0.25">
      <c r="C44" s="81" t="s">
        <v>42</v>
      </c>
      <c r="D44" s="79"/>
    </row>
    <row r="45" spans="1:10" x14ac:dyDescent="0.25">
      <c r="C45" s="80" t="s">
        <v>43</v>
      </c>
      <c r="D45" s="79"/>
    </row>
    <row r="46" spans="1:10" x14ac:dyDescent="0.25">
      <c r="C46" s="81"/>
      <c r="D46" s="79"/>
    </row>
    <row r="47" spans="1:10" x14ac:dyDescent="0.25">
      <c r="C47" s="81" t="s">
        <v>44</v>
      </c>
      <c r="D47" s="79"/>
    </row>
    <row r="48" spans="1:10" x14ac:dyDescent="0.25">
      <c r="C48" s="80" t="s">
        <v>45</v>
      </c>
      <c r="D48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L46"/>
  <sheetViews>
    <sheetView workbookViewId="0"/>
  </sheetViews>
  <sheetFormatPr defaultRowHeight="15" x14ac:dyDescent="0.25"/>
  <sheetData>
    <row r="2" spans="1:10" ht="15.75" x14ac:dyDescent="0.25">
      <c r="A2" s="89" t="s">
        <v>73</v>
      </c>
    </row>
    <row r="3" spans="1:10" ht="18.75" x14ac:dyDescent="0.25">
      <c r="A3" s="90" t="s">
        <v>74</v>
      </c>
    </row>
    <row r="4" spans="1:10" ht="18.75" x14ac:dyDescent="0.25">
      <c r="A4" s="90"/>
      <c r="B4" s="90"/>
      <c r="C4" s="90"/>
      <c r="D4" s="90"/>
      <c r="E4" s="90"/>
      <c r="F4" s="90"/>
      <c r="G4" s="90"/>
      <c r="H4" s="90"/>
    </row>
    <row r="5" spans="1:10" ht="18.75" x14ac:dyDescent="0.25">
      <c r="A5" s="60"/>
    </row>
    <row r="6" spans="1:10" ht="15.75" x14ac:dyDescent="0.25">
      <c r="A6" s="97" t="str">
        <f>'Прил.1 Сравнит табл'!B7</f>
        <v>Наименование разрабатываемого показателя УНЦ - Противоподкопные мероприятия</v>
      </c>
    </row>
    <row r="7" spans="1:10" ht="15.75" x14ac:dyDescent="0.25">
      <c r="A7" s="97"/>
      <c r="B7" s="97"/>
      <c r="C7" s="97"/>
      <c r="D7" s="97"/>
      <c r="E7" s="97"/>
      <c r="F7" s="97"/>
      <c r="G7" s="97"/>
      <c r="H7" s="97"/>
    </row>
    <row r="8" spans="1:10" ht="15.75" x14ac:dyDescent="0.25">
      <c r="A8" s="97"/>
      <c r="B8" s="97"/>
      <c r="C8" s="97"/>
      <c r="D8" s="97"/>
      <c r="E8" s="97"/>
      <c r="F8" s="97"/>
      <c r="G8" s="97"/>
    </row>
    <row r="9" spans="1:10" ht="126" x14ac:dyDescent="0.25">
      <c r="A9" s="93" t="s">
        <v>75</v>
      </c>
      <c r="B9" s="93" t="s">
        <v>76</v>
      </c>
      <c r="C9" s="93" t="s">
        <v>77</v>
      </c>
      <c r="D9" s="93" t="s">
        <v>78</v>
      </c>
      <c r="E9" s="93" t="s">
        <v>79</v>
      </c>
      <c r="F9" s="93" t="s">
        <v>80</v>
      </c>
      <c r="G9" s="93" t="s">
        <v>81</v>
      </c>
      <c r="H9" s="131"/>
    </row>
    <row r="10" spans="1:10" ht="31.5" x14ac:dyDescent="0.25">
      <c r="A10" s="133"/>
      <c r="B10" s="133"/>
      <c r="C10" s="133"/>
      <c r="D10" s="133"/>
      <c r="E10" s="133"/>
      <c r="F10" s="133"/>
      <c r="G10" s="93" t="s">
        <v>82</v>
      </c>
      <c r="H10" s="93" t="s">
        <v>83</v>
      </c>
    </row>
    <row r="11" spans="1:10" ht="15.75" x14ac:dyDescent="0.25">
      <c r="A11" s="93">
        <v>1</v>
      </c>
      <c r="B11" s="33"/>
      <c r="C11" s="93">
        <v>2</v>
      </c>
      <c r="D11" s="93" t="s">
        <v>84</v>
      </c>
      <c r="E11" s="93">
        <v>4</v>
      </c>
      <c r="F11" s="93">
        <v>5</v>
      </c>
      <c r="G11" s="33">
        <v>6</v>
      </c>
      <c r="H11" s="33">
        <v>7</v>
      </c>
    </row>
    <row r="12" spans="1:10" ht="38.25" x14ac:dyDescent="0.25">
      <c r="A12" s="99" t="s">
        <v>85</v>
      </c>
      <c r="B12" s="130"/>
      <c r="C12" s="130"/>
      <c r="D12" s="130"/>
      <c r="E12" s="130"/>
      <c r="F12" s="34">
        <f>SUM(F13:F16)</f>
        <v>1024.632654</v>
      </c>
      <c r="G12" s="35"/>
      <c r="H12" s="34">
        <f>SUM(H13:H16)</f>
        <v>10894.61</v>
      </c>
      <c r="J12" s="73"/>
    </row>
    <row r="13" spans="1:10" ht="51" x14ac:dyDescent="0.25">
      <c r="A13" s="29" t="s">
        <v>86</v>
      </c>
      <c r="B13" s="58" t="s">
        <v>58</v>
      </c>
      <c r="C13" s="29" t="s">
        <v>87</v>
      </c>
      <c r="D13" s="30" t="s">
        <v>88</v>
      </c>
      <c r="E13" s="115" t="s">
        <v>89</v>
      </c>
      <c r="F13" s="115">
        <v>677.05560000000003</v>
      </c>
      <c r="G13" s="27">
        <v>10.94</v>
      </c>
      <c r="H13" s="27">
        <f>ROUND(F13*G13,2)</f>
        <v>7406.99</v>
      </c>
    </row>
    <row r="14" spans="1:10" ht="51" x14ac:dyDescent="0.25">
      <c r="A14" s="28">
        <v>2</v>
      </c>
      <c r="B14" s="58" t="s">
        <v>58</v>
      </c>
      <c r="C14" s="29" t="s">
        <v>90</v>
      </c>
      <c r="D14" s="30" t="s">
        <v>91</v>
      </c>
      <c r="E14" s="115" t="s">
        <v>89</v>
      </c>
      <c r="F14" s="115">
        <v>300.30959999999999</v>
      </c>
      <c r="G14" s="27">
        <v>10.210000000000001</v>
      </c>
      <c r="H14" s="27">
        <f>ROUND(F14*G14,2)</f>
        <v>3066.16</v>
      </c>
    </row>
    <row r="15" spans="1:10" ht="51" x14ac:dyDescent="0.25">
      <c r="A15" s="28">
        <v>3</v>
      </c>
      <c r="B15" s="58" t="s">
        <v>58</v>
      </c>
      <c r="C15" s="29" t="s">
        <v>92</v>
      </c>
      <c r="D15" s="30" t="s">
        <v>93</v>
      </c>
      <c r="E15" s="115" t="s">
        <v>89</v>
      </c>
      <c r="F15" s="115">
        <v>41.558399999999999</v>
      </c>
      <c r="G15" s="27">
        <v>9.07</v>
      </c>
      <c r="H15" s="27">
        <f>ROUND(F15*G15,2)</f>
        <v>376.93</v>
      </c>
    </row>
    <row r="16" spans="1:10" ht="51" x14ac:dyDescent="0.25">
      <c r="A16" s="28">
        <v>4</v>
      </c>
      <c r="B16" s="58" t="s">
        <v>58</v>
      </c>
      <c r="C16" s="29" t="s">
        <v>94</v>
      </c>
      <c r="D16" s="30" t="s">
        <v>95</v>
      </c>
      <c r="E16" s="115" t="s">
        <v>89</v>
      </c>
      <c r="F16" s="115">
        <v>5.7090540000000001</v>
      </c>
      <c r="G16" s="27">
        <v>7.8</v>
      </c>
      <c r="H16" s="27">
        <f>ROUND(F16*G16,2)</f>
        <v>44.53</v>
      </c>
    </row>
    <row r="17" spans="1:12" ht="51" x14ac:dyDescent="0.25">
      <c r="A17" s="98" t="s">
        <v>96</v>
      </c>
      <c r="B17" s="130"/>
      <c r="C17" s="130"/>
      <c r="D17" s="130"/>
      <c r="E17" s="131"/>
      <c r="F17" s="35"/>
      <c r="G17" s="35"/>
      <c r="H17" s="34">
        <f>H18</f>
        <v>448.49</v>
      </c>
    </row>
    <row r="18" spans="1:12" ht="51" x14ac:dyDescent="0.25">
      <c r="A18" s="28">
        <v>5</v>
      </c>
      <c r="B18" s="58" t="s">
        <v>58</v>
      </c>
      <c r="C18" s="29">
        <v>2</v>
      </c>
      <c r="D18" s="30" t="s">
        <v>96</v>
      </c>
      <c r="E18" s="115" t="s">
        <v>89</v>
      </c>
      <c r="F18" s="115">
        <v>29.84</v>
      </c>
      <c r="G18" s="27"/>
      <c r="H18" s="20">
        <v>448.49</v>
      </c>
      <c r="L18" s="21"/>
    </row>
    <row r="19" spans="1:12" ht="51" x14ac:dyDescent="0.25">
      <c r="A19" s="98" t="s">
        <v>97</v>
      </c>
      <c r="B19" s="130"/>
      <c r="C19" s="130"/>
      <c r="D19" s="130"/>
      <c r="E19" s="131"/>
      <c r="F19" s="35"/>
      <c r="G19" s="35"/>
      <c r="H19" s="34">
        <f>SUM(H20:H27)</f>
        <v>5707.19</v>
      </c>
    </row>
    <row r="20" spans="1:12" ht="165.75" x14ac:dyDescent="0.25">
      <c r="A20" s="29" t="s">
        <v>98</v>
      </c>
      <c r="B20" s="58" t="s">
        <v>58</v>
      </c>
      <c r="C20" s="29" t="s">
        <v>99</v>
      </c>
      <c r="D20" s="30" t="s">
        <v>100</v>
      </c>
      <c r="E20" s="115" t="s">
        <v>101</v>
      </c>
      <c r="F20" s="115">
        <v>214.1412</v>
      </c>
      <c r="G20" s="31">
        <v>6.82</v>
      </c>
      <c r="H20" s="27">
        <f t="shared" ref="H20:H27" si="0">ROUND(F20*G20,2)</f>
        <v>1460.44</v>
      </c>
    </row>
    <row r="21" spans="1:12" ht="102" x14ac:dyDescent="0.25">
      <c r="A21" s="29" t="s">
        <v>102</v>
      </c>
      <c r="B21" s="58" t="s">
        <v>58</v>
      </c>
      <c r="C21" s="29" t="s">
        <v>103</v>
      </c>
      <c r="D21" s="30" t="s">
        <v>104</v>
      </c>
      <c r="E21" s="115" t="s">
        <v>101</v>
      </c>
      <c r="F21" s="32">
        <v>167.65692000000001</v>
      </c>
      <c r="G21" s="31">
        <v>8.1</v>
      </c>
      <c r="H21" s="27">
        <f t="shared" si="0"/>
        <v>1358.02</v>
      </c>
    </row>
    <row r="22" spans="1:12" ht="140.25" x14ac:dyDescent="0.25">
      <c r="A22" s="29" t="s">
        <v>105</v>
      </c>
      <c r="B22" s="58" t="s">
        <v>58</v>
      </c>
      <c r="C22" s="29" t="s">
        <v>106</v>
      </c>
      <c r="D22" s="30" t="s">
        <v>107</v>
      </c>
      <c r="E22" s="115" t="s">
        <v>101</v>
      </c>
      <c r="F22" s="115">
        <v>12.441428999999999</v>
      </c>
      <c r="G22" s="31">
        <v>100</v>
      </c>
      <c r="H22" s="27">
        <f t="shared" si="0"/>
        <v>1244.1400000000001</v>
      </c>
    </row>
    <row r="23" spans="1:12" ht="89.25" x14ac:dyDescent="0.25">
      <c r="A23" s="29" t="s">
        <v>108</v>
      </c>
      <c r="B23" s="58" t="s">
        <v>58</v>
      </c>
      <c r="C23" s="29" t="s">
        <v>109</v>
      </c>
      <c r="D23" s="30" t="s">
        <v>110</v>
      </c>
      <c r="E23" s="115" t="s">
        <v>101</v>
      </c>
      <c r="F23" s="115">
        <v>14.473560000000001</v>
      </c>
      <c r="G23" s="31">
        <v>65.709999999999994</v>
      </c>
      <c r="H23" s="27">
        <f t="shared" si="0"/>
        <v>951.06</v>
      </c>
    </row>
    <row r="24" spans="1:12" ht="63.75" x14ac:dyDescent="0.25">
      <c r="A24" s="29" t="s">
        <v>111</v>
      </c>
      <c r="B24" s="58" t="s">
        <v>58</v>
      </c>
      <c r="C24" s="29" t="s">
        <v>112</v>
      </c>
      <c r="D24" s="30" t="s">
        <v>113</v>
      </c>
      <c r="E24" s="115" t="s">
        <v>101</v>
      </c>
      <c r="F24" s="115">
        <v>4.1471429999999998</v>
      </c>
      <c r="G24" s="31">
        <v>79.069999999999993</v>
      </c>
      <c r="H24" s="27">
        <f t="shared" si="0"/>
        <v>327.91</v>
      </c>
    </row>
    <row r="25" spans="1:12" ht="63.75" x14ac:dyDescent="0.25">
      <c r="A25" s="29" t="s">
        <v>114</v>
      </c>
      <c r="B25" s="58" t="s">
        <v>58</v>
      </c>
      <c r="C25" s="29" t="s">
        <v>115</v>
      </c>
      <c r="D25" s="30" t="s">
        <v>116</v>
      </c>
      <c r="E25" s="115" t="s">
        <v>101</v>
      </c>
      <c r="F25" s="115">
        <v>3.2557765999999999</v>
      </c>
      <c r="G25" s="31">
        <v>59.47</v>
      </c>
      <c r="H25" s="27">
        <f t="shared" si="0"/>
        <v>193.62</v>
      </c>
    </row>
    <row r="26" spans="1:12" ht="63.75" x14ac:dyDescent="0.25">
      <c r="A26" s="29" t="s">
        <v>117</v>
      </c>
      <c r="B26" s="58" t="s">
        <v>58</v>
      </c>
      <c r="C26" s="29" t="s">
        <v>118</v>
      </c>
      <c r="D26" s="30" t="s">
        <v>119</v>
      </c>
      <c r="E26" s="115" t="s">
        <v>101</v>
      </c>
      <c r="F26" s="115">
        <v>1.8758999999999999</v>
      </c>
      <c r="G26" s="31">
        <v>89.99</v>
      </c>
      <c r="H26" s="27">
        <f t="shared" si="0"/>
        <v>168.81</v>
      </c>
    </row>
    <row r="27" spans="1:12" ht="102" x14ac:dyDescent="0.25">
      <c r="A27" s="29" t="s">
        <v>120</v>
      </c>
      <c r="B27" s="58" t="s">
        <v>58</v>
      </c>
      <c r="C27" s="29" t="s">
        <v>121</v>
      </c>
      <c r="D27" s="30" t="s">
        <v>122</v>
      </c>
      <c r="E27" s="115" t="s">
        <v>101</v>
      </c>
      <c r="F27" s="115">
        <v>1.8758999999999999</v>
      </c>
      <c r="G27" s="31">
        <v>1.7</v>
      </c>
      <c r="H27" s="27">
        <f t="shared" si="0"/>
        <v>3.19</v>
      </c>
    </row>
    <row r="28" spans="1:12" ht="25.5" x14ac:dyDescent="0.25">
      <c r="A28" s="98" t="s">
        <v>55</v>
      </c>
      <c r="B28" s="130"/>
      <c r="C28" s="130"/>
      <c r="D28" s="130"/>
      <c r="E28" s="131"/>
      <c r="F28" s="35"/>
      <c r="G28" s="35"/>
      <c r="H28" s="34">
        <v>0</v>
      </c>
    </row>
    <row r="29" spans="1:12" ht="25.5" x14ac:dyDescent="0.25">
      <c r="A29" s="98" t="s">
        <v>123</v>
      </c>
      <c r="B29" s="130"/>
      <c r="C29" s="130"/>
      <c r="D29" s="130"/>
      <c r="E29" s="131"/>
      <c r="F29" s="35"/>
      <c r="G29" s="35"/>
      <c r="H29" s="34">
        <f>SUM(H30:H36)</f>
        <v>76023.790000000008</v>
      </c>
    </row>
    <row r="30" spans="1:12" ht="127.5" x14ac:dyDescent="0.25">
      <c r="A30" s="28">
        <v>14</v>
      </c>
      <c r="B30" s="58" t="s">
        <v>58</v>
      </c>
      <c r="C30" s="29" t="s">
        <v>124</v>
      </c>
      <c r="D30" s="30" t="s">
        <v>125</v>
      </c>
      <c r="E30" s="115" t="s">
        <v>126</v>
      </c>
      <c r="F30" s="115">
        <v>9.5640000000000001</v>
      </c>
      <c r="G30" s="27">
        <v>5650</v>
      </c>
      <c r="H30" s="27">
        <f t="shared" ref="H30:H36" si="1">ROUND(F30*G30,2)</f>
        <v>54036.6</v>
      </c>
    </row>
    <row r="31" spans="1:12" ht="38.25" x14ac:dyDescent="0.25">
      <c r="A31" s="29" t="s">
        <v>127</v>
      </c>
      <c r="B31" s="58" t="s">
        <v>58</v>
      </c>
      <c r="C31" s="29" t="s">
        <v>128</v>
      </c>
      <c r="D31" s="30" t="s">
        <v>129</v>
      </c>
      <c r="E31" s="115" t="s">
        <v>126</v>
      </c>
      <c r="F31" s="115">
        <v>1.55844</v>
      </c>
      <c r="G31" s="27">
        <v>9550.01</v>
      </c>
      <c r="H31" s="27">
        <f t="shared" si="1"/>
        <v>14883.12</v>
      </c>
    </row>
    <row r="32" spans="1:12" ht="25.5" x14ac:dyDescent="0.25">
      <c r="A32" s="28">
        <v>16</v>
      </c>
      <c r="B32" s="58" t="s">
        <v>58</v>
      </c>
      <c r="C32" s="29" t="s">
        <v>130</v>
      </c>
      <c r="D32" s="30" t="s">
        <v>131</v>
      </c>
      <c r="E32" s="115" t="s">
        <v>126</v>
      </c>
      <c r="F32" s="115">
        <v>0.12987000000000001</v>
      </c>
      <c r="G32" s="27">
        <v>21205</v>
      </c>
      <c r="H32" s="27">
        <f t="shared" si="1"/>
        <v>2753.89</v>
      </c>
    </row>
    <row r="33" spans="1:11" ht="76.5" x14ac:dyDescent="0.25">
      <c r="A33" s="29" t="s">
        <v>132</v>
      </c>
      <c r="B33" s="58" t="s">
        <v>58</v>
      </c>
      <c r="C33" s="29" t="s">
        <v>133</v>
      </c>
      <c r="D33" s="30" t="s">
        <v>134</v>
      </c>
      <c r="E33" s="115" t="s">
        <v>126</v>
      </c>
      <c r="F33" s="115">
        <v>0.28692000000000001</v>
      </c>
      <c r="G33" s="27">
        <v>9424</v>
      </c>
      <c r="H33" s="27">
        <f t="shared" si="1"/>
        <v>2703.93</v>
      </c>
    </row>
    <row r="34" spans="1:11" ht="25.5" x14ac:dyDescent="0.25">
      <c r="A34" s="28">
        <v>18</v>
      </c>
      <c r="B34" s="58" t="s">
        <v>58</v>
      </c>
      <c r="C34" s="29" t="s">
        <v>135</v>
      </c>
      <c r="D34" s="30" t="s">
        <v>136</v>
      </c>
      <c r="E34" s="115" t="s">
        <v>137</v>
      </c>
      <c r="F34" s="115">
        <v>225.108</v>
      </c>
      <c r="G34" s="27">
        <v>6.67</v>
      </c>
      <c r="H34" s="27">
        <f t="shared" si="1"/>
        <v>1501.47</v>
      </c>
    </row>
    <row r="35" spans="1:11" ht="38.25" x14ac:dyDescent="0.25">
      <c r="A35" s="29" t="s">
        <v>138</v>
      </c>
      <c r="B35" s="58" t="s">
        <v>58</v>
      </c>
      <c r="C35" s="29" t="s">
        <v>139</v>
      </c>
      <c r="D35" s="30" t="s">
        <v>140</v>
      </c>
      <c r="E35" s="115" t="s">
        <v>126</v>
      </c>
      <c r="F35" s="115">
        <v>1.8759000000000001E-2</v>
      </c>
      <c r="G35" s="27">
        <v>7640</v>
      </c>
      <c r="H35" s="27">
        <f t="shared" si="1"/>
        <v>143.32</v>
      </c>
    </row>
    <row r="36" spans="1:11" ht="76.5" x14ac:dyDescent="0.25">
      <c r="A36" s="28">
        <v>20</v>
      </c>
      <c r="B36" s="58" t="s">
        <v>58</v>
      </c>
      <c r="C36" s="29" t="s">
        <v>141</v>
      </c>
      <c r="D36" s="30" t="s">
        <v>142</v>
      </c>
      <c r="E36" s="115" t="s">
        <v>143</v>
      </c>
      <c r="F36" s="115">
        <v>1.3464800000000001E-2</v>
      </c>
      <c r="G36" s="27">
        <v>108.4</v>
      </c>
      <c r="H36" s="27">
        <f t="shared" si="1"/>
        <v>1.46</v>
      </c>
    </row>
    <row r="37" spans="1:11" x14ac:dyDescent="0.25">
      <c r="K37" s="76"/>
    </row>
    <row r="38" spans="1:11" ht="242.25" x14ac:dyDescent="0.25">
      <c r="B38" s="36" t="s">
        <v>144</v>
      </c>
      <c r="C38" s="96" t="s">
        <v>145</v>
      </c>
    </row>
    <row r="42" spans="1:11" x14ac:dyDescent="0.25">
      <c r="B42" s="81" t="s">
        <v>42</v>
      </c>
      <c r="C42" s="79"/>
    </row>
    <row r="43" spans="1:11" x14ac:dyDescent="0.25">
      <c r="B43" s="80" t="s">
        <v>43</v>
      </c>
      <c r="C43" s="79"/>
    </row>
    <row r="44" spans="1:11" x14ac:dyDescent="0.25">
      <c r="B44" s="81"/>
      <c r="C44" s="79"/>
    </row>
    <row r="45" spans="1:11" x14ac:dyDescent="0.25">
      <c r="B45" s="81" t="s">
        <v>44</v>
      </c>
      <c r="C45" s="79"/>
    </row>
    <row r="46" spans="1:11" x14ac:dyDescent="0.25">
      <c r="B46" s="80" t="s">
        <v>45</v>
      </c>
      <c r="C46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1:L50"/>
  <sheetViews>
    <sheetView workbookViewId="0"/>
  </sheetViews>
  <sheetFormatPr defaultRowHeight="15" x14ac:dyDescent="0.25"/>
  <sheetData>
    <row r="1" spans="2:5" x14ac:dyDescent="0.25">
      <c r="B1" s="81"/>
      <c r="C1" s="81"/>
      <c r="D1" s="81"/>
      <c r="E1" s="81"/>
    </row>
    <row r="2" spans="2:5" x14ac:dyDescent="0.25">
      <c r="B2" s="81"/>
      <c r="C2" s="81"/>
      <c r="D2" s="81"/>
      <c r="E2" s="114" t="s">
        <v>146</v>
      </c>
    </row>
    <row r="3" spans="2:5" x14ac:dyDescent="0.25">
      <c r="B3" s="81"/>
      <c r="C3" s="81"/>
      <c r="D3" s="81"/>
      <c r="E3" s="81"/>
    </row>
    <row r="4" spans="2:5" x14ac:dyDescent="0.25">
      <c r="B4" s="81"/>
      <c r="C4" s="81"/>
      <c r="D4" s="81"/>
      <c r="E4" s="81"/>
    </row>
    <row r="5" spans="2:5" x14ac:dyDescent="0.25">
      <c r="B5" s="86" t="s">
        <v>147</v>
      </c>
    </row>
    <row r="6" spans="2:5" x14ac:dyDescent="0.25">
      <c r="B6" s="5"/>
      <c r="C6" s="81"/>
      <c r="D6" s="81"/>
      <c r="E6" s="81"/>
    </row>
    <row r="7" spans="2:5" x14ac:dyDescent="0.25">
      <c r="B7" s="100" t="str">
        <f>'Прил.1 Сравнит табл'!B7</f>
        <v>Наименование разрабатываемого показателя УНЦ - Противоподкопные мероприятия</v>
      </c>
    </row>
    <row r="8" spans="2:5" x14ac:dyDescent="0.25">
      <c r="B8" s="101" t="str">
        <f>'Прил.1 Сравнит табл'!B9</f>
        <v>Единица измерения  — 1 м периметра ПС</v>
      </c>
    </row>
    <row r="9" spans="2:5" x14ac:dyDescent="0.25">
      <c r="B9" s="5"/>
      <c r="C9" s="81"/>
      <c r="D9" s="81"/>
      <c r="E9" s="81"/>
    </row>
    <row r="10" spans="2:5" ht="89.25" x14ac:dyDescent="0.25">
      <c r="B10" s="104" t="s">
        <v>148</v>
      </c>
      <c r="C10" s="104" t="s">
        <v>149</v>
      </c>
      <c r="D10" s="104" t="s">
        <v>150</v>
      </c>
      <c r="E10" s="104" t="s">
        <v>151</v>
      </c>
    </row>
    <row r="11" spans="2:5" ht="38.25" x14ac:dyDescent="0.25">
      <c r="B11" s="37" t="s">
        <v>152</v>
      </c>
      <c r="C11" s="40">
        <f>'Прил.5 Расчет СМР и ОБ'!J14</f>
        <v>502441.06</v>
      </c>
      <c r="D11" s="39">
        <f t="shared" ref="D11:D18" si="0">C11/$C$24</f>
        <v>0.2671901584634141</v>
      </c>
      <c r="E11" s="39">
        <f t="shared" ref="E11:E18" si="1">C11/$C$40</f>
        <v>0.23894421993444115</v>
      </c>
    </row>
    <row r="12" spans="2:5" ht="63.75" x14ac:dyDescent="0.25">
      <c r="B12" s="37" t="s">
        <v>153</v>
      </c>
      <c r="C12" s="40">
        <f>'Прил.5 Расчет СМР и ОБ'!J23</f>
        <v>67535.489999999991</v>
      </c>
      <c r="D12" s="39">
        <f t="shared" si="0"/>
        <v>3.5914298634359854E-2</v>
      </c>
      <c r="E12" s="39">
        <f t="shared" si="1"/>
        <v>3.2117627838656834E-2</v>
      </c>
    </row>
    <row r="13" spans="2:5" ht="51" x14ac:dyDescent="0.25">
      <c r="B13" s="37" t="s">
        <v>154</v>
      </c>
      <c r="C13" s="40">
        <f>'Прил.5 Расчет СМР и ОБ'!J28</f>
        <v>9341.9399999999987</v>
      </c>
      <c r="D13" s="39">
        <f t="shared" si="0"/>
        <v>4.9678949983819132E-3</v>
      </c>
      <c r="E13" s="39">
        <f t="shared" si="1"/>
        <v>4.4427152629093504E-3</v>
      </c>
    </row>
    <row r="14" spans="2:5" ht="51" x14ac:dyDescent="0.25">
      <c r="B14" s="37" t="s">
        <v>155</v>
      </c>
      <c r="C14" s="40">
        <f>C13+C12</f>
        <v>76877.429999999993</v>
      </c>
      <c r="D14" s="39">
        <f t="shared" si="0"/>
        <v>4.0882193632741766E-2</v>
      </c>
      <c r="E14" s="39">
        <f t="shared" si="1"/>
        <v>3.6560343101566188E-2</v>
      </c>
    </row>
    <row r="15" spans="2:5" ht="63.75" x14ac:dyDescent="0.25">
      <c r="B15" s="37" t="s">
        <v>156</v>
      </c>
      <c r="C15" s="40">
        <f>'Прил.5 Расчет СМР и ОБ'!J16</f>
        <v>19863.59</v>
      </c>
      <c r="D15" s="39">
        <f t="shared" si="0"/>
        <v>1.0563140997577483E-2</v>
      </c>
      <c r="E15" s="39">
        <f t="shared" si="1"/>
        <v>9.4464612777617456E-3</v>
      </c>
    </row>
    <row r="16" spans="2:5" ht="51" x14ac:dyDescent="0.25">
      <c r="B16" s="37" t="s">
        <v>157</v>
      </c>
      <c r="C16" s="40">
        <f>'Прил.5 Расчет СМР и ОБ'!J40</f>
        <v>434454.26</v>
      </c>
      <c r="D16" s="39">
        <f t="shared" si="0"/>
        <v>0.23103586035445695</v>
      </c>
      <c r="E16" s="39">
        <f t="shared" si="1"/>
        <v>0.2066119641036003</v>
      </c>
    </row>
    <row r="17" spans="2:7" ht="38.25" x14ac:dyDescent="0.25">
      <c r="B17" s="37" t="s">
        <v>158</v>
      </c>
      <c r="C17" s="40">
        <f>'Прил.5 Расчет СМР и ОБ'!J46</f>
        <v>57117.49</v>
      </c>
      <c r="D17" s="39">
        <f t="shared" si="0"/>
        <v>3.0374172055389882E-2</v>
      </c>
      <c r="E17" s="39">
        <f t="shared" si="1"/>
        <v>2.7163174308770154E-2</v>
      </c>
      <c r="G17" s="6"/>
    </row>
    <row r="18" spans="2:7" ht="38.25" x14ac:dyDescent="0.25">
      <c r="B18" s="37" t="s">
        <v>159</v>
      </c>
      <c r="C18" s="40">
        <f>C17+C16</f>
        <v>491571.75</v>
      </c>
      <c r="D18" s="39">
        <f t="shared" si="0"/>
        <v>0.26141003240984684</v>
      </c>
      <c r="E18" s="39">
        <f t="shared" si="1"/>
        <v>0.23377513841237044</v>
      </c>
    </row>
    <row r="19" spans="2:7" x14ac:dyDescent="0.25">
      <c r="B19" s="37" t="s">
        <v>160</v>
      </c>
      <c r="C19" s="40">
        <f>C18+C14+C11</f>
        <v>1070890.24</v>
      </c>
      <c r="D19" s="39"/>
      <c r="E19" s="37"/>
    </row>
    <row r="20" spans="2:7" ht="38.25" x14ac:dyDescent="0.25">
      <c r="B20" s="37" t="s">
        <v>161</v>
      </c>
      <c r="C20" s="40">
        <f>ROUND(C21*(C11+C15),2)</f>
        <v>297713.65000000002</v>
      </c>
      <c r="D20" s="39">
        <f>C20/$C$24</f>
        <v>0.15831938042687319</v>
      </c>
      <c r="E20" s="39">
        <f>C20/$C$40</f>
        <v>0.14158268805317234</v>
      </c>
    </row>
    <row r="21" spans="2:7" ht="38.25" x14ac:dyDescent="0.25">
      <c r="B21" s="37" t="s">
        <v>162</v>
      </c>
      <c r="C21" s="41">
        <f>'Прил.5 Расчет СМР и ОБ'!E50</f>
        <v>0.56999999999999995</v>
      </c>
      <c r="D21" s="39"/>
      <c r="E21" s="37"/>
    </row>
    <row r="22" spans="2:7" ht="51" x14ac:dyDescent="0.25">
      <c r="B22" s="37" t="s">
        <v>163</v>
      </c>
      <c r="C22" s="40">
        <f>ROUND(C23*(C11+C15),2)</f>
        <v>511858.56</v>
      </c>
      <c r="D22" s="39">
        <f>C22/$C$24</f>
        <v>0.27219823506712404</v>
      </c>
      <c r="E22" s="39">
        <f>C22/$C$40</f>
        <v>0.24342286901465884</v>
      </c>
    </row>
    <row r="23" spans="2:7" ht="51" x14ac:dyDescent="0.25">
      <c r="B23" s="37" t="s">
        <v>164</v>
      </c>
      <c r="C23" s="41">
        <f>'Прил.5 Расчет СМР и ОБ'!E49</f>
        <v>0.98</v>
      </c>
      <c r="D23" s="39"/>
      <c r="E23" s="37"/>
    </row>
    <row r="24" spans="2:7" ht="38.25" x14ac:dyDescent="0.25">
      <c r="B24" s="37" t="s">
        <v>165</v>
      </c>
      <c r="C24" s="40">
        <f>C19+C20+C22</f>
        <v>1880462.4500000002</v>
      </c>
      <c r="D24" s="39">
        <f>C24/$C$24</f>
        <v>1</v>
      </c>
      <c r="E24" s="39">
        <f>C24/$C$40</f>
        <v>0.89428525851620899</v>
      </c>
    </row>
    <row r="25" spans="2:7" ht="89.25" x14ac:dyDescent="0.25">
      <c r="B25" s="37" t="s">
        <v>166</v>
      </c>
      <c r="C25" s="40">
        <f>'Прил.5 Расчет СМР и ОБ'!J35</f>
        <v>0</v>
      </c>
      <c r="D25" s="39"/>
      <c r="E25" s="39">
        <f>C25/$C$40</f>
        <v>0</v>
      </c>
    </row>
    <row r="26" spans="2:7" ht="76.5" x14ac:dyDescent="0.25">
      <c r="B26" s="37" t="s">
        <v>167</v>
      </c>
      <c r="C26" s="40">
        <f>C25</f>
        <v>0</v>
      </c>
      <c r="D26" s="39"/>
      <c r="E26" s="39">
        <f>C26/$C$40</f>
        <v>0</v>
      </c>
    </row>
    <row r="27" spans="2:7" ht="63.75" x14ac:dyDescent="0.25">
      <c r="B27" s="37" t="s">
        <v>168</v>
      </c>
      <c r="C27" s="38">
        <f>C24+C25</f>
        <v>1880462.4500000002</v>
      </c>
      <c r="D27" s="39"/>
      <c r="E27" s="39">
        <f>C27/$C$40</f>
        <v>0.89428525851620899</v>
      </c>
    </row>
    <row r="28" spans="2:7" ht="102" x14ac:dyDescent="0.25">
      <c r="B28" s="37" t="s">
        <v>169</v>
      </c>
      <c r="C28" s="37"/>
      <c r="D28" s="37"/>
      <c r="E28" s="37"/>
    </row>
    <row r="29" spans="2:7" ht="76.5" x14ac:dyDescent="0.25">
      <c r="B29" s="37" t="s">
        <v>170</v>
      </c>
      <c r="C29" s="38">
        <f>ROUND(C24*3.9%,2)</f>
        <v>73338.039999999994</v>
      </c>
      <c r="D29" s="37"/>
      <c r="E29" s="39">
        <f t="shared" ref="E29:E38" si="2">C29/$C$40</f>
        <v>3.4877127198403808E-2</v>
      </c>
    </row>
    <row r="30" spans="2:7" ht="165.75" x14ac:dyDescent="0.25">
      <c r="B30" s="37" t="s">
        <v>171</v>
      </c>
      <c r="C30" s="38">
        <f>ROUND((C24+C29)*2.1%,2)</f>
        <v>41029.81</v>
      </c>
      <c r="D30" s="37"/>
      <c r="E30" s="39">
        <f t="shared" si="2"/>
        <v>1.9512409962092532E-2</v>
      </c>
    </row>
    <row r="31" spans="2:7" ht="38.25" x14ac:dyDescent="0.25">
      <c r="B31" s="37" t="s">
        <v>172</v>
      </c>
      <c r="C31" s="38">
        <f>ROUND(C25*7%*0.8,2)</f>
        <v>0</v>
      </c>
      <c r="D31" s="37"/>
      <c r="E31" s="39">
        <f t="shared" si="2"/>
        <v>0</v>
      </c>
    </row>
    <row r="32" spans="2:7" ht="114.75" x14ac:dyDescent="0.25">
      <c r="B32" s="37" t="s">
        <v>173</v>
      </c>
      <c r="C32" s="38">
        <v>0</v>
      </c>
      <c r="D32" s="37"/>
      <c r="E32" s="39">
        <f t="shared" si="2"/>
        <v>0</v>
      </c>
    </row>
    <row r="33" spans="2:12" ht="114.75" x14ac:dyDescent="0.25">
      <c r="B33" s="37" t="s">
        <v>174</v>
      </c>
      <c r="C33" s="38">
        <v>0</v>
      </c>
      <c r="D33" s="37"/>
      <c r="E33" s="39">
        <f t="shared" si="2"/>
        <v>0</v>
      </c>
    </row>
    <row r="34" spans="2:12" ht="216.75" x14ac:dyDescent="0.25">
      <c r="B34" s="37" t="s">
        <v>175</v>
      </c>
      <c r="C34" s="38">
        <v>0</v>
      </c>
      <c r="D34" s="37"/>
      <c r="E34" s="39">
        <f t="shared" si="2"/>
        <v>0</v>
      </c>
    </row>
    <row r="35" spans="2:12" ht="344.25" x14ac:dyDescent="0.25">
      <c r="B35" s="37" t="s">
        <v>176</v>
      </c>
      <c r="C35" s="38">
        <v>0</v>
      </c>
      <c r="D35" s="37"/>
      <c r="E35" s="39">
        <f t="shared" si="2"/>
        <v>0</v>
      </c>
    </row>
    <row r="36" spans="2:12" ht="114.75" x14ac:dyDescent="0.25">
      <c r="B36" s="37" t="s">
        <v>177</v>
      </c>
      <c r="C36" s="38">
        <f>ROUND((C27+C29+C31+C30)*2.14%,2)</f>
        <v>42689.37</v>
      </c>
      <c r="D36" s="37"/>
      <c r="E36" s="39">
        <f t="shared" si="2"/>
        <v>2.0301641378876828E-2</v>
      </c>
      <c r="G36" s="59"/>
      <c r="L36" s="7"/>
    </row>
    <row r="37" spans="2:12" ht="38.25" x14ac:dyDescent="0.25">
      <c r="B37" s="37" t="s">
        <v>178</v>
      </c>
      <c r="C37" s="38">
        <f>ROUND((C27+C29+C30+C31)*0.2%,2)</f>
        <v>3989.66</v>
      </c>
      <c r="D37" s="37"/>
      <c r="E37" s="39">
        <f t="shared" si="2"/>
        <v>1.8973493060134108E-3</v>
      </c>
      <c r="G37" s="59"/>
      <c r="L37" s="7"/>
    </row>
    <row r="38" spans="2:12" ht="127.5" x14ac:dyDescent="0.25">
      <c r="B38" s="37" t="s">
        <v>179</v>
      </c>
      <c r="C38" s="40">
        <f>C36+C30+C27+C29+C31+C37</f>
        <v>2041509.33</v>
      </c>
      <c r="D38" s="37"/>
      <c r="E38" s="39">
        <f t="shared" si="2"/>
        <v>0.9708737863615956</v>
      </c>
    </row>
    <row r="39" spans="2:12" ht="38.25" x14ac:dyDescent="0.25">
      <c r="B39" s="37" t="s">
        <v>180</v>
      </c>
      <c r="C39" s="40">
        <f>ROUND(C38*3%,2)</f>
        <v>61245.279999999999</v>
      </c>
      <c r="D39" s="37"/>
      <c r="E39" s="39">
        <f>C39/$C$38</f>
        <v>3.0000000048983365E-2</v>
      </c>
    </row>
    <row r="40" spans="2:12" x14ac:dyDescent="0.25">
      <c r="B40" s="37" t="s">
        <v>181</v>
      </c>
      <c r="C40" s="40">
        <f>C39+C38</f>
        <v>2102754.61</v>
      </c>
      <c r="D40" s="37"/>
      <c r="E40" s="39">
        <f>C40/$C$40</f>
        <v>1</v>
      </c>
    </row>
    <row r="41" spans="2:12" ht="63.75" x14ac:dyDescent="0.25">
      <c r="B41" s="37" t="s">
        <v>182</v>
      </c>
      <c r="C41" s="40">
        <f>C40/'Прил.5 Расчет СМР и ОБ'!E53</f>
        <v>1522.6318682114409</v>
      </c>
      <c r="D41" s="37"/>
      <c r="E41" s="37"/>
    </row>
    <row r="42" spans="2:12" x14ac:dyDescent="0.25">
      <c r="B42" s="8"/>
      <c r="C42" s="81"/>
      <c r="D42" s="81"/>
      <c r="E42" s="81"/>
    </row>
    <row r="43" spans="2:12" x14ac:dyDescent="0.25">
      <c r="B43" s="8" t="s">
        <v>183</v>
      </c>
      <c r="C43" s="81"/>
      <c r="D43" s="81"/>
      <c r="E43" s="81"/>
    </row>
    <row r="44" spans="2:12" x14ac:dyDescent="0.25">
      <c r="B44" s="8" t="s">
        <v>184</v>
      </c>
      <c r="C44" s="81"/>
      <c r="D44" s="81"/>
      <c r="E44" s="81"/>
    </row>
    <row r="45" spans="2:12" x14ac:dyDescent="0.25">
      <c r="B45" s="8"/>
      <c r="C45" s="81"/>
      <c r="D45" s="81"/>
      <c r="E45" s="81"/>
    </row>
    <row r="46" spans="2:12" x14ac:dyDescent="0.25">
      <c r="B46" s="8" t="s">
        <v>185</v>
      </c>
      <c r="C46" s="81"/>
      <c r="D46" s="81"/>
      <c r="E46" s="81"/>
    </row>
    <row r="47" spans="2:12" x14ac:dyDescent="0.25">
      <c r="B47" s="101" t="s">
        <v>186</v>
      </c>
      <c r="D47" s="81"/>
      <c r="E47" s="81"/>
    </row>
    <row r="49" spans="2:5" x14ac:dyDescent="0.25">
      <c r="B49" s="81"/>
      <c r="C49" s="81"/>
      <c r="D49" s="81"/>
      <c r="E49" s="81"/>
    </row>
    <row r="50" spans="2:5" x14ac:dyDescent="0.25">
      <c r="B50" s="81"/>
      <c r="C50" s="81"/>
      <c r="D50" s="81"/>
      <c r="E50" s="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N63"/>
  <sheetViews>
    <sheetView tabSelected="1" topLeftCell="A28" workbookViewId="0">
      <selection activeCell="L32" sqref="L32"/>
    </sheetView>
  </sheetViews>
  <sheetFormatPr defaultRowHeight="15" x14ac:dyDescent="0.25"/>
  <sheetData>
    <row r="2" spans="1:12" ht="15.75" x14ac:dyDescent="0.25">
      <c r="H2" s="103" t="s">
        <v>187</v>
      </c>
    </row>
    <row r="4" spans="1:12" x14ac:dyDescent="0.25">
      <c r="A4" s="86" t="s">
        <v>188</v>
      </c>
      <c r="I4" s="86"/>
      <c r="J4" s="86"/>
    </row>
    <row r="5" spans="1:12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</row>
    <row r="6" spans="1:12" x14ac:dyDescent="0.25">
      <c r="A6" s="77" t="s">
        <v>189</v>
      </c>
      <c r="B6" s="77"/>
      <c r="C6" s="77"/>
      <c r="D6" s="77" t="s">
        <v>190</v>
      </c>
      <c r="E6" s="77"/>
      <c r="F6" s="77"/>
      <c r="G6" s="77"/>
      <c r="H6" s="77"/>
      <c r="I6" s="113"/>
      <c r="J6" s="113"/>
    </row>
    <row r="7" spans="1:12" x14ac:dyDescent="0.25">
      <c r="A7" s="87" t="str">
        <f>'Прил.1 Сравнит табл'!B9</f>
        <v>Единица измерения  — 1 м периметра ПС</v>
      </c>
      <c r="I7" s="100"/>
      <c r="J7" s="100"/>
    </row>
    <row r="9" spans="1:12" ht="76.5" x14ac:dyDescent="0.25">
      <c r="A9" s="104" t="s">
        <v>191</v>
      </c>
      <c r="B9" s="104" t="s">
        <v>77</v>
      </c>
      <c r="C9" s="104" t="s">
        <v>148</v>
      </c>
      <c r="D9" s="104" t="s">
        <v>79</v>
      </c>
      <c r="E9" s="104" t="s">
        <v>192</v>
      </c>
      <c r="F9" s="104" t="s">
        <v>81</v>
      </c>
      <c r="G9" s="131"/>
      <c r="H9" s="104" t="s">
        <v>193</v>
      </c>
      <c r="I9" s="104" t="s">
        <v>194</v>
      </c>
      <c r="J9" s="131"/>
    </row>
    <row r="10" spans="1:12" ht="25.5" x14ac:dyDescent="0.25">
      <c r="A10" s="133"/>
      <c r="B10" s="133"/>
      <c r="C10" s="133"/>
      <c r="D10" s="133"/>
      <c r="E10" s="133"/>
      <c r="F10" s="104" t="s">
        <v>195</v>
      </c>
      <c r="G10" s="104" t="s">
        <v>83</v>
      </c>
      <c r="H10" s="133"/>
      <c r="I10" s="104" t="s">
        <v>195</v>
      </c>
      <c r="J10" s="104" t="s">
        <v>83</v>
      </c>
    </row>
    <row r="11" spans="1:12" x14ac:dyDescent="0.25">
      <c r="A11" s="104">
        <v>1</v>
      </c>
      <c r="B11" s="104">
        <v>2</v>
      </c>
      <c r="C11" s="104">
        <v>3</v>
      </c>
      <c r="D11" s="104">
        <v>4</v>
      </c>
      <c r="E11" s="104">
        <v>5</v>
      </c>
      <c r="F11" s="104">
        <v>6</v>
      </c>
      <c r="G11" s="104">
        <v>7</v>
      </c>
      <c r="H11" s="104">
        <v>8</v>
      </c>
      <c r="I11" s="104">
        <v>9</v>
      </c>
      <c r="J11" s="104">
        <v>10</v>
      </c>
    </row>
    <row r="12" spans="1:12" ht="63.75" x14ac:dyDescent="0.25">
      <c r="A12" s="104"/>
      <c r="B12" s="98" t="s">
        <v>196</v>
      </c>
      <c r="C12" s="130"/>
      <c r="D12" s="130"/>
      <c r="E12" s="130"/>
      <c r="F12" s="130"/>
      <c r="G12" s="130"/>
      <c r="H12" s="131"/>
      <c r="I12" s="42"/>
      <c r="J12" s="42"/>
    </row>
    <row r="13" spans="1:12" ht="102" x14ac:dyDescent="0.25">
      <c r="A13" s="104">
        <v>1</v>
      </c>
      <c r="B13" s="57" t="s">
        <v>197</v>
      </c>
      <c r="C13" s="108" t="s">
        <v>198</v>
      </c>
      <c r="D13" s="104" t="s">
        <v>199</v>
      </c>
      <c r="E13" s="45">
        <f>G13/F13</f>
        <v>1022.9680751173709</v>
      </c>
      <c r="F13" s="43">
        <v>10.65</v>
      </c>
      <c r="G13" s="43">
        <f>SUM('Прил. 3'!H13:H16)</f>
        <v>10894.61</v>
      </c>
      <c r="H13" s="111">
        <f>G13/G14</f>
        <v>1</v>
      </c>
      <c r="I13" s="43">
        <f>ФОТр.тек.!E13</f>
        <v>491.16005896883939</v>
      </c>
      <c r="J13" s="43">
        <f>ROUND(I13*E13,2)</f>
        <v>502441.06</v>
      </c>
    </row>
    <row r="14" spans="1:12" ht="89.25" x14ac:dyDescent="0.25">
      <c r="A14" s="104"/>
      <c r="B14" s="104"/>
      <c r="C14" s="98" t="s">
        <v>200</v>
      </c>
      <c r="D14" s="104" t="s">
        <v>199</v>
      </c>
      <c r="E14" s="45">
        <f>SUM(E13:E13)</f>
        <v>1022.9680751173709</v>
      </c>
      <c r="F14" s="43"/>
      <c r="G14" s="43">
        <f>SUM(G13:G13)</f>
        <v>10894.61</v>
      </c>
      <c r="H14" s="111">
        <v>1</v>
      </c>
      <c r="I14" s="43"/>
      <c r="J14" s="43">
        <f>SUM(J13:J13)</f>
        <v>502441.06</v>
      </c>
      <c r="K14" s="44"/>
    </row>
    <row r="15" spans="1:12" ht="51" x14ac:dyDescent="0.25">
      <c r="A15" s="104"/>
      <c r="B15" s="108" t="s">
        <v>96</v>
      </c>
      <c r="C15" s="130"/>
      <c r="D15" s="130"/>
      <c r="E15" s="130"/>
      <c r="F15" s="130"/>
      <c r="G15" s="130"/>
      <c r="H15" s="131"/>
      <c r="I15" s="42"/>
      <c r="J15" s="42"/>
    </row>
    <row r="16" spans="1:12" ht="51" x14ac:dyDescent="0.25">
      <c r="A16" s="104">
        <v>2</v>
      </c>
      <c r="B16" s="104">
        <v>2</v>
      </c>
      <c r="C16" s="108" t="s">
        <v>96</v>
      </c>
      <c r="D16" s="104" t="s">
        <v>199</v>
      </c>
      <c r="E16" s="45">
        <f>'Прил. 3'!F18</f>
        <v>29.84</v>
      </c>
      <c r="F16" s="43">
        <f>G16/E16</f>
        <v>15.029825737265416</v>
      </c>
      <c r="G16" s="43">
        <f>'Прил. 3'!H18</f>
        <v>448.49</v>
      </c>
      <c r="H16" s="111">
        <v>1</v>
      </c>
      <c r="I16" s="43">
        <f>ROUND(F16*'Прил. 10'!D10,2)</f>
        <v>665.67</v>
      </c>
      <c r="J16" s="43">
        <f>ROUND(I16*E16,2)</f>
        <v>19863.59</v>
      </c>
      <c r="L16" s="54"/>
    </row>
    <row r="17" spans="1:14" ht="51" x14ac:dyDescent="0.25">
      <c r="A17" s="104"/>
      <c r="B17" s="98" t="s">
        <v>97</v>
      </c>
      <c r="C17" s="130"/>
      <c r="D17" s="130"/>
      <c r="E17" s="130"/>
      <c r="F17" s="130"/>
      <c r="G17" s="130"/>
      <c r="H17" s="131"/>
      <c r="I17" s="111"/>
      <c r="J17" s="111"/>
    </row>
    <row r="18" spans="1:14" ht="76.5" x14ac:dyDescent="0.25">
      <c r="A18" s="104"/>
      <c r="B18" s="108" t="s">
        <v>201</v>
      </c>
      <c r="C18" s="130"/>
      <c r="D18" s="130"/>
      <c r="E18" s="130"/>
      <c r="F18" s="130"/>
      <c r="G18" s="130"/>
      <c r="H18" s="131"/>
      <c r="I18" s="42"/>
      <c r="J18" s="42"/>
    </row>
    <row r="19" spans="1:14" ht="165.75" x14ac:dyDescent="0.25">
      <c r="A19" s="104">
        <v>3</v>
      </c>
      <c r="B19" s="57" t="s">
        <v>99</v>
      </c>
      <c r="C19" s="108" t="s">
        <v>100</v>
      </c>
      <c r="D19" s="104" t="s">
        <v>101</v>
      </c>
      <c r="E19" s="45">
        <v>214.1412</v>
      </c>
      <c r="F19" s="112">
        <v>6.82</v>
      </c>
      <c r="G19" s="43">
        <f>ROUND(E19*F19,2)</f>
        <v>1460.44</v>
      </c>
      <c r="H19" s="111">
        <f>G19/$G$29</f>
        <v>0.2558947573148958</v>
      </c>
      <c r="I19" s="43">
        <f>ROUND(F19*'Прил. 10'!$D$11,2)</f>
        <v>91.87</v>
      </c>
      <c r="J19" s="43">
        <f>ROUND(I19*E19,2)</f>
        <v>19673.150000000001</v>
      </c>
    </row>
    <row r="20" spans="1:14" ht="102" x14ac:dyDescent="0.25">
      <c r="A20" s="104">
        <v>4</v>
      </c>
      <c r="B20" s="57" t="s">
        <v>103</v>
      </c>
      <c r="C20" s="108" t="s">
        <v>104</v>
      </c>
      <c r="D20" s="104" t="s">
        <v>101</v>
      </c>
      <c r="E20" s="45">
        <v>167.65692000000001</v>
      </c>
      <c r="F20" s="112">
        <v>8.1</v>
      </c>
      <c r="G20" s="43">
        <f>ROUND(E20*F20,2)</f>
        <v>1358.02</v>
      </c>
      <c r="H20" s="111">
        <f>G20/$G$29</f>
        <v>0.23794897313739338</v>
      </c>
      <c r="I20" s="43">
        <f>ROUND(F20*'Прил. 10'!$D$11,2)</f>
        <v>109.11</v>
      </c>
      <c r="J20" s="43">
        <f>ROUND(I20*E20,2)</f>
        <v>18293.05</v>
      </c>
    </row>
    <row r="21" spans="1:14" ht="140.25" x14ac:dyDescent="0.25">
      <c r="A21" s="104">
        <v>5</v>
      </c>
      <c r="B21" s="57" t="s">
        <v>106</v>
      </c>
      <c r="C21" s="108" t="s">
        <v>107</v>
      </c>
      <c r="D21" s="104" t="s">
        <v>101</v>
      </c>
      <c r="E21" s="45">
        <v>12.441428999999999</v>
      </c>
      <c r="F21" s="112">
        <v>100</v>
      </c>
      <c r="G21" s="43">
        <f>ROUND(E21*F21,2)</f>
        <v>1244.1400000000001</v>
      </c>
      <c r="H21" s="111">
        <f>G21/$G$29</f>
        <v>0.21799519553405444</v>
      </c>
      <c r="I21" s="43">
        <f>ROUND(F21*'Прил. 10'!$D$11,2)</f>
        <v>1347</v>
      </c>
      <c r="J21" s="43">
        <f>ROUND(I21*E21,2)</f>
        <v>16758.599999999999</v>
      </c>
    </row>
    <row r="22" spans="1:14" ht="89.25" x14ac:dyDescent="0.25">
      <c r="A22" s="104">
        <v>6</v>
      </c>
      <c r="B22" s="57" t="s">
        <v>109</v>
      </c>
      <c r="C22" s="108" t="s">
        <v>110</v>
      </c>
      <c r="D22" s="104" t="s">
        <v>101</v>
      </c>
      <c r="E22" s="45">
        <v>14.473560000000001</v>
      </c>
      <c r="F22" s="112">
        <v>65.709999999999994</v>
      </c>
      <c r="G22" s="43">
        <f>ROUND(E22*F22,2)</f>
        <v>951.06</v>
      </c>
      <c r="H22" s="111">
        <f>G22/$G$29</f>
        <v>0.16664242823526113</v>
      </c>
      <c r="I22" s="43">
        <f>ROUND(F22*'Прил. 10'!$D$11,2)</f>
        <v>885.11</v>
      </c>
      <c r="J22" s="43">
        <f>ROUND(I22*E22,2)</f>
        <v>12810.69</v>
      </c>
    </row>
    <row r="23" spans="1:14" ht="89.25" x14ac:dyDescent="0.25">
      <c r="A23" s="104"/>
      <c r="B23" s="104"/>
      <c r="C23" s="108" t="s">
        <v>202</v>
      </c>
      <c r="D23" s="104"/>
      <c r="E23" s="46"/>
      <c r="F23" s="43"/>
      <c r="G23" s="43">
        <f>SUM(G19:G22)</f>
        <v>5013.66</v>
      </c>
      <c r="H23" s="111">
        <f>G23/G29</f>
        <v>0.87848135422160467</v>
      </c>
      <c r="I23" s="43"/>
      <c r="J23" s="43">
        <f>SUM(J19:J22)</f>
        <v>67535.489999999991</v>
      </c>
      <c r="L23" s="44"/>
    </row>
    <row r="24" spans="1:14" ht="63.75" x14ac:dyDescent="0.25">
      <c r="A24" s="104">
        <v>7</v>
      </c>
      <c r="B24" s="57" t="s">
        <v>112</v>
      </c>
      <c r="C24" s="108" t="s">
        <v>113</v>
      </c>
      <c r="D24" s="104" t="s">
        <v>101</v>
      </c>
      <c r="E24" s="45">
        <v>4.1471429999999998</v>
      </c>
      <c r="F24" s="112">
        <v>79.069999999999993</v>
      </c>
      <c r="G24" s="43">
        <f>ROUND(E24*F24,2)</f>
        <v>327.91</v>
      </c>
      <c r="H24" s="111">
        <f>G24/$G$29</f>
        <v>5.7455595485694372E-2</v>
      </c>
      <c r="I24" s="43">
        <f>ROUND(F24*'Прил. 10'!$D$11,2)</f>
        <v>1065.07</v>
      </c>
      <c r="J24" s="43">
        <f>ROUND(I24*E24,2)</f>
        <v>4417</v>
      </c>
      <c r="L24" s="44"/>
    </row>
    <row r="25" spans="1:14" ht="63.75" x14ac:dyDescent="0.25">
      <c r="A25" s="104">
        <v>8</v>
      </c>
      <c r="B25" s="57" t="s">
        <v>115</v>
      </c>
      <c r="C25" s="108" t="s">
        <v>116</v>
      </c>
      <c r="D25" s="104" t="s">
        <v>101</v>
      </c>
      <c r="E25" s="45">
        <v>3.2557765999999999</v>
      </c>
      <c r="F25" s="112">
        <v>59.47</v>
      </c>
      <c r="G25" s="43">
        <f>ROUND(E25*F25,2)</f>
        <v>193.62</v>
      </c>
      <c r="H25" s="111">
        <f>G25/$G$29</f>
        <v>3.3925627147510427E-2</v>
      </c>
      <c r="I25" s="43">
        <f>ROUND(F25*'Прил. 10'!$D$11,2)</f>
        <v>801.06</v>
      </c>
      <c r="J25" s="43">
        <f>ROUND(I25*E25,2)</f>
        <v>2608.0700000000002</v>
      </c>
      <c r="L25" s="44"/>
    </row>
    <row r="26" spans="1:14" ht="63.75" x14ac:dyDescent="0.25">
      <c r="A26" s="104">
        <v>9</v>
      </c>
      <c r="B26" s="57" t="s">
        <v>118</v>
      </c>
      <c r="C26" s="108" t="s">
        <v>119</v>
      </c>
      <c r="D26" s="104" t="s">
        <v>101</v>
      </c>
      <c r="E26" s="45">
        <v>1.8758999999999999</v>
      </c>
      <c r="F26" s="112">
        <v>89.99</v>
      </c>
      <c r="G26" s="43">
        <f>ROUND(E26*F26,2)</f>
        <v>168.81</v>
      </c>
      <c r="H26" s="111">
        <f>G26/$G$29</f>
        <v>2.9578479076393115E-2</v>
      </c>
      <c r="I26" s="43">
        <f>ROUND(F26*'Прил. 10'!$D$11,2)</f>
        <v>1212.17</v>
      </c>
      <c r="J26" s="43">
        <f>ROUND(I26*E26,2)</f>
        <v>2273.91</v>
      </c>
      <c r="L26" s="44"/>
    </row>
    <row r="27" spans="1:14" ht="102" x14ac:dyDescent="0.25">
      <c r="A27" s="104">
        <v>10</v>
      </c>
      <c r="B27" s="57" t="s">
        <v>121</v>
      </c>
      <c r="C27" s="108" t="s">
        <v>122</v>
      </c>
      <c r="D27" s="104" t="s">
        <v>101</v>
      </c>
      <c r="E27" s="45">
        <v>1.8758999999999999</v>
      </c>
      <c r="F27" s="112">
        <v>1.7</v>
      </c>
      <c r="G27" s="43">
        <f>ROUND(E27*F27,2)</f>
        <v>3.19</v>
      </c>
      <c r="H27" s="111">
        <f>G27/$G$29</f>
        <v>5.5894406879742925E-4</v>
      </c>
      <c r="I27" s="43">
        <f>ROUND(F27*'Прил. 10'!$D$11,2)</f>
        <v>22.9</v>
      </c>
      <c r="J27" s="43">
        <f>ROUND(I27*E27,2)</f>
        <v>42.96</v>
      </c>
      <c r="L27" s="44"/>
    </row>
    <row r="28" spans="1:14" ht="76.5" x14ac:dyDescent="0.25">
      <c r="A28" s="104"/>
      <c r="B28" s="104"/>
      <c r="C28" s="108" t="s">
        <v>203</v>
      </c>
      <c r="D28" s="104"/>
      <c r="E28" s="109"/>
      <c r="F28" s="43"/>
      <c r="G28" s="43">
        <f>SUM(G24:G27)</f>
        <v>693.53</v>
      </c>
      <c r="H28" s="111">
        <f>G28/G29</f>
        <v>0.12151864577839533</v>
      </c>
      <c r="I28" s="43"/>
      <c r="J28" s="43">
        <f>SUM(J24:J27)</f>
        <v>9341.9399999999987</v>
      </c>
      <c r="K28" s="44"/>
      <c r="L28" s="44"/>
    </row>
    <row r="29" spans="1:14" ht="76.5" x14ac:dyDescent="0.25">
      <c r="A29" s="104"/>
      <c r="B29" s="105"/>
      <c r="C29" s="47" t="s">
        <v>204</v>
      </c>
      <c r="D29" s="105"/>
      <c r="E29" s="48"/>
      <c r="F29" s="49"/>
      <c r="G29" s="49">
        <f>G23+G28</f>
        <v>5707.19</v>
      </c>
      <c r="H29" s="50">
        <v>1</v>
      </c>
      <c r="I29" s="49"/>
      <c r="J29" s="49">
        <f>J23+J28</f>
        <v>76877.429999999993</v>
      </c>
    </row>
    <row r="30" spans="1:14" ht="25.5" x14ac:dyDescent="0.25">
      <c r="A30" s="106"/>
      <c r="B30" s="98" t="s">
        <v>55</v>
      </c>
      <c r="C30" s="130"/>
      <c r="D30" s="130"/>
      <c r="E30" s="130"/>
      <c r="F30" s="130"/>
      <c r="G30" s="130"/>
      <c r="H30" s="130"/>
      <c r="I30" s="130"/>
      <c r="J30" s="131"/>
      <c r="K30" s="79"/>
      <c r="L30" s="79"/>
      <c r="M30" s="79"/>
      <c r="N30" s="79"/>
    </row>
    <row r="31" spans="1:14" ht="51" x14ac:dyDescent="0.25">
      <c r="A31" s="104"/>
      <c r="B31" s="107" t="s">
        <v>205</v>
      </c>
      <c r="K31" s="79"/>
      <c r="L31" s="79"/>
      <c r="M31" s="79"/>
      <c r="N31" s="79"/>
    </row>
    <row r="32" spans="1:14" ht="51" x14ac:dyDescent="0.25">
      <c r="A32" s="104"/>
      <c r="B32" s="104"/>
      <c r="C32" s="108" t="s">
        <v>206</v>
      </c>
      <c r="D32" s="104"/>
      <c r="E32" s="45"/>
      <c r="F32" s="110"/>
      <c r="G32" s="43">
        <v>0</v>
      </c>
      <c r="H32" s="111"/>
      <c r="I32" s="110"/>
      <c r="J32" s="43">
        <v>0</v>
      </c>
      <c r="K32" s="44"/>
      <c r="L32" s="79"/>
      <c r="M32" s="79"/>
      <c r="N32" s="79"/>
    </row>
    <row r="33" spans="1:14" ht="51" x14ac:dyDescent="0.25">
      <c r="A33" s="104"/>
      <c r="B33" s="104"/>
      <c r="C33" s="108" t="s">
        <v>207</v>
      </c>
      <c r="D33" s="104"/>
      <c r="E33" s="109"/>
      <c r="F33" s="110"/>
      <c r="G33" s="43">
        <v>0</v>
      </c>
      <c r="H33" s="111"/>
      <c r="I33" s="110"/>
      <c r="J33" s="43">
        <v>0</v>
      </c>
      <c r="K33" s="44"/>
      <c r="L33" s="79"/>
      <c r="M33" s="79"/>
      <c r="N33" s="79"/>
    </row>
    <row r="34" spans="1:14" ht="51" x14ac:dyDescent="0.25">
      <c r="A34" s="104"/>
      <c r="B34" s="104"/>
      <c r="C34" s="98" t="s">
        <v>208</v>
      </c>
      <c r="D34" s="104"/>
      <c r="E34" s="109"/>
      <c r="F34" s="110"/>
      <c r="G34" s="43">
        <f>G33+G32</f>
        <v>0</v>
      </c>
      <c r="H34" s="111"/>
      <c r="I34" s="110"/>
      <c r="J34" s="43">
        <v>0</v>
      </c>
      <c r="K34" s="44"/>
      <c r="L34" s="79"/>
      <c r="M34" s="79"/>
      <c r="N34" s="79"/>
    </row>
    <row r="35" spans="1:14" ht="76.5" x14ac:dyDescent="0.25">
      <c r="A35" s="104"/>
      <c r="B35" s="104"/>
      <c r="C35" s="108" t="s">
        <v>209</v>
      </c>
      <c r="D35" s="104"/>
      <c r="E35" s="109"/>
      <c r="F35" s="110"/>
      <c r="G35" s="43">
        <f>G34</f>
        <v>0</v>
      </c>
      <c r="H35" s="111"/>
      <c r="I35" s="51"/>
      <c r="J35" s="49">
        <f>J34</f>
        <v>0</v>
      </c>
      <c r="K35" s="44"/>
      <c r="L35" s="79"/>
      <c r="M35" s="79"/>
      <c r="N35" s="79"/>
    </row>
    <row r="36" spans="1:14" ht="25.5" x14ac:dyDescent="0.25">
      <c r="A36" s="104"/>
      <c r="B36" s="98" t="s">
        <v>123</v>
      </c>
      <c r="C36" s="130"/>
      <c r="D36" s="130"/>
      <c r="E36" s="130"/>
      <c r="F36" s="130"/>
      <c r="G36" s="130"/>
      <c r="H36" s="131"/>
      <c r="I36" s="111"/>
      <c r="J36" s="111"/>
      <c r="K36" s="44"/>
    </row>
    <row r="37" spans="1:14" ht="51" x14ac:dyDescent="0.25">
      <c r="A37" s="104"/>
      <c r="B37" s="108" t="s">
        <v>210</v>
      </c>
      <c r="C37" s="130"/>
      <c r="D37" s="130"/>
      <c r="E37" s="130"/>
      <c r="F37" s="130"/>
      <c r="G37" s="130"/>
      <c r="H37" s="131"/>
      <c r="I37" s="111"/>
      <c r="J37" s="111"/>
    </row>
    <row r="38" spans="1:14" ht="127.5" x14ac:dyDescent="0.25">
      <c r="A38" s="104">
        <v>11</v>
      </c>
      <c r="B38" s="57" t="s">
        <v>124</v>
      </c>
      <c r="C38" s="108" t="s">
        <v>125</v>
      </c>
      <c r="D38" s="104" t="s">
        <v>126</v>
      </c>
      <c r="E38" s="45">
        <v>9.5640000000000001</v>
      </c>
      <c r="F38" s="112">
        <v>5650</v>
      </c>
      <c r="G38" s="43">
        <f>ROUND(E38*F38,2)</f>
        <v>54036.6</v>
      </c>
      <c r="H38" s="111">
        <f t="shared" ref="H38:H45" si="0">G38/$G$47</f>
        <v>0.71078540020169989</v>
      </c>
      <c r="I38" s="43">
        <f>ROUND(F38*'Прил. 10'!$D$12,2)</f>
        <v>45426</v>
      </c>
      <c r="J38" s="43">
        <f>ROUND(I38*E38,2)</f>
        <v>434454.26</v>
      </c>
    </row>
    <row r="39" spans="1:14" ht="38.25" x14ac:dyDescent="0.25">
      <c r="A39" s="104">
        <v>12</v>
      </c>
      <c r="B39" s="57" t="s">
        <v>128</v>
      </c>
      <c r="C39" s="108" t="s">
        <v>129</v>
      </c>
      <c r="D39" s="104" t="s">
        <v>126</v>
      </c>
      <c r="E39" s="45">
        <v>1.55844</v>
      </c>
      <c r="F39" s="112">
        <v>9550.01</v>
      </c>
      <c r="G39" s="43">
        <f>ROUND(E39*F39,2)</f>
        <v>14883.12</v>
      </c>
      <c r="H39" s="111">
        <f t="shared" si="0"/>
        <v>0.19576924539016011</v>
      </c>
      <c r="I39" s="43">
        <f>ROUND(F39*'Прил. 10'!$D$12,2)</f>
        <v>76782.080000000002</v>
      </c>
      <c r="J39" s="43">
        <f>ROUND(I39*E39,2)</f>
        <v>119660.26</v>
      </c>
    </row>
    <row r="40" spans="1:14" ht="63.75" x14ac:dyDescent="0.25">
      <c r="A40" s="104"/>
      <c r="B40" s="104"/>
      <c r="C40" s="108" t="s">
        <v>211</v>
      </c>
      <c r="D40" s="104"/>
      <c r="E40" s="45"/>
      <c r="F40" s="110"/>
      <c r="G40" s="43">
        <f>SUM(G38:G39)</f>
        <v>68919.72</v>
      </c>
      <c r="H40" s="111">
        <f t="shared" si="0"/>
        <v>0.90655464559186005</v>
      </c>
      <c r="I40" s="43"/>
      <c r="J40" s="43">
        <f>SUM(J38:J38)</f>
        <v>434454.26</v>
      </c>
      <c r="K40" s="44"/>
    </row>
    <row r="41" spans="1:14" ht="25.5" x14ac:dyDescent="0.25">
      <c r="A41" s="104">
        <v>13</v>
      </c>
      <c r="B41" s="57" t="s">
        <v>130</v>
      </c>
      <c r="C41" s="108" t="s">
        <v>131</v>
      </c>
      <c r="D41" s="104" t="s">
        <v>126</v>
      </c>
      <c r="E41" s="45">
        <v>0.12987000000000001</v>
      </c>
      <c r="F41" s="112">
        <v>21205</v>
      </c>
      <c r="G41" s="43">
        <f>ROUND(F41*E41,2)</f>
        <v>2753.89</v>
      </c>
      <c r="H41" s="111">
        <f t="shared" si="0"/>
        <v>3.6224055654157726E-2</v>
      </c>
      <c r="I41" s="43">
        <f>ROUND(F41*'Прил. 10'!$D$12,2)</f>
        <v>170488.2</v>
      </c>
      <c r="J41" s="43">
        <f>ROUND(I41*E41,2)</f>
        <v>22141.3</v>
      </c>
    </row>
    <row r="42" spans="1:14" ht="76.5" x14ac:dyDescent="0.25">
      <c r="A42" s="104">
        <v>14</v>
      </c>
      <c r="B42" s="57" t="s">
        <v>133</v>
      </c>
      <c r="C42" s="108" t="s">
        <v>134</v>
      </c>
      <c r="D42" s="104" t="s">
        <v>126</v>
      </c>
      <c r="E42" s="45">
        <v>0.28692000000000001</v>
      </c>
      <c r="F42" s="112">
        <v>9424</v>
      </c>
      <c r="G42" s="43">
        <f>ROUND(F42*E42,2)</f>
        <v>2703.93</v>
      </c>
      <c r="H42" s="111">
        <f t="shared" si="0"/>
        <v>3.5566892942327649E-2</v>
      </c>
      <c r="I42" s="43">
        <f>ROUND(F42*'Прил. 10'!$D$12,2)</f>
        <v>75768.960000000006</v>
      </c>
      <c r="J42" s="43">
        <f>ROUND(I42*E42,2)</f>
        <v>21739.63</v>
      </c>
    </row>
    <row r="43" spans="1:14" ht="25.5" x14ac:dyDescent="0.25">
      <c r="A43" s="104">
        <v>15</v>
      </c>
      <c r="B43" s="57" t="s">
        <v>135</v>
      </c>
      <c r="C43" s="108" t="s">
        <v>136</v>
      </c>
      <c r="D43" s="104" t="s">
        <v>137</v>
      </c>
      <c r="E43" s="45">
        <v>225.108</v>
      </c>
      <c r="F43" s="112">
        <v>6.67</v>
      </c>
      <c r="G43" s="43">
        <f>ROUND(F43*E43,2)</f>
        <v>1501.47</v>
      </c>
      <c r="H43" s="111">
        <f t="shared" si="0"/>
        <v>1.9750001940182144E-2</v>
      </c>
      <c r="I43" s="43">
        <f>ROUND(F43*'Прил. 10'!$D$12,2)</f>
        <v>53.63</v>
      </c>
      <c r="J43" s="43">
        <f>ROUND(I43*E43,2)</f>
        <v>12072.54</v>
      </c>
    </row>
    <row r="44" spans="1:14" ht="38.25" x14ac:dyDescent="0.25">
      <c r="A44" s="104">
        <v>16</v>
      </c>
      <c r="B44" s="57" t="s">
        <v>139</v>
      </c>
      <c r="C44" s="108" t="s">
        <v>140</v>
      </c>
      <c r="D44" s="104" t="s">
        <v>126</v>
      </c>
      <c r="E44" s="45">
        <v>1.8759000000000001E-2</v>
      </c>
      <c r="F44" s="112">
        <v>7640</v>
      </c>
      <c r="G44" s="43">
        <f>ROUND(F44*E44,2)</f>
        <v>143.32</v>
      </c>
      <c r="H44" s="111">
        <f t="shared" si="0"/>
        <v>1.8851993566750616E-3</v>
      </c>
      <c r="I44" s="43">
        <f>ROUND(F44*'Прил. 10'!$D$12,2)</f>
        <v>61425.599999999999</v>
      </c>
      <c r="J44" s="43">
        <f>ROUND(I44*E44,2)</f>
        <v>1152.28</v>
      </c>
    </row>
    <row r="45" spans="1:14" ht="76.5" x14ac:dyDescent="0.25">
      <c r="A45" s="104">
        <v>17</v>
      </c>
      <c r="B45" s="57" t="s">
        <v>141</v>
      </c>
      <c r="C45" s="108" t="s">
        <v>142</v>
      </c>
      <c r="D45" s="104" t="s">
        <v>143</v>
      </c>
      <c r="E45" s="45">
        <v>1.3464800000000001E-2</v>
      </c>
      <c r="F45" s="112">
        <v>108.4</v>
      </c>
      <c r="G45" s="43">
        <f>ROUND(F45*E45,2)</f>
        <v>1.46</v>
      </c>
      <c r="H45" s="111">
        <f t="shared" si="0"/>
        <v>1.9204514797275956E-5</v>
      </c>
      <c r="I45" s="43">
        <f>ROUND(F45*'Прил. 10'!$D$12,2)</f>
        <v>871.54</v>
      </c>
      <c r="J45" s="43">
        <f>ROUND(I45*E45,2)</f>
        <v>11.74</v>
      </c>
    </row>
    <row r="46" spans="1:14" ht="51" x14ac:dyDescent="0.25">
      <c r="A46" s="104"/>
      <c r="B46" s="104"/>
      <c r="C46" s="108" t="s">
        <v>212</v>
      </c>
      <c r="D46" s="104"/>
      <c r="E46" s="109"/>
      <c r="F46" s="110"/>
      <c r="G46" s="43">
        <f>SUM(G41:G45)</f>
        <v>7104.07</v>
      </c>
      <c r="H46" s="111">
        <f>G46/G47</f>
        <v>9.3445354408139863E-2</v>
      </c>
      <c r="I46" s="43"/>
      <c r="J46" s="43">
        <f>SUM(J41:J45)</f>
        <v>57117.49</v>
      </c>
    </row>
    <row r="47" spans="1:14" ht="51" x14ac:dyDescent="0.25">
      <c r="A47" s="104"/>
      <c r="B47" s="104"/>
      <c r="C47" s="98" t="s">
        <v>213</v>
      </c>
      <c r="D47" s="104"/>
      <c r="E47" s="109"/>
      <c r="F47" s="110"/>
      <c r="G47" s="43">
        <f>G40+G46</f>
        <v>76023.790000000008</v>
      </c>
      <c r="H47" s="111">
        <v>1</v>
      </c>
      <c r="I47" s="110"/>
      <c r="J47" s="43">
        <f>J40+J46</f>
        <v>491571.75</v>
      </c>
      <c r="K47" s="44"/>
    </row>
    <row r="48" spans="1:14" ht="25.5" x14ac:dyDescent="0.25">
      <c r="A48" s="104"/>
      <c r="B48" s="104"/>
      <c r="C48" s="108" t="s">
        <v>214</v>
      </c>
      <c r="D48" s="104"/>
      <c r="E48" s="109"/>
      <c r="F48" s="110"/>
      <c r="G48" s="43">
        <f>G14+G29+G47</f>
        <v>92625.590000000011</v>
      </c>
      <c r="H48" s="111"/>
      <c r="I48" s="110"/>
      <c r="J48" s="43">
        <f>J14+J29+J47</f>
        <v>1070890.24</v>
      </c>
    </row>
    <row r="49" spans="1:12" ht="38.25" x14ac:dyDescent="0.25">
      <c r="A49" s="104"/>
      <c r="B49" s="104"/>
      <c r="C49" s="108" t="s">
        <v>215</v>
      </c>
      <c r="D49" s="104" t="s">
        <v>216</v>
      </c>
      <c r="E49" s="52">
        <f>ROUND(G49/(G14+G16),2)</f>
        <v>0.98</v>
      </c>
      <c r="F49" s="110"/>
      <c r="G49" s="43">
        <v>11164.49</v>
      </c>
      <c r="H49" s="111"/>
      <c r="I49" s="110"/>
      <c r="J49" s="43">
        <f>ROUND(E49*(J14+J16),2)</f>
        <v>511858.56</v>
      </c>
      <c r="K49" s="53"/>
    </row>
    <row r="50" spans="1:12" ht="25.5" x14ac:dyDescent="0.25">
      <c r="A50" s="104"/>
      <c r="B50" s="104"/>
      <c r="C50" s="108" t="s">
        <v>217</v>
      </c>
      <c r="D50" s="104" t="s">
        <v>216</v>
      </c>
      <c r="E50" s="52">
        <f>ROUND(G50/(G14+G16),2)</f>
        <v>0.56999999999999995</v>
      </c>
      <c r="F50" s="110"/>
      <c r="G50" s="43">
        <v>6467.6</v>
      </c>
      <c r="H50" s="111"/>
      <c r="I50" s="110"/>
      <c r="J50" s="43">
        <f>ROUND(E50*(J14+J16),2)</f>
        <v>297713.65000000002</v>
      </c>
      <c r="K50" s="53"/>
    </row>
    <row r="51" spans="1:12" ht="38.25" x14ac:dyDescent="0.25">
      <c r="A51" s="104"/>
      <c r="B51" s="104"/>
      <c r="C51" s="108" t="s">
        <v>218</v>
      </c>
      <c r="D51" s="104"/>
      <c r="E51" s="109"/>
      <c r="F51" s="110"/>
      <c r="G51" s="43">
        <f>G14+G29+G47+G49+G50</f>
        <v>110257.68000000002</v>
      </c>
      <c r="H51" s="111"/>
      <c r="I51" s="110"/>
      <c r="J51" s="43">
        <f>J14+J29+J47+J49+J50</f>
        <v>1880462.4500000002</v>
      </c>
      <c r="L51" s="54"/>
    </row>
    <row r="52" spans="1:12" ht="51" x14ac:dyDescent="0.25">
      <c r="A52" s="104"/>
      <c r="B52" s="104"/>
      <c r="C52" s="108" t="s">
        <v>219</v>
      </c>
      <c r="D52" s="104"/>
      <c r="E52" s="109"/>
      <c r="F52" s="110"/>
      <c r="G52" s="43">
        <f>G51+G34</f>
        <v>110257.68000000002</v>
      </c>
      <c r="H52" s="111"/>
      <c r="I52" s="110"/>
      <c r="J52" s="43">
        <f>J51+J34</f>
        <v>1880462.4500000002</v>
      </c>
      <c r="L52" s="53"/>
    </row>
    <row r="53" spans="1:12" ht="63.75" x14ac:dyDescent="0.25">
      <c r="A53" s="104"/>
      <c r="B53" s="104"/>
      <c r="C53" s="108" t="s">
        <v>182</v>
      </c>
      <c r="D53" s="104" t="s">
        <v>220</v>
      </c>
      <c r="E53" s="55">
        <f>'Прил.1 Сравнит табл'!D15</f>
        <v>1381</v>
      </c>
      <c r="F53" s="110"/>
      <c r="G53" s="43">
        <f>G52/E53</f>
        <v>79.83901520637221</v>
      </c>
      <c r="H53" s="111"/>
      <c r="I53" s="110"/>
      <c r="J53" s="43">
        <f>J52/E53</f>
        <v>1361.6672338884866</v>
      </c>
      <c r="L53" s="53"/>
    </row>
    <row r="55" spans="1:12" ht="409.5" x14ac:dyDescent="0.25">
      <c r="B55" s="56" t="s">
        <v>221</v>
      </c>
      <c r="C55" s="102" t="s">
        <v>222</v>
      </c>
    </row>
    <row r="58" spans="1:12" x14ac:dyDescent="0.25">
      <c r="A58" s="78"/>
    </row>
    <row r="59" spans="1:12" x14ac:dyDescent="0.25">
      <c r="A59" s="81" t="s">
        <v>42</v>
      </c>
    </row>
    <row r="60" spans="1:12" x14ac:dyDescent="0.25">
      <c r="A60" s="80" t="s">
        <v>43</v>
      </c>
    </row>
    <row r="61" spans="1:12" x14ac:dyDescent="0.25">
      <c r="A61" s="81"/>
    </row>
    <row r="62" spans="1:12" x14ac:dyDescent="0.25">
      <c r="A62" s="81" t="s">
        <v>44</v>
      </c>
    </row>
    <row r="63" spans="1:12" x14ac:dyDescent="0.25">
      <c r="A63" s="80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G19"/>
  <sheetViews>
    <sheetView workbookViewId="0"/>
  </sheetViews>
  <sheetFormatPr defaultRowHeight="15" x14ac:dyDescent="0.25"/>
  <sheetData>
    <row r="1" spans="1:7" x14ac:dyDescent="0.25">
      <c r="A1" s="114" t="s">
        <v>223</v>
      </c>
    </row>
    <row r="2" spans="1:7" x14ac:dyDescent="0.25">
      <c r="A2" s="114"/>
      <c r="B2" s="114"/>
      <c r="C2" s="114"/>
      <c r="D2" s="114"/>
      <c r="E2" s="114"/>
      <c r="F2" s="114"/>
      <c r="G2" s="114"/>
    </row>
    <row r="3" spans="1:7" x14ac:dyDescent="0.25">
      <c r="A3" s="86" t="s">
        <v>224</v>
      </c>
    </row>
    <row r="4" spans="1:7" x14ac:dyDescent="0.25">
      <c r="A4" s="113" t="str">
        <f>'Прил.1 Сравнит табл'!B7</f>
        <v>Наименование разрабатываемого показателя УНЦ - Противоподкопные мероприятия</v>
      </c>
    </row>
    <row r="5" spans="1:7" x14ac:dyDescent="0.25">
      <c r="A5" s="81"/>
      <c r="B5" s="81"/>
      <c r="C5" s="81"/>
      <c r="D5" s="81"/>
      <c r="E5" s="81"/>
      <c r="F5" s="81"/>
      <c r="G5" s="81"/>
    </row>
    <row r="6" spans="1:7" ht="76.5" x14ac:dyDescent="0.25">
      <c r="A6" s="115" t="s">
        <v>191</v>
      </c>
      <c r="B6" s="115" t="s">
        <v>77</v>
      </c>
      <c r="C6" s="115" t="s">
        <v>148</v>
      </c>
      <c r="D6" s="115" t="s">
        <v>79</v>
      </c>
      <c r="E6" s="104" t="s">
        <v>192</v>
      </c>
      <c r="F6" s="115" t="s">
        <v>81</v>
      </c>
      <c r="G6" s="131"/>
    </row>
    <row r="7" spans="1:7" ht="25.5" x14ac:dyDescent="0.25">
      <c r="A7" s="133"/>
      <c r="B7" s="133"/>
      <c r="C7" s="133"/>
      <c r="D7" s="133"/>
      <c r="E7" s="133"/>
      <c r="F7" s="104" t="s">
        <v>195</v>
      </c>
      <c r="G7" s="104" t="s">
        <v>83</v>
      </c>
    </row>
    <row r="8" spans="1:7" x14ac:dyDescent="0.25">
      <c r="A8" s="104">
        <v>1</v>
      </c>
      <c r="B8" s="104">
        <v>2</v>
      </c>
      <c r="C8" s="104">
        <v>3</v>
      </c>
      <c r="D8" s="104">
        <v>4</v>
      </c>
      <c r="E8" s="104">
        <v>5</v>
      </c>
      <c r="F8" s="104">
        <v>6</v>
      </c>
      <c r="G8" s="104">
        <v>7</v>
      </c>
    </row>
    <row r="9" spans="1:7" ht="51" x14ac:dyDescent="0.25">
      <c r="A9" s="37"/>
      <c r="B9" s="108" t="s">
        <v>225</v>
      </c>
      <c r="C9" s="130"/>
      <c r="D9" s="130"/>
      <c r="E9" s="130"/>
      <c r="F9" s="130"/>
      <c r="G9" s="131"/>
    </row>
    <row r="10" spans="1:7" ht="63.75" x14ac:dyDescent="0.25">
      <c r="A10" s="104"/>
      <c r="B10" s="98"/>
      <c r="C10" s="108" t="s">
        <v>226</v>
      </c>
      <c r="D10" s="98"/>
      <c r="E10" s="1"/>
      <c r="F10" s="110"/>
      <c r="G10" s="110">
        <v>0</v>
      </c>
    </row>
    <row r="11" spans="1:7" ht="63.75" x14ac:dyDescent="0.25">
      <c r="A11" s="104"/>
      <c r="B11" s="108" t="s">
        <v>227</v>
      </c>
      <c r="C11" s="130"/>
      <c r="D11" s="130"/>
      <c r="E11" s="130"/>
      <c r="F11" s="130"/>
      <c r="G11" s="131"/>
    </row>
    <row r="12" spans="1:7" ht="76.5" x14ac:dyDescent="0.25">
      <c r="A12" s="104"/>
      <c r="B12" s="3"/>
      <c r="C12" s="3" t="s">
        <v>228</v>
      </c>
      <c r="D12" s="3"/>
      <c r="E12" s="4"/>
      <c r="F12" s="110"/>
      <c r="G12" s="43">
        <v>0</v>
      </c>
    </row>
    <row r="13" spans="1:7" ht="51" x14ac:dyDescent="0.25">
      <c r="A13" s="104"/>
      <c r="B13" s="108"/>
      <c r="C13" s="108" t="s">
        <v>229</v>
      </c>
      <c r="D13" s="108"/>
      <c r="E13" s="112"/>
      <c r="F13" s="110"/>
      <c r="G13" s="43">
        <f>G10+G12</f>
        <v>0</v>
      </c>
    </row>
    <row r="14" spans="1:7" x14ac:dyDescent="0.25">
      <c r="A14" s="78"/>
      <c r="B14" s="2"/>
      <c r="C14" s="78"/>
      <c r="D14" s="78"/>
      <c r="E14" s="78"/>
      <c r="F14" s="78"/>
      <c r="G14" s="78"/>
    </row>
    <row r="15" spans="1:7" x14ac:dyDescent="0.25">
      <c r="A15" s="81" t="s">
        <v>42</v>
      </c>
      <c r="B15" s="79"/>
      <c r="C15" s="79"/>
      <c r="D15" s="78"/>
      <c r="E15" s="78"/>
      <c r="F15" s="78"/>
      <c r="G15" s="78"/>
    </row>
    <row r="16" spans="1:7" x14ac:dyDescent="0.25">
      <c r="A16" s="80" t="s">
        <v>43</v>
      </c>
      <c r="B16" s="79"/>
      <c r="C16" s="79"/>
      <c r="D16" s="78"/>
      <c r="E16" s="78"/>
      <c r="F16" s="78"/>
      <c r="G16" s="78"/>
    </row>
    <row r="17" spans="1:7" x14ac:dyDescent="0.25">
      <c r="A17" s="81"/>
      <c r="B17" s="79"/>
      <c r="C17" s="79"/>
      <c r="D17" s="78"/>
      <c r="E17" s="78"/>
      <c r="F17" s="78"/>
      <c r="G17" s="78"/>
    </row>
    <row r="18" spans="1:7" x14ac:dyDescent="0.25">
      <c r="A18" s="81" t="s">
        <v>44</v>
      </c>
      <c r="B18" s="79"/>
      <c r="C18" s="79"/>
      <c r="D18" s="78"/>
      <c r="E18" s="78"/>
      <c r="F18" s="78"/>
      <c r="G18" s="78"/>
    </row>
    <row r="19" spans="1:7" x14ac:dyDescent="0.25">
      <c r="A19" s="80" t="s">
        <v>45</v>
      </c>
      <c r="B19" s="79"/>
      <c r="C19" s="79"/>
      <c r="D19" s="78"/>
      <c r="E19" s="78"/>
      <c r="F19" s="78"/>
      <c r="G19" s="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D17"/>
  <sheetViews>
    <sheetView workbookViewId="0"/>
  </sheetViews>
  <sheetFormatPr defaultRowHeight="15" x14ac:dyDescent="0.25"/>
  <sheetData>
    <row r="1" spans="1:4" ht="15.75" x14ac:dyDescent="0.25">
      <c r="A1" s="84"/>
      <c r="B1" s="84"/>
      <c r="C1" s="84"/>
      <c r="D1" s="84" t="s">
        <v>230</v>
      </c>
    </row>
    <row r="2" spans="1:4" ht="15.75" x14ac:dyDescent="0.25">
      <c r="A2" s="84"/>
      <c r="B2" s="84"/>
      <c r="C2" s="84"/>
      <c r="D2" s="84"/>
    </row>
    <row r="3" spans="1:4" ht="15.75" x14ac:dyDescent="0.25">
      <c r="A3" s="84"/>
      <c r="B3" s="85" t="s">
        <v>231</v>
      </c>
      <c r="C3" s="84"/>
      <c r="D3" s="84"/>
    </row>
    <row r="4" spans="1:4" ht="15.75" x14ac:dyDescent="0.25">
      <c r="A4" s="84"/>
      <c r="B4" s="84"/>
      <c r="C4" s="84"/>
      <c r="D4" s="84"/>
    </row>
    <row r="5" spans="1:4" ht="126" x14ac:dyDescent="0.25">
      <c r="A5" s="116" t="s">
        <v>189</v>
      </c>
      <c r="D5" s="116" t="str">
        <f>'Прил.5 Расчет СМР и ОБ'!D6:J6</f>
        <v>Противоподкопные мероприятия</v>
      </c>
    </row>
    <row r="6" spans="1:4" ht="15.75" x14ac:dyDescent="0.25">
      <c r="A6" s="84" t="s">
        <v>232</v>
      </c>
      <c r="B6" s="84"/>
      <c r="C6" s="84"/>
      <c r="D6" s="84"/>
    </row>
    <row r="7" spans="1:4" ht="15.75" x14ac:dyDescent="0.25">
      <c r="A7" s="84"/>
      <c r="B7" s="84"/>
      <c r="C7" s="84"/>
      <c r="D7" s="84"/>
    </row>
    <row r="8" spans="1:4" ht="126" x14ac:dyDescent="0.25">
      <c r="A8" s="93" t="s">
        <v>233</v>
      </c>
      <c r="B8" s="93" t="s">
        <v>234</v>
      </c>
      <c r="C8" s="93" t="s">
        <v>235</v>
      </c>
      <c r="D8" s="93" t="s">
        <v>236</v>
      </c>
    </row>
    <row r="9" spans="1:4" x14ac:dyDescent="0.25">
      <c r="A9" s="133"/>
      <c r="B9" s="133"/>
      <c r="C9" s="133"/>
      <c r="D9" s="133"/>
    </row>
    <row r="10" spans="1:4" ht="15.75" x14ac:dyDescent="0.25">
      <c r="A10" s="93">
        <v>1</v>
      </c>
      <c r="B10" s="93">
        <v>2</v>
      </c>
      <c r="C10" s="93">
        <v>3</v>
      </c>
      <c r="D10" s="93">
        <v>4</v>
      </c>
    </row>
    <row r="11" spans="1:4" ht="78.75" x14ac:dyDescent="0.25">
      <c r="A11" s="93" t="s">
        <v>237</v>
      </c>
      <c r="B11" s="93" t="s">
        <v>238</v>
      </c>
      <c r="C11" s="83" t="str">
        <f>D5</f>
        <v>Противоподкопные мероприятия</v>
      </c>
      <c r="D11" s="82">
        <f>'Прил.4 РМ'!C41/1000</f>
        <v>1.5226318682114408</v>
      </c>
    </row>
    <row r="13" spans="1:4" x14ac:dyDescent="0.25">
      <c r="A13" s="81" t="s">
        <v>239</v>
      </c>
      <c r="B13" s="79"/>
      <c r="C13" s="79"/>
      <c r="D13" s="78"/>
    </row>
    <row r="14" spans="1:4" x14ac:dyDescent="0.25">
      <c r="A14" s="80" t="s">
        <v>43</v>
      </c>
      <c r="B14" s="79"/>
      <c r="C14" s="79"/>
      <c r="D14" s="78"/>
    </row>
    <row r="15" spans="1:4" x14ac:dyDescent="0.25">
      <c r="A15" s="81"/>
      <c r="B15" s="79"/>
      <c r="C15" s="79"/>
      <c r="D15" s="78"/>
    </row>
    <row r="16" spans="1:4" x14ac:dyDescent="0.25">
      <c r="A16" s="81" t="s">
        <v>44</v>
      </c>
      <c r="B16" s="79"/>
      <c r="C16" s="79"/>
      <c r="D16" s="78"/>
    </row>
    <row r="17" spans="1:4" x14ac:dyDescent="0.25">
      <c r="A17" s="80" t="s">
        <v>45</v>
      </c>
      <c r="B17" s="79"/>
      <c r="C17" s="79"/>
      <c r="D17" s="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4:D30"/>
  <sheetViews>
    <sheetView workbookViewId="0"/>
  </sheetViews>
  <sheetFormatPr defaultRowHeight="15" x14ac:dyDescent="0.25"/>
  <sheetData>
    <row r="4" spans="2:4" ht="15.75" x14ac:dyDescent="0.25">
      <c r="B4" s="89" t="s">
        <v>240</v>
      </c>
    </row>
    <row r="5" spans="2:4" ht="18.75" x14ac:dyDescent="0.25">
      <c r="B5" s="15"/>
    </row>
    <row r="6" spans="2:4" ht="15.75" x14ac:dyDescent="0.25">
      <c r="B6" s="95" t="s">
        <v>241</v>
      </c>
    </row>
    <row r="7" spans="2:4" ht="18.75" x14ac:dyDescent="0.25">
      <c r="B7" s="60"/>
    </row>
    <row r="8" spans="2:4" ht="157.5" x14ac:dyDescent="0.25">
      <c r="B8" s="93" t="s">
        <v>242</v>
      </c>
      <c r="C8" s="93" t="s">
        <v>243</v>
      </c>
      <c r="D8" s="93" t="s">
        <v>244</v>
      </c>
    </row>
    <row r="9" spans="2:4" ht="15.75" x14ac:dyDescent="0.25">
      <c r="B9" s="93">
        <v>1</v>
      </c>
      <c r="C9" s="93">
        <v>2</v>
      </c>
      <c r="D9" s="93">
        <v>3</v>
      </c>
    </row>
    <row r="10" spans="2:4" ht="157.5" x14ac:dyDescent="0.25">
      <c r="B10" s="93" t="s">
        <v>245</v>
      </c>
      <c r="C10" s="93" t="s">
        <v>246</v>
      </c>
      <c r="D10" s="93">
        <v>44.29</v>
      </c>
    </row>
    <row r="11" spans="2:4" ht="157.5" x14ac:dyDescent="0.25">
      <c r="B11" s="93" t="s">
        <v>247</v>
      </c>
      <c r="C11" s="93" t="s">
        <v>246</v>
      </c>
      <c r="D11" s="93">
        <v>13.47</v>
      </c>
    </row>
    <row r="12" spans="2:4" ht="157.5" x14ac:dyDescent="0.25">
      <c r="B12" s="93" t="s">
        <v>248</v>
      </c>
      <c r="C12" s="93" t="s">
        <v>246</v>
      </c>
      <c r="D12" s="93">
        <v>8.0399999999999991</v>
      </c>
    </row>
    <row r="13" spans="2:4" ht="157.5" x14ac:dyDescent="0.25">
      <c r="B13" s="93" t="s">
        <v>249</v>
      </c>
      <c r="C13" s="24" t="s">
        <v>250</v>
      </c>
      <c r="D13" s="93">
        <v>6.26</v>
      </c>
    </row>
    <row r="14" spans="2:4" ht="393.75" x14ac:dyDescent="0.25">
      <c r="B14" s="93" t="s">
        <v>251</v>
      </c>
      <c r="C14" s="93" t="s">
        <v>252</v>
      </c>
      <c r="D14" s="25">
        <v>3.9E-2</v>
      </c>
    </row>
    <row r="15" spans="2:4" ht="409.5" x14ac:dyDescent="0.25">
      <c r="B15" s="93" t="s">
        <v>253</v>
      </c>
      <c r="C15" s="93" t="s">
        <v>254</v>
      </c>
      <c r="D15" s="25">
        <v>2.1000000000000001E-2</v>
      </c>
    </row>
    <row r="16" spans="2:4" ht="63" x14ac:dyDescent="0.25">
      <c r="B16" s="93" t="s">
        <v>172</v>
      </c>
      <c r="C16" s="93"/>
      <c r="D16" s="93" t="s">
        <v>255</v>
      </c>
    </row>
    <row r="17" spans="2:4" ht="110.25" x14ac:dyDescent="0.25">
      <c r="B17" s="93" t="s">
        <v>256</v>
      </c>
      <c r="C17" s="93" t="s">
        <v>257</v>
      </c>
      <c r="D17" s="25">
        <v>2.1399999999999999E-2</v>
      </c>
    </row>
    <row r="18" spans="2:4" ht="94.5" x14ac:dyDescent="0.25">
      <c r="B18" s="93" t="s">
        <v>178</v>
      </c>
      <c r="C18" s="93" t="s">
        <v>258</v>
      </c>
      <c r="D18" s="25">
        <v>2E-3</v>
      </c>
    </row>
    <row r="19" spans="2:4" ht="94.5" x14ac:dyDescent="0.25">
      <c r="B19" s="93" t="s">
        <v>180</v>
      </c>
      <c r="C19" s="93" t="s">
        <v>259</v>
      </c>
      <c r="D19" s="25">
        <v>0.03</v>
      </c>
    </row>
    <row r="20" spans="2:4" ht="18.75" x14ac:dyDescent="0.25">
      <c r="B20" s="60"/>
    </row>
    <row r="21" spans="2:4" ht="18.75" x14ac:dyDescent="0.25">
      <c r="B21" s="60"/>
    </row>
    <row r="22" spans="2:4" ht="18.75" x14ac:dyDescent="0.25">
      <c r="B22" s="60"/>
    </row>
    <row r="23" spans="2:4" ht="18.75" x14ac:dyDescent="0.25">
      <c r="B23" s="60"/>
    </row>
    <row r="26" spans="2:4" x14ac:dyDescent="0.25">
      <c r="B26" s="81" t="s">
        <v>42</v>
      </c>
      <c r="C26" s="79"/>
    </row>
    <row r="27" spans="2:4" x14ac:dyDescent="0.25">
      <c r="B27" s="80" t="s">
        <v>43</v>
      </c>
      <c r="C27" s="79"/>
    </row>
    <row r="28" spans="2:4" x14ac:dyDescent="0.25">
      <c r="B28" s="81"/>
      <c r="C28" s="79"/>
    </row>
    <row r="29" spans="2:4" x14ac:dyDescent="0.25">
      <c r="B29" s="81" t="s">
        <v>44</v>
      </c>
      <c r="C29" s="79"/>
    </row>
    <row r="30" spans="2:4" x14ac:dyDescent="0.25">
      <c r="B30" s="80" t="s">
        <v>45</v>
      </c>
      <c r="C30" s="7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G13"/>
  <sheetViews>
    <sheetView workbookViewId="0"/>
  </sheetViews>
  <sheetFormatPr defaultRowHeight="15" x14ac:dyDescent="0.25"/>
  <sheetData>
    <row r="2" spans="1:7" x14ac:dyDescent="0.25">
      <c r="A2" s="117" t="s">
        <v>260</v>
      </c>
    </row>
    <row r="4" spans="1:7" x14ac:dyDescent="0.25">
      <c r="A4" s="9" t="s">
        <v>261</v>
      </c>
    </row>
    <row r="5" spans="1:7" x14ac:dyDescent="0.25">
      <c r="A5" s="120" t="s">
        <v>191</v>
      </c>
      <c r="B5" s="120" t="s">
        <v>262</v>
      </c>
      <c r="C5" s="120" t="s">
        <v>263</v>
      </c>
      <c r="D5" s="120" t="s">
        <v>264</v>
      </c>
      <c r="E5" s="120" t="s">
        <v>265</v>
      </c>
      <c r="F5" s="120" t="s">
        <v>266</v>
      </c>
    </row>
    <row r="6" spans="1:7" x14ac:dyDescent="0.25">
      <c r="A6" s="120">
        <v>1</v>
      </c>
      <c r="B6" s="120">
        <v>2</v>
      </c>
      <c r="C6" s="120">
        <v>3</v>
      </c>
      <c r="D6" s="120">
        <v>4</v>
      </c>
      <c r="E6" s="120">
        <v>5</v>
      </c>
      <c r="F6" s="120">
        <v>6</v>
      </c>
    </row>
    <row r="7" spans="1:7" ht="409.5" x14ac:dyDescent="0.25">
      <c r="A7" s="10" t="s">
        <v>267</v>
      </c>
      <c r="B7" s="23" t="s">
        <v>268</v>
      </c>
      <c r="C7" s="119" t="s">
        <v>269</v>
      </c>
      <c r="D7" s="119" t="s">
        <v>67</v>
      </c>
      <c r="E7" s="22">
        <v>47872.94</v>
      </c>
      <c r="F7" s="23" t="s">
        <v>270</v>
      </c>
    </row>
    <row r="8" spans="1:7" ht="180" x14ac:dyDescent="0.25">
      <c r="A8" s="10" t="s">
        <v>271</v>
      </c>
      <c r="B8" s="23" t="s">
        <v>272</v>
      </c>
      <c r="C8" s="119" t="s">
        <v>273</v>
      </c>
      <c r="D8" s="119" t="s">
        <v>274</v>
      </c>
      <c r="E8" s="22">
        <f>1973/12</f>
        <v>164.41666666666666</v>
      </c>
      <c r="F8" s="23" t="s">
        <v>275</v>
      </c>
      <c r="G8" s="11"/>
    </row>
    <row r="9" spans="1:7" ht="60" x14ac:dyDescent="0.25">
      <c r="A9" s="10" t="s">
        <v>276</v>
      </c>
      <c r="B9" s="23" t="s">
        <v>277</v>
      </c>
      <c r="C9" s="119" t="s">
        <v>278</v>
      </c>
      <c r="D9" s="119" t="s">
        <v>67</v>
      </c>
      <c r="E9" s="22">
        <v>1</v>
      </c>
      <c r="F9" s="23"/>
      <c r="G9" s="12"/>
    </row>
    <row r="10" spans="1:7" ht="45" x14ac:dyDescent="0.25">
      <c r="A10" s="10" t="s">
        <v>279</v>
      </c>
      <c r="B10" s="23" t="s">
        <v>280</v>
      </c>
      <c r="C10" s="119"/>
      <c r="D10" s="119"/>
      <c r="E10" s="13">
        <v>4.7</v>
      </c>
      <c r="F10" s="23" t="s">
        <v>281</v>
      </c>
      <c r="G10" s="12"/>
    </row>
    <row r="11" spans="1:7" ht="360" x14ac:dyDescent="0.25">
      <c r="A11" s="10" t="s">
        <v>282</v>
      </c>
      <c r="B11" s="23" t="s">
        <v>283</v>
      </c>
      <c r="C11" s="119" t="s">
        <v>284</v>
      </c>
      <c r="D11" s="119" t="s">
        <v>67</v>
      </c>
      <c r="E11" s="14">
        <v>1.4810000000000001</v>
      </c>
      <c r="F11" s="23" t="s">
        <v>285</v>
      </c>
    </row>
    <row r="12" spans="1:7" ht="360" x14ac:dyDescent="0.25">
      <c r="A12" s="122" t="s">
        <v>286</v>
      </c>
      <c r="B12" s="121" t="s">
        <v>287</v>
      </c>
      <c r="C12" s="118" t="s">
        <v>288</v>
      </c>
      <c r="D12" s="118" t="s">
        <v>67</v>
      </c>
      <c r="E12" s="123">
        <v>1.139</v>
      </c>
      <c r="F12" s="124" t="s">
        <v>289</v>
      </c>
      <c r="G12" s="12" t="s">
        <v>290</v>
      </c>
    </row>
    <row r="13" spans="1:7" ht="345" x14ac:dyDescent="0.25">
      <c r="A13" s="125" t="s">
        <v>291</v>
      </c>
      <c r="B13" s="126" t="s">
        <v>292</v>
      </c>
      <c r="C13" s="127" t="s">
        <v>293</v>
      </c>
      <c r="D13" s="127" t="s">
        <v>294</v>
      </c>
      <c r="E13" s="128">
        <f>((E7*E9/E8)*E11)*E12</f>
        <v>491.16005896883939</v>
      </c>
      <c r="F13" s="129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D.Stromov</dc:creator>
  <cp:lastModifiedBy>D.Stromov</cp:lastModifiedBy>
  <dcterms:created xsi:type="dcterms:W3CDTF">2025-02-06T10:04:45Z</dcterms:created>
  <dcterms:modified xsi:type="dcterms:W3CDTF">2025-02-06T10:04:46Z</dcterms:modified>
</cp:coreProperties>
</file>