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625" tabRatio="891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#REF!</definedName>
    <definedName name="Нсапк" localSheetId="0">#REF!</definedName>
    <definedName name="Нсстр" localSheetId="0">#REF!</definedName>
    <definedName name="Разработка_проекта__Строительство_подземного_пешеходного_перехода_у_ст._метро__Гражданский_проспект" localSheetId="0">#REF!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#REF!</definedName>
    <definedName name="ЭКСПОФОРУМ" localSheetId="0">#REF!</definedName>
    <definedName name="_Hlk133322969" localSheetId="1">'Прил.2 Расч стоим'!$B$4</definedName>
    <definedName name="_Toc132270799" localSheetId="2">'Прил. 3'!$A$3</definedName>
    <definedName name="_xlnm.Print_Titles" localSheetId="2">'Прил. 3'!$9:$11</definedName>
    <definedName name="_xlnm.Print_Area" localSheetId="2">'Прил. 3'!$A$1:$H$106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ОБ'!$A$1:$J$116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\ _₽_-;\-* #,##0.00\ _₽_-;_-* &quot;-&quot;??\ _₽_-;_-@_-"/>
    <numFmt numFmtId="166" formatCode="#,##0.0000"/>
    <numFmt numFmtId="167" formatCode="#,##0.00000"/>
    <numFmt numFmtId="168" formatCode="#,##0.0"/>
    <numFmt numFmtId="169" formatCode="#,##0.000"/>
    <numFmt numFmtId="170" formatCode="0.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1"/>
    </font>
    <font>
      <name val="Arial"/>
      <i val="1"/>
      <color rgb="FF000000"/>
      <sz val="9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/>
    </xf>
    <xf numFmtId="43" fontId="1" fillId="0" borderId="1" applyAlignment="1" pivotButton="0" quotePrefix="0" xfId="0">
      <alignment horizontal="right" vertical="top" wrapText="1"/>
    </xf>
    <xf numFmtId="10" fontId="17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center" wrapText="1"/>
    </xf>
    <xf numFmtId="2" fontId="19" fillId="4" borderId="1" applyAlignment="1" pivotButton="0" quotePrefix="0" xfId="0">
      <alignment horizontal="center" vertical="center" wrapText="1"/>
    </xf>
    <xf numFmtId="2" fontId="19" fillId="4" borderId="1" applyAlignment="1" pivotButton="0" quotePrefix="0" xfId="0">
      <alignment horizontal="right" vertical="center" wrapText="1"/>
    </xf>
    <xf numFmtId="43" fontId="19" fillId="4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7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vertical="center" wrapText="1"/>
    </xf>
    <xf numFmtId="0" fontId="0" fillId="0" borderId="1" pivotButton="0" quotePrefix="0" xfId="0"/>
    <xf numFmtId="0" fontId="0" fillId="0" borderId="0" pivotButton="0" quotePrefix="0" xfId="0"/>
    <xf numFmtId="165" fontId="0" fillId="0" borderId="0" pivotButton="0" quotePrefix="0" xfId="0"/>
    <xf numFmtId="0" fontId="11" fillId="0" borderId="0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3" fontId="4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5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0" fontId="0" fillId="0" borderId="0" pivotButton="0" quotePrefix="0" xfId="0"/>
    <xf numFmtId="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4" fontId="2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7" fillId="0" borderId="1" applyAlignment="1" pivotButton="0" quotePrefix="0" xfId="0">
      <alignment horizontal="center" vertical="center"/>
    </xf>
    <xf numFmtId="169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8" fillId="0" borderId="4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23" fillId="0" borderId="4" applyAlignment="1" pivotButton="0" quotePrefix="0" xfId="0">
      <alignment horizontal="right" vertical="center" wrapText="1"/>
    </xf>
    <xf numFmtId="0" fontId="23" fillId="0" borderId="1" applyAlignment="1" pivotButton="0" quotePrefix="0" xfId="0">
      <alignment horizontal="right" vertical="center" wrapText="1"/>
    </xf>
    <xf numFmtId="0" fontId="23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8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0" fontId="17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0" fillId="0" borderId="0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10" applyAlignment="1" pivotButton="0" quotePrefix="0" xfId="0">
      <alignment horizontal="center" vertical="center"/>
    </xf>
    <xf numFmtId="0" fontId="23" fillId="0" borderId="10" applyAlignment="1" pivotButton="0" quotePrefix="0" xfId="0">
      <alignment vertical="center" wrapText="1"/>
    </xf>
    <xf numFmtId="0" fontId="17" fillId="0" borderId="10" applyAlignment="1" pivotButton="0" quotePrefix="0" xfId="0">
      <alignment horizontal="center" vertical="center" wrapText="1"/>
    </xf>
    <xf numFmtId="4" fontId="23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left" vertical="center" wrapText="1"/>
    </xf>
    <xf numFmtId="43" fontId="19" fillId="4" borderId="1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5" fontId="0" fillId="0" borderId="0" pivotButton="0" quotePrefix="0" xfId="0"/>
    <xf numFmtId="43" fontId="0" fillId="0" borderId="0" pivotButton="0" quotePrefix="0" xfId="0"/>
    <xf numFmtId="43" fontId="4" fillId="0" borderId="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6" zoomScale="60" zoomScaleNormal="85" workbookViewId="0">
      <selection activeCell="C26" sqref="C26"/>
    </sheetView>
  </sheetViews>
  <sheetFormatPr baseColWidth="8" defaultColWidth="9" defaultRowHeight="15"/>
  <cols>
    <col width="9" customWidth="1" style="289" min="1" max="2"/>
    <col width="36.85546875" customWidth="1" style="289" min="3" max="3"/>
    <col width="39.42578125" customWidth="1" style="289" min="4" max="4"/>
    <col width="9" customWidth="1" style="289" min="5" max="5"/>
  </cols>
  <sheetData>
    <row r="3" ht="15.75" customHeight="1" s="289">
      <c r="B3" s="317" t="inlineStr">
        <is>
          <t>Приложение № 1</t>
        </is>
      </c>
    </row>
    <row r="4" ht="18.75" customHeight="1" s="289">
      <c r="B4" s="318" t="inlineStr">
        <is>
          <t>Сравнительная таблица отбора объекта-представителя</t>
        </is>
      </c>
    </row>
    <row r="5" ht="84.2" customHeight="1" s="289">
      <c r="B5" s="31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89">
      <c r="B6" s="189" t="n"/>
      <c r="C6" s="189" t="n"/>
      <c r="D6" s="189" t="n"/>
    </row>
    <row r="7" ht="36" customHeight="1" s="289">
      <c r="B7" s="316" t="inlineStr">
        <is>
          <t>Наименование разрабатываемого показателя УНЦ - Ограждение внутреннее сетчатое</t>
        </is>
      </c>
    </row>
    <row r="8" ht="31.7" customHeight="1" s="289">
      <c r="B8" s="316" t="inlineStr">
        <is>
          <t>Сопоставимый уровень цен: 2 квартал 2015 г</t>
        </is>
      </c>
    </row>
    <row r="9" ht="15.75" customHeight="1" s="289">
      <c r="B9" s="316" t="inlineStr">
        <is>
          <t xml:space="preserve">Единица измерения  — 1 м </t>
        </is>
      </c>
    </row>
    <row r="10" ht="18.75" customHeight="1" s="289">
      <c r="B10" s="190" t="n"/>
    </row>
    <row r="11" ht="15.75" customHeight="1" s="289">
      <c r="B11" s="323" t="inlineStr">
        <is>
          <t>№ п/п</t>
        </is>
      </c>
      <c r="C11" s="323" t="inlineStr">
        <is>
          <t>Параметр</t>
        </is>
      </c>
      <c r="D11" s="323" t="inlineStr">
        <is>
          <t>Объект-представитель</t>
        </is>
      </c>
    </row>
    <row r="12" ht="31.7" customHeight="1" s="289">
      <c r="B12" s="323" t="n">
        <v>1</v>
      </c>
      <c r="C12" s="191" t="inlineStr">
        <is>
          <t>Наименование объекта-представителя</t>
        </is>
      </c>
      <c r="D12" s="270" t="inlineStr">
        <is>
          <t>ПС 220 кВ Орская</t>
        </is>
      </c>
    </row>
    <row r="13" ht="31.7" customHeight="1" s="289">
      <c r="B13" s="323" t="n">
        <v>2</v>
      </c>
      <c r="C13" s="191" t="inlineStr">
        <is>
          <t>Наименование субъекта Российской Федерации</t>
        </is>
      </c>
      <c r="D13" s="270" t="inlineStr">
        <is>
          <t>Оренбургская область</t>
        </is>
      </c>
    </row>
    <row r="14" ht="15.75" customHeight="1" s="289">
      <c r="B14" s="323" t="n">
        <v>3</v>
      </c>
      <c r="C14" s="191" t="inlineStr">
        <is>
          <t>Климатический район и подрайон</t>
        </is>
      </c>
      <c r="D14" s="270" t="inlineStr">
        <is>
          <t>IВ</t>
        </is>
      </c>
    </row>
    <row r="15" ht="15.75" customHeight="1" s="289">
      <c r="B15" s="323" t="n">
        <v>4</v>
      </c>
      <c r="C15" s="191" t="inlineStr">
        <is>
          <t>Мощность объекта</t>
        </is>
      </c>
      <c r="D15" s="273" t="n">
        <v>662</v>
      </c>
    </row>
    <row r="16" ht="94.7" customHeight="1" s="289">
      <c r="B16" s="323" t="n">
        <v>5</v>
      </c>
      <c r="C16" s="18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3" t="inlineStr">
        <is>
          <t>Внутреннее ограждение</t>
        </is>
      </c>
    </row>
    <row r="17" ht="78.75" customHeight="1" s="289">
      <c r="B17" s="323" t="n">
        <v>6</v>
      </c>
      <c r="C17" s="18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407">
        <f>D18</f>
        <v/>
      </c>
    </row>
    <row r="18" ht="15.75" customHeight="1" s="289">
      <c r="B18" s="179" t="inlineStr">
        <is>
          <t>6.1</t>
        </is>
      </c>
      <c r="C18" s="191" t="inlineStr">
        <is>
          <t>строительно-монтажные работы</t>
        </is>
      </c>
      <c r="D18" s="407">
        <f>'Прил.2 Расч стоим'!F12</f>
        <v/>
      </c>
    </row>
    <row r="19" ht="15.75" customHeight="1" s="289">
      <c r="B19" s="179" t="inlineStr">
        <is>
          <t>6.2</t>
        </is>
      </c>
      <c r="C19" s="191" t="inlineStr">
        <is>
          <t>оборудование и инвентарь</t>
        </is>
      </c>
      <c r="D19" s="407" t="n"/>
    </row>
    <row r="20" ht="15.75" customHeight="1" s="289">
      <c r="B20" s="179" t="inlineStr">
        <is>
          <t>6.3</t>
        </is>
      </c>
      <c r="C20" s="191" t="inlineStr">
        <is>
          <t>пусконаладочные работы</t>
        </is>
      </c>
      <c r="D20" s="407" t="n"/>
    </row>
    <row r="21" ht="15.75" customHeight="1" s="289">
      <c r="B21" s="179" t="inlineStr">
        <is>
          <t>6.4</t>
        </is>
      </c>
      <c r="C21" s="191" t="inlineStr">
        <is>
          <t>прочие и лимитированные затраты</t>
        </is>
      </c>
      <c r="D21" s="407" t="n"/>
    </row>
    <row r="22" ht="15.75" customHeight="1" s="289">
      <c r="B22" s="323" t="n">
        <v>7</v>
      </c>
      <c r="C22" s="191" t="inlineStr">
        <is>
          <t>Сопоставимый уровень цен</t>
        </is>
      </c>
      <c r="D22" s="192" t="inlineStr">
        <is>
          <t>2 квартал 2015 г</t>
        </is>
      </c>
    </row>
    <row r="23" ht="110.25" customHeight="1" s="289">
      <c r="B23" s="323" t="n">
        <v>8</v>
      </c>
      <c r="C23" s="18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3">
        <f>D17</f>
        <v/>
      </c>
    </row>
    <row r="24" ht="47.25" customHeight="1" s="289">
      <c r="B24" s="323" t="n">
        <v>9</v>
      </c>
      <c r="C24" s="186" t="inlineStr">
        <is>
          <t>Приведенная сметная стоимость на единицу мощности, тыс. руб. (строка 8/строку 4)</t>
        </is>
      </c>
      <c r="D24" s="193">
        <f>D23/D15</f>
        <v/>
      </c>
    </row>
    <row r="25" ht="37.5" customHeight="1" s="289">
      <c r="B25" s="174" t="n"/>
      <c r="C25" s="175" t="n"/>
      <c r="D25" s="175" t="n"/>
    </row>
    <row r="26">
      <c r="B26" s="280" t="inlineStr">
        <is>
          <t>Составил ______________________        Е.А. Князева</t>
        </is>
      </c>
      <c r="C26" s="287" t="n"/>
    </row>
    <row r="27">
      <c r="B27" s="288" t="inlineStr">
        <is>
          <t xml:space="preserve">                         (подпись, инициалы, фамилия)</t>
        </is>
      </c>
      <c r="C27" s="287" t="n"/>
    </row>
    <row r="28">
      <c r="B28" s="280" t="n"/>
      <c r="C28" s="287" t="n"/>
    </row>
    <row r="29">
      <c r="B29" s="280" t="inlineStr">
        <is>
          <t>Проверил ______________________        А.В. Костянецкая</t>
        </is>
      </c>
      <c r="C29" s="287" t="n"/>
    </row>
    <row r="30">
      <c r="B30" s="288" t="inlineStr">
        <is>
          <t xml:space="preserve">                        (подпись, инициалы, фамилия)</t>
        </is>
      </c>
      <c r="C30" s="287" t="n"/>
    </row>
    <row r="31" ht="15.75" customHeight="1" s="289">
      <c r="B31" s="175" t="n"/>
      <c r="C31" s="175" t="n"/>
      <c r="D31" s="175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70" workbookViewId="0">
      <selection activeCell="G19" sqref="G19"/>
    </sheetView>
  </sheetViews>
  <sheetFormatPr baseColWidth="8" defaultRowHeight="15"/>
  <cols>
    <col width="5.5703125" customWidth="1" style="289" min="1" max="1"/>
    <col width="35.28515625" customWidth="1" style="289" min="3" max="3"/>
    <col width="13.85546875" customWidth="1" style="289" min="4" max="4"/>
    <col width="17.42578125" customWidth="1" style="289" min="5" max="5"/>
    <col width="12.7109375" customWidth="1" style="289" min="6" max="6"/>
    <col width="14.85546875" customWidth="1" style="289" min="7" max="7"/>
    <col width="16.7109375" customWidth="1" style="289" min="8" max="8"/>
    <col width="13" customWidth="1" style="289" min="9" max="10"/>
    <col width="18" customWidth="1" style="289" min="11" max="11"/>
  </cols>
  <sheetData>
    <row r="3" ht="15.75" customHeight="1" s="289">
      <c r="B3" s="317" t="inlineStr">
        <is>
          <t>Приложение № 2</t>
        </is>
      </c>
    </row>
    <row r="4" ht="15.75" customHeight="1" s="289">
      <c r="B4" s="322" t="inlineStr">
        <is>
          <t>Расчет стоимости основных видов работ для выбора объекта-представителя</t>
        </is>
      </c>
    </row>
    <row r="5" ht="15.75" customHeight="1" s="289"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</row>
    <row r="6" ht="15.75" customHeight="1" s="289">
      <c r="B6" s="316" t="inlineStr">
        <is>
          <t>Наименование разрабатываемого показателя УНЦ - Ограждение внутреннее сетчатое</t>
        </is>
      </c>
    </row>
    <row r="7" ht="15.75" customHeight="1" s="289">
      <c r="B7" s="316">
        <f>'Прил.1 Сравнит табл'!B9:D9</f>
        <v/>
      </c>
    </row>
    <row r="8" ht="18.75" customHeight="1" s="289">
      <c r="B8" s="190" t="n"/>
    </row>
    <row r="9" ht="15.75" customHeight="1" s="289">
      <c r="B9" s="323" t="inlineStr">
        <is>
          <t>№ п/п</t>
        </is>
      </c>
      <c r="C9" s="32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3" t="inlineStr">
        <is>
          <t>Объект-представитель 1</t>
        </is>
      </c>
      <c r="E9" s="408" t="n"/>
      <c r="F9" s="408" t="n"/>
      <c r="G9" s="408" t="n"/>
      <c r="H9" s="408" t="n"/>
      <c r="I9" s="408" t="n"/>
      <c r="J9" s="409" t="n"/>
    </row>
    <row r="10" ht="15.75" customHeight="1" s="289">
      <c r="B10" s="410" t="n"/>
      <c r="C10" s="410" t="n"/>
      <c r="D10" s="323" t="inlineStr">
        <is>
          <t>Номер сметы</t>
        </is>
      </c>
      <c r="E10" s="323" t="inlineStr">
        <is>
          <t>Наименование сметы</t>
        </is>
      </c>
      <c r="F10" s="323" t="inlineStr">
        <is>
          <t>Сметная стоимость в уровне цен 2 кв. 2015г., тыс. руб.</t>
        </is>
      </c>
      <c r="G10" s="408" t="n"/>
      <c r="H10" s="408" t="n"/>
      <c r="I10" s="408" t="n"/>
      <c r="J10" s="409" t="n"/>
    </row>
    <row r="11" ht="31.7" customHeight="1" s="289">
      <c r="B11" s="411" t="n"/>
      <c r="C11" s="411" t="n"/>
      <c r="D11" s="411" t="n"/>
      <c r="E11" s="411" t="n"/>
      <c r="F11" s="324" t="inlineStr">
        <is>
          <t>Строительные работы</t>
        </is>
      </c>
      <c r="G11" s="324" t="inlineStr">
        <is>
          <t>Монтажные работы</t>
        </is>
      </c>
      <c r="H11" s="324" t="inlineStr">
        <is>
          <t>Оборудование</t>
        </is>
      </c>
      <c r="I11" s="324" t="inlineStr">
        <is>
          <t>Прочее</t>
        </is>
      </c>
      <c r="J11" s="324" t="inlineStr">
        <is>
          <t>Всего</t>
        </is>
      </c>
    </row>
    <row r="12" ht="15.75" customHeight="1" s="289">
      <c r="B12" s="308" t="n"/>
      <c r="C12" s="308" t="n"/>
      <c r="D12" s="308" t="n"/>
      <c r="E12" s="308" t="n"/>
      <c r="F12" s="206" t="n">
        <v>1266.7084011</v>
      </c>
      <c r="G12" s="409" t="n"/>
      <c r="H12" s="308" t="n"/>
      <c r="I12" s="308" t="n"/>
      <c r="J12" s="308" t="n"/>
    </row>
    <row r="13" ht="15.75" customHeight="1" s="289">
      <c r="B13" s="320" t="inlineStr">
        <is>
          <t>Всего по объекту:</t>
        </is>
      </c>
      <c r="C13" s="412" t="n"/>
      <c r="D13" s="412" t="n"/>
      <c r="E13" s="413" t="n"/>
      <c r="F13" s="414">
        <f>F12</f>
        <v/>
      </c>
      <c r="G13" s="409" t="n"/>
      <c r="H13" s="306" t="n"/>
      <c r="I13" s="306" t="n"/>
      <c r="J13" s="306" t="n"/>
    </row>
    <row r="14" ht="28.5" customHeight="1" s="289">
      <c r="B14" s="321" t="inlineStr">
        <is>
          <t>Всего по объекту в сопоставимом уровне цен 2 кв. 2015г:</t>
        </is>
      </c>
      <c r="C14" s="408" t="n"/>
      <c r="D14" s="408" t="n"/>
      <c r="E14" s="409" t="n"/>
      <c r="F14" s="414">
        <f>F12</f>
        <v/>
      </c>
      <c r="G14" s="409" t="n"/>
      <c r="H14" s="180" t="n"/>
      <c r="I14" s="180" t="n"/>
      <c r="J14" s="180">
        <f>F12</f>
        <v/>
      </c>
    </row>
    <row r="15" ht="18.75" customHeight="1" s="289">
      <c r="B15" s="190" t="n"/>
    </row>
    <row r="18">
      <c r="C18" s="280" t="inlineStr">
        <is>
          <t>Составил ______________________        Е.А. Князева</t>
        </is>
      </c>
      <c r="D18" s="287" t="n"/>
    </row>
    <row r="19">
      <c r="C19" s="288" t="inlineStr">
        <is>
          <t xml:space="preserve">                         (подпись, инициалы, фамилия)</t>
        </is>
      </c>
      <c r="D19" s="287" t="n"/>
    </row>
    <row r="20">
      <c r="C20" s="280" t="n"/>
      <c r="D20" s="287" t="n"/>
    </row>
    <row r="21">
      <c r="C21" s="280" t="inlineStr">
        <is>
          <t>Проверил ______________________        А.В. Костянецкая</t>
        </is>
      </c>
      <c r="D21" s="287" t="n"/>
    </row>
    <row r="22">
      <c r="C22" s="288" t="inlineStr">
        <is>
          <t xml:space="preserve">                        (подпись, инициалы, фамилия)</t>
        </is>
      </c>
      <c r="D22" s="287" t="n"/>
    </row>
  </sheetData>
  <mergeCells count="15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F13:G13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06"/>
  <sheetViews>
    <sheetView view="pageBreakPreview" topLeftCell="A82" zoomScale="70" zoomScaleNormal="70" workbookViewId="0">
      <selection activeCell="D102" sqref="D102"/>
    </sheetView>
  </sheetViews>
  <sheetFormatPr baseColWidth="8" defaultRowHeight="15"/>
  <cols>
    <col width="12.5703125" customWidth="1" style="289" min="2" max="2"/>
    <col width="17" customWidth="1" style="289" min="3" max="3"/>
    <col width="49.7109375" customWidth="1" style="289" min="4" max="4"/>
    <col width="16.28515625" customWidth="1" style="289" min="5" max="5"/>
    <col width="20.7109375" customWidth="1" style="289" min="6" max="6"/>
    <col width="16.140625" customWidth="1" style="289" min="7" max="7"/>
    <col width="16.7109375" customWidth="1" style="289" min="8" max="8"/>
  </cols>
  <sheetData>
    <row r="2" ht="15.75" customHeight="1" s="289">
      <c r="A2" s="317" t="inlineStr">
        <is>
          <t xml:space="preserve">Приложение № 3 </t>
        </is>
      </c>
    </row>
    <row r="3" ht="18.75" customHeight="1" s="289">
      <c r="A3" s="318" t="inlineStr">
        <is>
          <t>Объектная ресурсная ведомость</t>
        </is>
      </c>
    </row>
    <row r="4" ht="18.75" customHeight="1" s="289">
      <c r="A4" s="318" t="n"/>
      <c r="B4" s="318" t="n"/>
      <c r="C4" s="318" t="n"/>
      <c r="D4" s="318" t="n"/>
      <c r="E4" s="318" t="n"/>
      <c r="F4" s="318" t="n"/>
      <c r="G4" s="318" t="n"/>
      <c r="H4" s="318" t="n"/>
    </row>
    <row r="5" ht="18.75" customHeight="1" s="289">
      <c r="A5" s="190" t="n"/>
    </row>
    <row r="6" ht="15.75" customHeight="1" s="289">
      <c r="A6" s="330" t="inlineStr">
        <is>
          <t>Наименование разрабатываемого показателя УНЦ - Ограждение внутреннее сетчатое</t>
        </is>
      </c>
    </row>
    <row r="7" ht="15.75" customHeight="1" s="289">
      <c r="A7" s="330" t="n"/>
      <c r="B7" s="330" t="n"/>
      <c r="C7" s="330" t="n"/>
      <c r="D7" s="330" t="n"/>
      <c r="E7" s="330" t="n"/>
      <c r="F7" s="330" t="n"/>
      <c r="G7" s="330" t="n"/>
      <c r="H7" s="330" t="n"/>
    </row>
    <row r="8" ht="15.75" customHeight="1" s="289">
      <c r="A8" s="330" t="n"/>
      <c r="B8" s="330" t="n"/>
      <c r="C8" s="330" t="n"/>
      <c r="D8" s="330" t="n"/>
      <c r="E8" s="330" t="n"/>
      <c r="F8" s="330" t="n"/>
      <c r="G8" s="330" t="n"/>
      <c r="H8" s="330" t="n"/>
    </row>
    <row r="9" ht="38.25" customHeight="1" s="289">
      <c r="A9" s="323" t="inlineStr">
        <is>
          <t>п/п</t>
        </is>
      </c>
      <c r="B9" s="323" t="inlineStr">
        <is>
          <t>№ЛСР</t>
        </is>
      </c>
      <c r="C9" s="323" t="inlineStr">
        <is>
          <t>Код ресурса</t>
        </is>
      </c>
      <c r="D9" s="323" t="inlineStr">
        <is>
          <t>Наименование ресурса</t>
        </is>
      </c>
      <c r="E9" s="323" t="inlineStr">
        <is>
          <t>Ед. изм.</t>
        </is>
      </c>
      <c r="F9" s="323" t="inlineStr">
        <is>
          <t>Кол-во единиц по данным объекта-представителя</t>
        </is>
      </c>
      <c r="G9" s="323" t="inlineStr">
        <is>
          <t>Сметная стоимость в ценах на 01.01.2000 (руб.)</t>
        </is>
      </c>
      <c r="H9" s="409" t="n"/>
    </row>
    <row r="10" ht="40.7" customHeight="1" s="289">
      <c r="A10" s="411" t="n"/>
      <c r="B10" s="411" t="n"/>
      <c r="C10" s="411" t="n"/>
      <c r="D10" s="411" t="n"/>
      <c r="E10" s="411" t="n"/>
      <c r="F10" s="411" t="n"/>
      <c r="G10" s="323" t="inlineStr">
        <is>
          <t>на ед.изм.</t>
        </is>
      </c>
      <c r="H10" s="323" t="inlineStr">
        <is>
          <t>общая</t>
        </is>
      </c>
    </row>
    <row r="11" ht="15.75" customHeight="1" s="289">
      <c r="A11" s="323" t="n">
        <v>1</v>
      </c>
      <c r="B11" s="206" t="n"/>
      <c r="C11" s="323" t="n">
        <v>2</v>
      </c>
      <c r="D11" s="323" t="inlineStr">
        <is>
          <t>З</t>
        </is>
      </c>
      <c r="E11" s="323" t="n">
        <v>4</v>
      </c>
      <c r="F11" s="323" t="n">
        <v>5</v>
      </c>
      <c r="G11" s="206" t="n">
        <v>6</v>
      </c>
      <c r="H11" s="206" t="n">
        <v>7</v>
      </c>
    </row>
    <row r="12" ht="15" customHeight="1" s="289">
      <c r="A12" s="332" t="inlineStr">
        <is>
          <t>Затраты труда рабочих</t>
        </is>
      </c>
      <c r="B12" s="408" t="n"/>
      <c r="C12" s="408" t="n"/>
      <c r="D12" s="408" t="n"/>
      <c r="E12" s="408" t="n"/>
      <c r="F12" s="415" t="n">
        <v>2432.33005</v>
      </c>
      <c r="G12" s="208" t="n"/>
      <c r="H12" s="209">
        <f>SUM(H13:H23)</f>
        <v/>
      </c>
    </row>
    <row r="13">
      <c r="A13" s="201" t="inlineStr">
        <is>
          <t>1</t>
        </is>
      </c>
      <c r="B13" s="210" t="n"/>
      <c r="C13" s="201" t="inlineStr">
        <is>
          <t>1-3-0</t>
        </is>
      </c>
      <c r="D13" s="202" t="inlineStr">
        <is>
          <t>Затраты труда рабочих (средний разряд работы 3,0)</t>
        </is>
      </c>
      <c r="E13" s="354" t="inlineStr">
        <is>
          <t>чел.-ч</t>
        </is>
      </c>
      <c r="F13" s="354" t="n">
        <v>851.4434</v>
      </c>
      <c r="G13" s="199" t="n">
        <v>8.529999999999999</v>
      </c>
      <c r="H13" s="199">
        <f>ROUND(F13*G13,2)</f>
        <v/>
      </c>
    </row>
    <row r="14">
      <c r="A14" s="201" t="inlineStr">
        <is>
          <t>2</t>
        </is>
      </c>
      <c r="B14" s="210" t="n"/>
      <c r="C14" s="201" t="inlineStr">
        <is>
          <t>1-3-9</t>
        </is>
      </c>
      <c r="D14" s="202" t="inlineStr">
        <is>
          <t>Затраты труда рабочих (средний разряд работы 3,9)</t>
        </is>
      </c>
      <c r="E14" s="354" t="inlineStr">
        <is>
          <t>чел.-ч</t>
        </is>
      </c>
      <c r="F14" s="354" t="n">
        <v>752.2308</v>
      </c>
      <c r="G14" s="199" t="n">
        <v>9.51</v>
      </c>
      <c r="H14" s="199">
        <f>ROUND(F14*G14,2)</f>
        <v/>
      </c>
    </row>
    <row r="15">
      <c r="A15" s="201" t="inlineStr">
        <is>
          <t>3</t>
        </is>
      </c>
      <c r="B15" s="210" t="n"/>
      <c r="C15" s="201" t="inlineStr">
        <is>
          <t>1-3-3</t>
        </is>
      </c>
      <c r="D15" s="202" t="inlineStr">
        <is>
          <t>Затраты труда рабочих (средний разряд работы 3,3)</t>
        </is>
      </c>
      <c r="E15" s="354" t="inlineStr">
        <is>
          <t>чел.-ч</t>
        </is>
      </c>
      <c r="F15" s="354" t="n">
        <v>578.4284</v>
      </c>
      <c r="G15" s="199" t="n">
        <v>8.859999999999999</v>
      </c>
      <c r="H15" s="199">
        <f>ROUND(F15*G15,2)</f>
        <v/>
      </c>
    </row>
    <row r="16">
      <c r="A16" s="201" t="inlineStr">
        <is>
          <t>4</t>
        </is>
      </c>
      <c r="B16" s="210" t="n"/>
      <c r="C16" s="201" t="inlineStr">
        <is>
          <t>1-3-7</t>
        </is>
      </c>
      <c r="D16" s="202" t="inlineStr">
        <is>
          <t>Затраты труда рабочих (средний разряд работы 3,7)</t>
        </is>
      </c>
      <c r="E16" s="354" t="inlineStr">
        <is>
          <t>чел.-ч</t>
        </is>
      </c>
      <c r="F16" s="354" t="n">
        <v>83.62479999999999</v>
      </c>
      <c r="G16" s="199" t="n">
        <v>9.289999999999999</v>
      </c>
      <c r="H16" s="199">
        <f>ROUND(F16*G16,2)</f>
        <v/>
      </c>
    </row>
    <row r="17">
      <c r="A17" s="201" t="inlineStr">
        <is>
          <t>5</t>
        </is>
      </c>
      <c r="B17" s="210" t="n"/>
      <c r="C17" s="201" t="inlineStr">
        <is>
          <t>1-3-2</t>
        </is>
      </c>
      <c r="D17" s="202" t="inlineStr">
        <is>
          <t>Затраты труда рабочих (средний разряд работы 3,2)</t>
        </is>
      </c>
      <c r="E17" s="354" t="inlineStr">
        <is>
          <t>чел.-ч</t>
        </is>
      </c>
      <c r="F17" s="354" t="n">
        <v>73.91119999999999</v>
      </c>
      <c r="G17" s="199" t="n">
        <v>8.74</v>
      </c>
      <c r="H17" s="199">
        <f>ROUND(F17*G17,2)</f>
        <v/>
      </c>
    </row>
    <row r="18">
      <c r="A18" s="201" t="inlineStr">
        <is>
          <t>6</t>
        </is>
      </c>
      <c r="B18" s="210" t="n"/>
      <c r="C18" s="201" t="inlineStr">
        <is>
          <t>1-4-4</t>
        </is>
      </c>
      <c r="D18" s="202" t="inlineStr">
        <is>
          <t>Затраты труда рабочих (средний разряд работы 4,4)</t>
        </is>
      </c>
      <c r="E18" s="354" t="inlineStr">
        <is>
          <t>чел.-ч</t>
        </is>
      </c>
      <c r="F18" s="354" t="n">
        <v>28.9</v>
      </c>
      <c r="G18" s="199" t="n">
        <v>10.21</v>
      </c>
      <c r="H18" s="199">
        <f>ROUND(F18*G18,2)</f>
        <v/>
      </c>
    </row>
    <row r="19">
      <c r="A19" s="201" t="inlineStr">
        <is>
          <t>7</t>
        </is>
      </c>
      <c r="B19" s="210" t="n"/>
      <c r="C19" s="201" t="inlineStr">
        <is>
          <t>1-4-0</t>
        </is>
      </c>
      <c r="D19" s="202" t="inlineStr">
        <is>
          <t>Затраты труда рабочих (средний разряд работы 4,0)</t>
        </is>
      </c>
      <c r="E19" s="354" t="inlineStr">
        <is>
          <t>чел.-ч</t>
        </is>
      </c>
      <c r="F19" s="354" t="n">
        <v>26.78</v>
      </c>
      <c r="G19" s="199" t="n">
        <v>9.619999999999999</v>
      </c>
      <c r="H19" s="199">
        <f>ROUND(F19*G19,2)</f>
        <v/>
      </c>
    </row>
    <row r="20">
      <c r="A20" s="201" t="inlineStr">
        <is>
          <t>8</t>
        </is>
      </c>
      <c r="B20" s="210" t="n"/>
      <c r="C20" s="201" t="inlineStr">
        <is>
          <t>1-2-7</t>
        </is>
      </c>
      <c r="D20" s="202" t="inlineStr">
        <is>
          <t>Затраты труда рабочих (средний разряд работы 2,7)</t>
        </is>
      </c>
      <c r="E20" s="354" t="inlineStr">
        <is>
          <t>чел.-ч</t>
        </is>
      </c>
      <c r="F20" s="354" t="n">
        <v>11.328</v>
      </c>
      <c r="G20" s="199" t="n">
        <v>8.31</v>
      </c>
      <c r="H20" s="199">
        <f>ROUND(F20*G20,2)</f>
        <v/>
      </c>
    </row>
    <row r="21">
      <c r="A21" s="201" t="inlineStr">
        <is>
          <t>9</t>
        </is>
      </c>
      <c r="B21" s="210" t="n"/>
      <c r="C21" s="201" t="inlineStr">
        <is>
          <t xml:space="preserve"> 1-2-0</t>
        </is>
      </c>
      <c r="D21" s="202" t="inlineStr">
        <is>
          <t>Затраты труда рабочих (средний разряд работы 2,0)</t>
        </is>
      </c>
      <c r="E21" s="354" t="inlineStr">
        <is>
          <t>чел.-ч</t>
        </is>
      </c>
      <c r="F21" s="354" t="n">
        <v>10.8</v>
      </c>
      <c r="G21" s="199" t="n">
        <v>7.8</v>
      </c>
      <c r="H21" s="199">
        <f>ROUND(F21*G21,2)</f>
        <v/>
      </c>
    </row>
    <row r="22">
      <c r="A22" s="201" t="inlineStr">
        <is>
          <t>10</t>
        </is>
      </c>
      <c r="B22" s="210" t="n"/>
      <c r="C22" s="201" t="inlineStr">
        <is>
          <t>1-3-5</t>
        </is>
      </c>
      <c r="D22" s="202" t="inlineStr">
        <is>
          <t>Затраты труда рабочих (средний разряд работы 3,5)</t>
        </is>
      </c>
      <c r="E22" s="354" t="inlineStr">
        <is>
          <t>чел.-ч</t>
        </is>
      </c>
      <c r="F22" s="354" t="n">
        <v>9.09084</v>
      </c>
      <c r="G22" s="199" t="n">
        <v>9.07</v>
      </c>
      <c r="H22" s="199">
        <f>ROUND(F22*G22,2)</f>
        <v/>
      </c>
    </row>
    <row r="23">
      <c r="A23" s="201" t="inlineStr">
        <is>
          <t>11</t>
        </is>
      </c>
      <c r="B23" s="210" t="n"/>
      <c r="C23" s="201" t="inlineStr">
        <is>
          <t>1-3-4</t>
        </is>
      </c>
      <c r="D23" s="202" t="inlineStr">
        <is>
          <t>Затраты труда рабочих (средний разряд работы 3,4)</t>
        </is>
      </c>
      <c r="E23" s="354" t="inlineStr">
        <is>
          <t>чел.-ч</t>
        </is>
      </c>
      <c r="F23" s="354" t="n">
        <v>5.79261</v>
      </c>
      <c r="G23" s="199" t="n">
        <v>8.970000000000001</v>
      </c>
      <c r="H23" s="199">
        <f>ROUND(F23*G23,2)</f>
        <v/>
      </c>
    </row>
    <row r="24" ht="15" customHeight="1" s="289">
      <c r="A24" s="331" t="inlineStr">
        <is>
          <t>Затраты труда машинистов</t>
        </is>
      </c>
      <c r="B24" s="408" t="n"/>
      <c r="C24" s="408" t="n"/>
      <c r="D24" s="408" t="n"/>
      <c r="E24" s="409" t="n"/>
      <c r="F24" s="208" t="n"/>
      <c r="G24" s="208" t="n"/>
      <c r="H24" s="415">
        <f>H25</f>
        <v/>
      </c>
    </row>
    <row r="25">
      <c r="A25" s="200" t="n">
        <v>12</v>
      </c>
      <c r="B25" s="210" t="n"/>
      <c r="C25" s="201" t="n">
        <v>2</v>
      </c>
      <c r="D25" s="202" t="inlineStr">
        <is>
          <t>Затраты труда машинистов</t>
        </is>
      </c>
      <c r="E25" s="354" t="inlineStr">
        <is>
          <t>чел.-ч</t>
        </is>
      </c>
      <c r="F25" s="354" t="n">
        <v>166.4595</v>
      </c>
      <c r="G25" s="199" t="n"/>
      <c r="H25" s="416" t="n">
        <v>2186.16</v>
      </c>
      <c r="J25" s="417" t="n"/>
      <c r="L25" s="185" t="n"/>
    </row>
    <row r="26" ht="15" customHeight="1" s="289">
      <c r="A26" s="331" t="inlineStr">
        <is>
          <t>Машины и механизмы</t>
        </is>
      </c>
      <c r="B26" s="408" t="n"/>
      <c r="C26" s="408" t="n"/>
      <c r="D26" s="408" t="n"/>
      <c r="E26" s="409" t="n"/>
      <c r="F26" s="208" t="n"/>
      <c r="G26" s="208" t="n"/>
      <c r="H26" s="415">
        <f>SUM(H27:H45)</f>
        <v/>
      </c>
    </row>
    <row r="27" ht="25.5" customHeight="1" s="289">
      <c r="A27" s="201" t="inlineStr">
        <is>
          <t>13</t>
        </is>
      </c>
      <c r="B27" s="210" t="n"/>
      <c r="C27" s="201" t="inlineStr">
        <is>
          <t>91.05.05-014</t>
        </is>
      </c>
      <c r="D27" s="202" t="inlineStr">
        <is>
          <t>Краны на автомобильном ходу, грузоподъемность 10 т</t>
        </is>
      </c>
      <c r="E27" s="354" t="inlineStr">
        <is>
          <t>маш.-ч</t>
        </is>
      </c>
      <c r="F27" s="201" t="n">
        <v>129.13295</v>
      </c>
      <c r="G27" s="204" t="n">
        <v>111.99</v>
      </c>
      <c r="H27" s="199">
        <f>ROUND(F27*G27,2)</f>
        <v/>
      </c>
      <c r="I27" s="269" t="n"/>
    </row>
    <row r="28" ht="25.5" customHeight="1" s="289">
      <c r="A28" s="201" t="inlineStr">
        <is>
          <t>14</t>
        </is>
      </c>
      <c r="B28" s="210" t="n"/>
      <c r="C28" s="201" t="inlineStr">
        <is>
          <t>91.04.01-031</t>
        </is>
      </c>
      <c r="D28" s="202" t="inlineStr">
        <is>
          <t>Машины бурильно-крановые на автомобиле, глубина бурения 3,5 м</t>
        </is>
      </c>
      <c r="E28" s="354" t="inlineStr">
        <is>
          <t>маш.-ч</t>
        </is>
      </c>
      <c r="F28" s="201" t="n">
        <v>27.82</v>
      </c>
      <c r="G28" s="204" t="n">
        <v>138.54</v>
      </c>
      <c r="H28" s="199">
        <f>ROUND(F28*G28,2)</f>
        <v/>
      </c>
      <c r="I28" s="269" t="n"/>
    </row>
    <row r="29" ht="25.5" customHeight="1" s="289">
      <c r="A29" s="201" t="inlineStr">
        <is>
          <t>15</t>
        </is>
      </c>
      <c r="B29" s="210" t="n"/>
      <c r="C29" s="201" t="inlineStr">
        <is>
          <t>91.17.04-035</t>
        </is>
      </c>
      <c r="D29" s="202" t="inlineStr">
        <is>
          <t>Агрегаты сварочные передвижные с бензиновым двигателем, номинальный сварочный ток 250-400 А</t>
        </is>
      </c>
      <c r="E29" s="354" t="inlineStr">
        <is>
          <t>маш.-ч</t>
        </is>
      </c>
      <c r="F29" s="201" t="n">
        <v>36.693</v>
      </c>
      <c r="G29" s="204" t="n">
        <v>14</v>
      </c>
      <c r="H29" s="199">
        <f>ROUND(F29*G29,2)</f>
        <v/>
      </c>
    </row>
    <row r="30">
      <c r="A30" s="201" t="inlineStr">
        <is>
          <t>16</t>
        </is>
      </c>
      <c r="B30" s="210" t="n"/>
      <c r="C30" s="201" t="inlineStr">
        <is>
          <t>91.14.02-001</t>
        </is>
      </c>
      <c r="D30" s="202" t="inlineStr">
        <is>
          <t>Автомобили бортовые, грузоподъемность до 5 т</t>
        </is>
      </c>
      <c r="E30" s="354" t="inlineStr">
        <is>
          <t>маш.-ч</t>
        </is>
      </c>
      <c r="F30" s="201" t="n">
        <v>4.18089</v>
      </c>
      <c r="G30" s="204" t="n">
        <v>65.70999999999999</v>
      </c>
      <c r="H30" s="199">
        <f>ROUND(F30*G30,2)</f>
        <v/>
      </c>
    </row>
    <row r="31">
      <c r="A31" s="201" t="inlineStr">
        <is>
          <t>17</t>
        </is>
      </c>
      <c r="B31" s="210" t="n"/>
      <c r="C31" s="201" t="inlineStr">
        <is>
          <t>91.21.22-638</t>
        </is>
      </c>
      <c r="D31" s="202" t="inlineStr">
        <is>
          <t>Пылесосы промышленные, мощность до 2000 Вт</t>
        </is>
      </c>
      <c r="E31" s="354" t="inlineStr">
        <is>
          <t>маш.-ч</t>
        </is>
      </c>
      <c r="F31" s="201" t="n">
        <v>81.40000000000001</v>
      </c>
      <c r="G31" s="204" t="n">
        <v>3.29</v>
      </c>
      <c r="H31" s="199">
        <f>ROUND(F31*G31,2)</f>
        <v/>
      </c>
    </row>
    <row r="32">
      <c r="A32" s="201" t="inlineStr">
        <is>
          <t>18</t>
        </is>
      </c>
      <c r="B32" s="210" t="n"/>
      <c r="C32" s="201" t="inlineStr">
        <is>
          <t>91.05.01-017</t>
        </is>
      </c>
      <c r="D32" s="202" t="inlineStr">
        <is>
          <t>Краны башенные, грузоподъемность 8 т</t>
        </is>
      </c>
      <c r="E32" s="354" t="inlineStr">
        <is>
          <t>маш.-ч</t>
        </is>
      </c>
      <c r="F32" s="201" t="n">
        <v>2.7126</v>
      </c>
      <c r="G32" s="204" t="n">
        <v>86.40000000000001</v>
      </c>
      <c r="H32" s="199">
        <f>ROUND(F32*G32,2)</f>
        <v/>
      </c>
    </row>
    <row r="33">
      <c r="A33" s="201" t="inlineStr">
        <is>
          <t>19</t>
        </is>
      </c>
      <c r="B33" s="210" t="n"/>
      <c r="C33" s="201" t="inlineStr">
        <is>
          <t>91.05.06-007</t>
        </is>
      </c>
      <c r="D33" s="202" t="inlineStr">
        <is>
          <t>Краны на гусеничном ходу, грузоподъемность 25 т</t>
        </is>
      </c>
      <c r="E33" s="354" t="inlineStr">
        <is>
          <t>маш.-ч</t>
        </is>
      </c>
      <c r="F33" s="201" t="n">
        <v>0.93174</v>
      </c>
      <c r="G33" s="204" t="n">
        <v>120.04</v>
      </c>
      <c r="H33" s="199">
        <f>ROUND(F33*G33,2)</f>
        <v/>
      </c>
    </row>
    <row r="34" ht="25.5" customHeight="1" s="289">
      <c r="A34" s="201" t="inlineStr">
        <is>
          <t>20</t>
        </is>
      </c>
      <c r="B34" s="210" t="n"/>
      <c r="C34" s="201" t="inlineStr">
        <is>
          <t>91.17.04-233</t>
        </is>
      </c>
      <c r="D34" s="202" t="inlineStr">
        <is>
          <t>Установки для сварки ручной дуговой (постоянного тока)</t>
        </is>
      </c>
      <c r="E34" s="354" t="inlineStr">
        <is>
          <t>маш.-ч</t>
        </is>
      </c>
      <c r="F34" s="201" t="n">
        <v>12.4798</v>
      </c>
      <c r="G34" s="204" t="n">
        <v>8.1</v>
      </c>
      <c r="H34" s="199">
        <f>ROUND(F34*G34,2)</f>
        <v/>
      </c>
    </row>
    <row r="35">
      <c r="A35" s="201" t="inlineStr">
        <is>
          <t>21</t>
        </is>
      </c>
      <c r="B35" s="210" t="n"/>
      <c r="C35" s="201" t="inlineStr">
        <is>
          <t>91.05.02-005</t>
        </is>
      </c>
      <c r="D35" s="202" t="inlineStr">
        <is>
          <t>Краны козловые, грузоподъемность 32 т</t>
        </is>
      </c>
      <c r="E35" s="354" t="inlineStr">
        <is>
          <t>маш.-ч</t>
        </is>
      </c>
      <c r="F35" s="201" t="n">
        <v>0.77352</v>
      </c>
      <c r="G35" s="204" t="n">
        <v>120.24</v>
      </c>
      <c r="H35" s="199">
        <f>ROUND(F35*G35,2)</f>
        <v/>
      </c>
    </row>
    <row r="36" ht="25.5" customHeight="1" s="289">
      <c r="A36" s="201" t="inlineStr">
        <is>
          <t>22</t>
        </is>
      </c>
      <c r="B36" s="210" t="n"/>
      <c r="C36" s="201" t="inlineStr">
        <is>
          <t>91.01.05-106</t>
        </is>
      </c>
      <c r="D36" s="202" t="inlineStr">
        <is>
          <t>Экскаваторы одноковшовые дизельные на пневмоколесном ходу, емкость ковша 0,25 м3</t>
        </is>
      </c>
      <c r="E36" s="354" t="inlineStr">
        <is>
          <t>маш.-ч</t>
        </is>
      </c>
      <c r="F36" s="201" t="n">
        <v>0.7288</v>
      </c>
      <c r="G36" s="204" t="n">
        <v>70.01000000000001</v>
      </c>
      <c r="H36" s="199">
        <f>ROUND(F36*G36,2)</f>
        <v/>
      </c>
    </row>
    <row r="37">
      <c r="A37" s="201" t="inlineStr">
        <is>
          <t>23</t>
        </is>
      </c>
      <c r="B37" s="210" t="n"/>
      <c r="C37" s="201" t="inlineStr">
        <is>
          <t>91.12.08-161</t>
        </is>
      </c>
      <c r="D37" s="202" t="inlineStr">
        <is>
          <t>Ямокопатели</t>
        </is>
      </c>
      <c r="E37" s="354" t="inlineStr">
        <is>
          <t>маш.-ч</t>
        </is>
      </c>
      <c r="F37" s="201" t="n">
        <v>2.5272</v>
      </c>
      <c r="G37" s="204" t="n">
        <v>6.51</v>
      </c>
      <c r="H37" s="199">
        <f>ROUND(F37*G37,2)</f>
        <v/>
      </c>
    </row>
    <row r="38">
      <c r="A38" s="201" t="inlineStr">
        <is>
          <t>24</t>
        </is>
      </c>
      <c r="B38" s="210" t="n"/>
      <c r="C38" s="201" t="inlineStr">
        <is>
          <t>91.06.05-011</t>
        </is>
      </c>
      <c r="D38" s="202" t="inlineStr">
        <is>
          <t>Погрузчики, грузоподъемность 5 т</t>
        </is>
      </c>
      <c r="E38" s="354" t="inlineStr">
        <is>
          <t>маш.-ч</t>
        </is>
      </c>
      <c r="F38" s="201" t="n">
        <v>0.09760000000000001</v>
      </c>
      <c r="G38" s="204" t="n">
        <v>89.98999999999999</v>
      </c>
      <c r="H38" s="199">
        <f>ROUND(F38*G38,2)</f>
        <v/>
      </c>
    </row>
    <row r="39">
      <c r="A39" s="201" t="inlineStr">
        <is>
          <t>25</t>
        </is>
      </c>
      <c r="B39" s="210" t="n"/>
      <c r="C39" s="201" t="inlineStr">
        <is>
          <t>91.07.04-001</t>
        </is>
      </c>
      <c r="D39" s="202" t="inlineStr">
        <is>
          <t>Вибраторы глубинные</t>
        </is>
      </c>
      <c r="E39" s="354" t="inlineStr">
        <is>
          <t>маш.-ч</t>
        </is>
      </c>
      <c r="F39" s="201" t="n">
        <v>3.6528</v>
      </c>
      <c r="G39" s="204" t="n">
        <v>1.9</v>
      </c>
      <c r="H39" s="199">
        <f>ROUND(F39*G39,2)</f>
        <v/>
      </c>
    </row>
    <row r="40" ht="25.5" customHeight="1" s="289">
      <c r="A40" s="201" t="inlineStr">
        <is>
          <t>26</t>
        </is>
      </c>
      <c r="B40" s="210" t="n"/>
      <c r="C40" s="201" t="inlineStr">
        <is>
          <t>91.06.06-048</t>
        </is>
      </c>
      <c r="D40" s="202" t="inlineStr">
        <is>
          <t>Подъемники одномачтовые, грузоподъемность до 500 кг, высота подъема 45 м</t>
        </is>
      </c>
      <c r="E40" s="354" t="inlineStr">
        <is>
          <t>маш.-ч</t>
        </is>
      </c>
      <c r="F40" s="201" t="n">
        <v>0.0814</v>
      </c>
      <c r="G40" s="204" t="n">
        <v>31.26</v>
      </c>
      <c r="H40" s="199">
        <f>ROUND(F40*G40,2)</f>
        <v/>
      </c>
    </row>
    <row r="41">
      <c r="A41" s="201" t="inlineStr">
        <is>
          <t>27</t>
        </is>
      </c>
      <c r="B41" s="210" t="n"/>
      <c r="C41" s="201" t="inlineStr">
        <is>
          <t>91.17.04-042</t>
        </is>
      </c>
      <c r="D41" s="202" t="inlineStr">
        <is>
          <t>Аппараты для газовой сварки и резки</t>
        </is>
      </c>
      <c r="E41" s="354" t="inlineStr">
        <is>
          <t>маш.-ч</t>
        </is>
      </c>
      <c r="F41" s="201" t="n">
        <v>1.96896</v>
      </c>
      <c r="G41" s="204" t="n">
        <v>1.2</v>
      </c>
      <c r="H41" s="199">
        <f>ROUND(F41*G41,2)</f>
        <v/>
      </c>
    </row>
    <row r="42">
      <c r="A42" s="201" t="inlineStr">
        <is>
          <t>28</t>
        </is>
      </c>
      <c r="B42" s="210" t="n"/>
      <c r="C42" s="201" t="inlineStr">
        <is>
          <t>91.07.04-002</t>
        </is>
      </c>
      <c r="D42" s="202" t="inlineStr">
        <is>
          <t>Вибраторы поверхностные</t>
        </is>
      </c>
      <c r="E42" s="354" t="inlineStr">
        <is>
          <t>маш.-ч</t>
        </is>
      </c>
      <c r="F42" s="201" t="n">
        <v>2.88</v>
      </c>
      <c r="G42" s="204" t="n">
        <v>0.5</v>
      </c>
      <c r="H42" s="199">
        <f>ROUND(F42*G42,2)</f>
        <v/>
      </c>
    </row>
    <row r="43" ht="25.5" customHeight="1" s="289">
      <c r="A43" s="201" t="inlineStr">
        <is>
          <t>29</t>
        </is>
      </c>
      <c r="B43" s="210" t="n"/>
      <c r="C43" s="201" t="inlineStr">
        <is>
          <t>91.17.04-171</t>
        </is>
      </c>
      <c r="D43" s="202" t="inlineStr">
        <is>
          <t>Преобразователи сварочные номинальным сварочным током 315-500 А</t>
        </is>
      </c>
      <c r="E43" s="354" t="inlineStr">
        <is>
          <t>маш.-ч</t>
        </is>
      </c>
      <c r="F43" s="201" t="n">
        <v>0.07911</v>
      </c>
      <c r="G43" s="204" t="n">
        <v>12.31</v>
      </c>
      <c r="H43" s="199">
        <f>ROUND(F43*G43,2)</f>
        <v/>
      </c>
    </row>
    <row r="44">
      <c r="A44" s="201" t="inlineStr">
        <is>
          <t>30</t>
        </is>
      </c>
      <c r="B44" s="210" t="n"/>
      <c r="C44" s="201" t="inlineStr">
        <is>
          <t>91.21.15-022</t>
        </is>
      </c>
      <c r="D44" s="202" t="inlineStr">
        <is>
          <t>Пилы ленточные с поворотной пилорамой</t>
        </is>
      </c>
      <c r="E44" s="354" t="inlineStr">
        <is>
          <t>маш.-ч</t>
        </is>
      </c>
      <c r="F44" s="201" t="n">
        <v>0.0516</v>
      </c>
      <c r="G44" s="204" t="n">
        <v>3.31</v>
      </c>
      <c r="H44" s="199">
        <f>ROUND(F44*G44,2)</f>
        <v/>
      </c>
    </row>
    <row r="45" ht="25.5" customHeight="1" s="289">
      <c r="A45" s="201" t="inlineStr">
        <is>
          <t>31</t>
        </is>
      </c>
      <c r="B45" s="210" t="n"/>
      <c r="C45" s="201" t="inlineStr">
        <is>
          <t>91.06.03-060</t>
        </is>
      </c>
      <c r="D45" s="202" t="inlineStr">
        <is>
          <t>Лебедки электрические тяговым усилием до 5,79 кН (0,59 т)</t>
        </is>
      </c>
      <c r="E45" s="354" t="inlineStr">
        <is>
          <t>маш.-ч</t>
        </is>
      </c>
      <c r="F45" s="201" t="n">
        <v>0.0814</v>
      </c>
      <c r="G45" s="204" t="n">
        <v>1.7</v>
      </c>
      <c r="H45" s="199">
        <f>ROUND(F45*G45,2)</f>
        <v/>
      </c>
    </row>
    <row r="46" ht="15" customHeight="1" s="289">
      <c r="A46" s="331" t="inlineStr">
        <is>
          <t>Оборудование</t>
        </is>
      </c>
      <c r="B46" s="408" t="n"/>
      <c r="C46" s="408" t="n"/>
      <c r="D46" s="408" t="n"/>
      <c r="E46" s="409" t="n"/>
      <c r="F46" s="208" t="n"/>
      <c r="G46" s="208" t="n"/>
      <c r="H46" s="415" t="n">
        <v>0</v>
      </c>
    </row>
    <row r="47" ht="15" customHeight="1" s="289">
      <c r="A47" s="331" t="inlineStr">
        <is>
          <t>Материалы</t>
        </is>
      </c>
      <c r="B47" s="408" t="n"/>
      <c r="C47" s="408" t="n"/>
      <c r="D47" s="408" t="n"/>
      <c r="E47" s="409" t="n"/>
      <c r="F47" s="208" t="n"/>
      <c r="G47" s="208" t="n"/>
      <c r="H47" s="415">
        <f>SUM(H48:H96)</f>
        <v/>
      </c>
    </row>
    <row r="48">
      <c r="A48" s="200" t="n">
        <v>32</v>
      </c>
      <c r="B48" s="210" t="n"/>
      <c r="C48" s="201" t="inlineStr">
        <is>
          <t>08.1.06.03-0001</t>
        </is>
      </c>
      <c r="D48" s="202" t="inlineStr">
        <is>
          <t>Панели металлические сетчатые</t>
        </is>
      </c>
      <c r="E48" s="354" t="inlineStr">
        <is>
          <t>м2</t>
        </is>
      </c>
      <c r="F48" s="201" t="n">
        <v>712.38</v>
      </c>
      <c r="G48" s="199" t="n">
        <v>42</v>
      </c>
      <c r="H48" s="199">
        <f>ROUND(F48*G48,2)</f>
        <v/>
      </c>
      <c r="I48" s="269" t="n"/>
    </row>
    <row r="49">
      <c r="A49" s="201" t="inlineStr">
        <is>
          <t>33</t>
        </is>
      </c>
      <c r="B49" s="210" t="n"/>
      <c r="C49" s="201" t="inlineStr">
        <is>
          <t>14.2.01.05-0003</t>
        </is>
      </c>
      <c r="D49" s="202" t="inlineStr">
        <is>
          <t>Композиция цинконаполненная</t>
        </is>
      </c>
      <c r="E49" s="354" t="inlineStr">
        <is>
          <t>кг</t>
        </is>
      </c>
      <c r="F49" s="201" t="n">
        <v>260.5</v>
      </c>
      <c r="G49" s="199" t="n">
        <v>114.42</v>
      </c>
      <c r="H49" s="199">
        <f>ROUND(F49*G49,2)</f>
        <v/>
      </c>
      <c r="I49" s="269" t="n"/>
    </row>
    <row r="50">
      <c r="A50" s="200" t="n">
        <v>33</v>
      </c>
      <c r="B50" s="210" t="n"/>
      <c r="C50" s="201" t="inlineStr">
        <is>
          <t>14.2.01.05-0001</t>
        </is>
      </c>
      <c r="D50" s="202" t="inlineStr">
        <is>
          <t>Композиция на основе термопластичных полимеров</t>
        </is>
      </c>
      <c r="E50" s="354" t="inlineStr">
        <is>
          <t>кг</t>
        </is>
      </c>
      <c r="F50" s="201" t="n">
        <v>407</v>
      </c>
      <c r="G50" s="199" t="n">
        <v>54.99</v>
      </c>
      <c r="H50" s="199">
        <f>ROUND(F50*G50,2)</f>
        <v/>
      </c>
      <c r="I50" s="269" t="n"/>
    </row>
    <row r="51" ht="25.5" customHeight="1" s="289">
      <c r="A51" s="201" t="inlineStr">
        <is>
          <t>34</t>
        </is>
      </c>
      <c r="B51" s="210" t="n"/>
      <c r="C51" s="201" t="inlineStr">
        <is>
          <t>08.1.06.04-0031</t>
        </is>
      </c>
      <c r="D51" s="202" t="inlineStr">
        <is>
          <t>Полотна ворот глухие металлические из листового металла по каркасу из уголков</t>
        </is>
      </c>
      <c r="E51" s="354" t="inlineStr">
        <is>
          <t>т</t>
        </is>
      </c>
      <c r="F51" s="201" t="n">
        <v>1.132</v>
      </c>
      <c r="G51" s="199" t="n">
        <v>16344.58</v>
      </c>
      <c r="H51" s="199">
        <f>ROUND(F51*G51,2)</f>
        <v/>
      </c>
      <c r="I51" s="269" t="n"/>
    </row>
    <row r="52" ht="25.5" customHeight="1" s="289">
      <c r="A52" s="200" t="n">
        <v>34</v>
      </c>
      <c r="B52" s="210" t="n"/>
      <c r="C52" s="201" t="inlineStr">
        <is>
          <t>05.1.07.27-0008</t>
        </is>
      </c>
      <c r="D52" s="202" t="inlineStr">
        <is>
          <t>Столбы оград 2С 24д, бетон B15, объем 0,05 м3, расход арматуры 9,5 кг</t>
        </is>
      </c>
      <c r="E52" s="354" t="inlineStr">
        <is>
          <t>шт</t>
        </is>
      </c>
      <c r="F52" s="201" t="n">
        <v>136</v>
      </c>
      <c r="G52" s="199" t="n">
        <v>126.74</v>
      </c>
      <c r="H52" s="199">
        <f>ROUND(F52*G52,2)</f>
        <v/>
      </c>
      <c r="I52" s="269" t="n"/>
    </row>
    <row r="53" ht="25.5" customHeight="1" s="289">
      <c r="A53" s="201" t="inlineStr">
        <is>
          <t>35</t>
        </is>
      </c>
      <c r="B53" s="210" t="n"/>
      <c r="C53" s="201" t="inlineStr">
        <is>
          <t>04.1.02.05-0023</t>
        </is>
      </c>
      <c r="D53" s="202" t="inlineStr">
        <is>
          <t>Смеси бетонные тяжелого бетона (БСТ), крупность заполнителя 10 мм, класс В7,5 (М100)</t>
        </is>
      </c>
      <c r="E53" s="354" t="inlineStr">
        <is>
          <t>м3</t>
        </is>
      </c>
      <c r="F53" s="201" t="n">
        <v>24.6278</v>
      </c>
      <c r="G53" s="199" t="n">
        <v>600</v>
      </c>
      <c r="H53" s="199">
        <f>ROUND(F53*G53,2)</f>
        <v/>
      </c>
      <c r="I53" s="269" t="n"/>
    </row>
    <row r="54" ht="38.25" customHeight="1" s="289">
      <c r="A54" s="200" t="n">
        <v>35</v>
      </c>
      <c r="B54" s="210" t="n"/>
      <c r="C54" s="201" t="inlineStr">
        <is>
          <t>07.2.07.12-0011</t>
        </is>
      </c>
      <c r="D54" s="202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E54" s="354" t="inlineStr">
        <is>
          <t>т</t>
        </is>
      </c>
      <c r="F54" s="201" t="n">
        <v>0.983</v>
      </c>
      <c r="G54" s="199" t="n">
        <v>11255</v>
      </c>
      <c r="H54" s="199">
        <f>ROUND(F54*G54,2)</f>
        <v/>
      </c>
      <c r="I54" s="269" t="n"/>
    </row>
    <row r="55" ht="25.5" customHeight="1" s="289">
      <c r="A55" s="201" t="inlineStr">
        <is>
          <t>36</t>
        </is>
      </c>
      <c r="B55" s="210" t="n"/>
      <c r="C55" s="201" t="inlineStr">
        <is>
          <t>07.2.07.04-0011</t>
        </is>
      </c>
      <c r="D55" s="202" t="inlineStr">
        <is>
          <t>Конструкции сварные индивидуальные прочие, масса сборочной единицы до 0,1 т</t>
        </is>
      </c>
      <c r="E55" s="354" t="inlineStr">
        <is>
          <t>т</t>
        </is>
      </c>
      <c r="F55" s="201" t="n">
        <v>0.879</v>
      </c>
      <c r="G55" s="199" t="n">
        <v>10508</v>
      </c>
      <c r="H55" s="199">
        <f>ROUND(F55*G55,2)</f>
        <v/>
      </c>
      <c r="I55" s="269" t="n"/>
    </row>
    <row r="56" ht="25.5" customHeight="1" s="289">
      <c r="A56" s="200" t="n">
        <v>36</v>
      </c>
      <c r="B56" s="210" t="n"/>
      <c r="C56" s="201" t="inlineStr">
        <is>
          <t>04.1.02.05-0057</t>
        </is>
      </c>
      <c r="D56" s="202" t="inlineStr">
        <is>
          <t>Смеси бетонные тяжелого бетона (БСТ), крупность заполнителя 40 мм, класс В7,5 (М100)</t>
        </is>
      </c>
      <c r="E56" s="354" t="inlineStr">
        <is>
          <t>м3</t>
        </is>
      </c>
      <c r="F56" s="201" t="n">
        <v>12.24</v>
      </c>
      <c r="G56" s="199" t="n">
        <v>562.74</v>
      </c>
      <c r="H56" s="199">
        <f>ROUND(F56*G56,2)</f>
        <v/>
      </c>
      <c r="I56" s="269" t="n"/>
    </row>
    <row r="57" ht="25.5" customHeight="1" s="289">
      <c r="A57" s="201" t="inlineStr">
        <is>
          <t>37</t>
        </is>
      </c>
      <c r="B57" s="210" t="n"/>
      <c r="C57" s="201" t="inlineStr">
        <is>
          <t>04.1.02.05-0060</t>
        </is>
      </c>
      <c r="D57" s="202" t="inlineStr">
        <is>
          <t>Смеси бетонные тяжелого бетона (БСТ), крупность заполнителя 40 мм, класс В15 (М200)</t>
        </is>
      </c>
      <c r="E57" s="354" t="inlineStr">
        <is>
          <t>м3</t>
        </is>
      </c>
      <c r="F57" s="201" t="n">
        <v>6.12</v>
      </c>
      <c r="G57" s="199" t="n">
        <v>665</v>
      </c>
      <c r="H57" s="199">
        <f>ROUND(F57*G57,2)</f>
        <v/>
      </c>
    </row>
    <row r="58" ht="25.5" customHeight="1" s="289">
      <c r="A58" s="200" t="n">
        <v>37</v>
      </c>
      <c r="B58" s="210" t="n"/>
      <c r="C58" s="201" t="inlineStr">
        <is>
          <t>04.1.02.05-0038</t>
        </is>
      </c>
      <c r="D58" s="202" t="inlineStr">
        <is>
          <t>Смеси бетонные тяжелого бетона (БСТ), крупность заполнителя 20 мм, класс В3,5 (М50)</t>
        </is>
      </c>
      <c r="E58" s="354" t="inlineStr">
        <is>
          <t>м3</t>
        </is>
      </c>
      <c r="F58" s="201" t="n">
        <v>6.12</v>
      </c>
      <c r="G58" s="199" t="n">
        <v>520</v>
      </c>
      <c r="H58" s="199">
        <f>ROUND(F58*G58,2)</f>
        <v/>
      </c>
    </row>
    <row r="59" ht="25.5" customHeight="1" s="289">
      <c r="A59" s="201" t="inlineStr">
        <is>
          <t>38</t>
        </is>
      </c>
      <c r="B59" s="210" t="n"/>
      <c r="C59" s="201" t="inlineStr">
        <is>
          <t>05.1.07.27-0010</t>
        </is>
      </c>
      <c r="D59" s="202" t="inlineStr">
        <is>
          <t>Столбы оград 2С 24ж, бетон B15, объем 0,05 м3, расход арматуры 15,4 кг</t>
        </is>
      </c>
      <c r="E59" s="354" t="inlineStr">
        <is>
          <t>шт</t>
        </is>
      </c>
      <c r="F59" s="201" t="n">
        <v>19</v>
      </c>
      <c r="G59" s="199" t="n">
        <v>166.73</v>
      </c>
      <c r="H59" s="199">
        <f>ROUND(F59*G59,2)</f>
        <v/>
      </c>
    </row>
    <row r="60" ht="25.5" customHeight="1" s="289">
      <c r="A60" s="200" t="n">
        <v>38</v>
      </c>
      <c r="B60" s="210" t="n"/>
      <c r="C60" s="201" t="inlineStr">
        <is>
          <t>08.4.01.01-0022</t>
        </is>
      </c>
      <c r="D60" s="202" t="inlineStr">
        <is>
          <t>Детали анкерные с резьбой из прямых или гнутых круглых стержней</t>
        </is>
      </c>
      <c r="E60" s="354" t="inlineStr">
        <is>
          <t>т</t>
        </is>
      </c>
      <c r="F60" s="201" t="n">
        <v>0.24</v>
      </c>
      <c r="G60" s="199" t="n">
        <v>10100</v>
      </c>
      <c r="H60" s="199">
        <f>ROUND(F60*G60,2)</f>
        <v/>
      </c>
    </row>
    <row r="61">
      <c r="A61" s="201" t="inlineStr">
        <is>
          <t>39</t>
        </is>
      </c>
      <c r="B61" s="210" t="n"/>
      <c r="C61" s="201" t="inlineStr">
        <is>
          <t>01.7.15.03-0042</t>
        </is>
      </c>
      <c r="D61" s="202" t="inlineStr">
        <is>
          <t>Болты с гайками и шайбами строительные</t>
        </is>
      </c>
      <c r="E61" s="354" t="inlineStr">
        <is>
          <t>кг</t>
        </is>
      </c>
      <c r="F61" s="201" t="n">
        <v>203.516</v>
      </c>
      <c r="G61" s="199" t="n">
        <v>9.039999999999999</v>
      </c>
      <c r="H61" s="199">
        <f>ROUND(F61*G61,2)</f>
        <v/>
      </c>
    </row>
    <row r="62">
      <c r="A62" s="200" t="n">
        <v>39</v>
      </c>
      <c r="B62" s="210" t="n"/>
      <c r="C62" s="201" t="inlineStr">
        <is>
          <t>14.5.09.11-0102</t>
        </is>
      </c>
      <c r="D62" s="202" t="inlineStr">
        <is>
          <t>Уайт-спирит</t>
        </is>
      </c>
      <c r="E62" s="354" t="inlineStr">
        <is>
          <t>кг</t>
        </is>
      </c>
      <c r="F62" s="201" t="n">
        <v>260.48</v>
      </c>
      <c r="G62" s="199" t="n">
        <v>6.67</v>
      </c>
      <c r="H62" s="199">
        <f>ROUND(F62*G62,2)</f>
        <v/>
      </c>
    </row>
    <row r="63" ht="25.5" customHeight="1" s="289">
      <c r="A63" s="201" t="inlineStr">
        <is>
          <t>40</t>
        </is>
      </c>
      <c r="B63" s="210" t="n"/>
      <c r="C63" s="201" t="inlineStr">
        <is>
          <t>08.4.03.03-0035</t>
        </is>
      </c>
      <c r="D63" s="202" t="inlineStr">
        <is>
          <t>Сталь арматурная, горячекатаная, периодического профиля, класс А-III, диаметр 20-22 мм</t>
        </is>
      </c>
      <c r="E63" s="354" t="inlineStr">
        <is>
          <t>т</t>
        </is>
      </c>
      <c r="F63" s="201" t="n">
        <v>0.17</v>
      </c>
      <c r="G63" s="199" t="n">
        <v>7917</v>
      </c>
      <c r="H63" s="199">
        <f>ROUND(F63*G63,2)</f>
        <v/>
      </c>
    </row>
    <row r="64" ht="25.5" customHeight="1" s="289">
      <c r="A64" s="200" t="n">
        <v>40</v>
      </c>
      <c r="B64" s="210" t="n"/>
      <c r="C64" s="201" t="inlineStr">
        <is>
          <t>06.1.01.05-0035</t>
        </is>
      </c>
      <c r="D64" s="202" t="inlineStr">
        <is>
          <t>Кирпич керамический одинарный, марка 100, размер 250х120х65 мм</t>
        </is>
      </c>
      <c r="E64" s="354" t="inlineStr">
        <is>
          <t>1000 шт</t>
        </is>
      </c>
      <c r="F64" s="201" t="n">
        <v>0.75086</v>
      </c>
      <c r="G64" s="199" t="n">
        <v>1752.6</v>
      </c>
      <c r="H64" s="199">
        <f>ROUND(F64*G64,2)</f>
        <v/>
      </c>
    </row>
    <row r="65" ht="25.5" customHeight="1" s="289">
      <c r="A65" s="201" t="inlineStr">
        <is>
          <t>41</t>
        </is>
      </c>
      <c r="B65" s="210" t="n"/>
      <c r="C65" s="201" t="inlineStr">
        <is>
          <t>08.1.02.17-0051</t>
        </is>
      </c>
      <c r="D65" s="202" t="inlineStr">
        <is>
          <t>Сетка плетеная с квадратными ячейками № 12, без покрытия</t>
        </is>
      </c>
      <c r="E65" s="354" t="inlineStr">
        <is>
          <t>м2</t>
        </is>
      </c>
      <c r="F65" s="201" t="n">
        <v>53.6</v>
      </c>
      <c r="G65" s="199" t="n">
        <v>18.08</v>
      </c>
      <c r="H65" s="199">
        <f>ROUND(F65*G65,2)</f>
        <v/>
      </c>
    </row>
    <row r="66" ht="25.5" customHeight="1" s="289">
      <c r="A66" s="200" t="n">
        <v>41</v>
      </c>
      <c r="B66" s="210" t="n"/>
      <c r="C66" s="201" t="inlineStr">
        <is>
          <t>01.7.04.04-0001</t>
        </is>
      </c>
      <c r="D66" s="202" t="inlineStr">
        <is>
          <t>Замки для запирания металлических дверей, щитов и пультов с ключом, типа ЗЩУЗ</t>
        </is>
      </c>
      <c r="E66" s="354" t="inlineStr">
        <is>
          <t>шт</t>
        </is>
      </c>
      <c r="F66" s="201" t="n">
        <v>8</v>
      </c>
      <c r="G66" s="199" t="n">
        <v>99.09999999999999</v>
      </c>
      <c r="H66" s="199">
        <f>ROUND(F66*G66,2)</f>
        <v/>
      </c>
    </row>
    <row r="67">
      <c r="A67" s="201" t="inlineStr">
        <is>
          <t>42</t>
        </is>
      </c>
      <c r="B67" s="210" t="n"/>
      <c r="C67" s="201" t="inlineStr">
        <is>
          <t>14.5.05.02-0001</t>
        </is>
      </c>
      <c r="D67" s="202" t="inlineStr">
        <is>
          <t>Олифа натуральная</t>
        </is>
      </c>
      <c r="E67" s="354" t="inlineStr">
        <is>
          <t>кг</t>
        </is>
      </c>
      <c r="F67" s="201" t="n">
        <v>21.978</v>
      </c>
      <c r="G67" s="199" t="n">
        <v>32.6</v>
      </c>
      <c r="H67" s="199">
        <f>ROUND(F67*G67,2)</f>
        <v/>
      </c>
    </row>
    <row r="68">
      <c r="A68" s="200" t="n">
        <v>42</v>
      </c>
      <c r="B68" s="210" t="n"/>
      <c r="C68" s="201" t="inlineStr">
        <is>
          <t>01.7.11.07-0054</t>
        </is>
      </c>
      <c r="D68" s="202" t="inlineStr">
        <is>
          <t>Электроды сварочные Э42, диаметр 6 мм</t>
        </is>
      </c>
      <c r="E68" s="354" t="inlineStr">
        <is>
          <t>т</t>
        </is>
      </c>
      <c r="F68" s="201" t="n">
        <v>0.06112</v>
      </c>
      <c r="G68" s="199" t="n">
        <v>9424</v>
      </c>
      <c r="H68" s="199">
        <f>ROUND(F68*G68,2)</f>
        <v/>
      </c>
    </row>
    <row r="69">
      <c r="A69" s="201" t="inlineStr">
        <is>
          <t>43</t>
        </is>
      </c>
      <c r="B69" s="210" t="n"/>
      <c r="C69" s="201" t="inlineStr">
        <is>
          <t>01.7.20.08-0111</t>
        </is>
      </c>
      <c r="D69" s="202" t="inlineStr">
        <is>
          <t>Рогожа</t>
        </is>
      </c>
      <c r="E69" s="354" t="inlineStr">
        <is>
          <t>м2</t>
        </is>
      </c>
      <c r="F69" s="201" t="n">
        <v>19.5</v>
      </c>
      <c r="G69" s="199" t="n">
        <v>10.2</v>
      </c>
      <c r="H69" s="199">
        <f>ROUND(F69*G69,2)</f>
        <v/>
      </c>
    </row>
    <row r="70">
      <c r="A70" s="200" t="n">
        <v>43</v>
      </c>
      <c r="B70" s="210" t="n"/>
      <c r="C70" s="201" t="inlineStr">
        <is>
          <t>04.3.01.09-0012</t>
        </is>
      </c>
      <c r="D70" s="202" t="inlineStr">
        <is>
          <t>Раствор готовый кладочный, цементный, М50</t>
        </is>
      </c>
      <c r="E70" s="354" t="inlineStr">
        <is>
          <t>м3</t>
        </is>
      </c>
      <c r="F70" s="201" t="n">
        <v>0.39734</v>
      </c>
      <c r="G70" s="199" t="n">
        <v>485.9</v>
      </c>
      <c r="H70" s="199">
        <f>ROUND(F70*G70,2)</f>
        <v/>
      </c>
    </row>
    <row r="71">
      <c r="A71" s="201" t="inlineStr">
        <is>
          <t>44</t>
        </is>
      </c>
      <c r="B71" s="210" t="n"/>
      <c r="C71" s="201" t="inlineStr">
        <is>
          <t>01.7.04.09-0012</t>
        </is>
      </c>
      <c r="D71" s="202" t="inlineStr">
        <is>
          <t>Петля накладная</t>
        </is>
      </c>
      <c r="E71" s="354" t="inlineStr">
        <is>
          <t>шт</t>
        </is>
      </c>
      <c r="F71" s="201" t="n">
        <v>16</v>
      </c>
      <c r="G71" s="199" t="n">
        <v>12</v>
      </c>
      <c r="H71" s="199">
        <f>ROUND(F71*G71,2)</f>
        <v/>
      </c>
    </row>
    <row r="72">
      <c r="A72" s="200" t="n">
        <v>44</v>
      </c>
      <c r="B72" s="210" t="n"/>
      <c r="C72" s="201" t="inlineStr">
        <is>
          <t>01.7.11.07-0038</t>
        </is>
      </c>
      <c r="D72" s="202" t="inlineStr">
        <is>
          <t>Электроды диаметром: 4 мм Э50</t>
        </is>
      </c>
      <c r="E72" s="354" t="inlineStr">
        <is>
          <t>т</t>
        </is>
      </c>
      <c r="F72" s="201" t="n">
        <v>0.0136</v>
      </c>
      <c r="G72" s="199" t="n">
        <v>11224</v>
      </c>
      <c r="H72" s="199">
        <f>ROUND(F72*G72,2)</f>
        <v/>
      </c>
    </row>
    <row r="73">
      <c r="A73" s="201" t="inlineStr">
        <is>
          <t>45</t>
        </is>
      </c>
      <c r="B73" s="210" t="n"/>
      <c r="C73" s="201" t="inlineStr">
        <is>
          <t>11.2.13.04-0011</t>
        </is>
      </c>
      <c r="D73" s="202" t="inlineStr">
        <is>
          <t>Щиты из досок толщиной 25 мм</t>
        </is>
      </c>
      <c r="E73" s="354" t="inlineStr">
        <is>
          <t>м2</t>
        </is>
      </c>
      <c r="F73" s="201" t="n">
        <v>3.906</v>
      </c>
      <c r="G73" s="199" t="n">
        <v>35.53</v>
      </c>
      <c r="H73" s="199">
        <f>ROUND(F73*G73,2)</f>
        <v/>
      </c>
    </row>
    <row r="74">
      <c r="A74" s="200" t="n">
        <v>45</v>
      </c>
      <c r="B74" s="210" t="n"/>
      <c r="C74" s="201" t="inlineStr">
        <is>
          <t>14.5.09.09-0001</t>
        </is>
      </c>
      <c r="D74" s="202" t="inlineStr">
        <is>
          <t>Сольвент каменноугольный технический, марка А</t>
        </is>
      </c>
      <c r="E74" s="354" t="inlineStr">
        <is>
          <t>т</t>
        </is>
      </c>
      <c r="F74" s="201" t="n">
        <v>0.013</v>
      </c>
      <c r="G74" s="199" t="n">
        <v>10615.64</v>
      </c>
      <c r="H74" s="199">
        <f>ROUND(F74*G74,2)</f>
        <v/>
      </c>
    </row>
    <row r="75" ht="51" customHeight="1" s="289">
      <c r="A75" s="201" t="inlineStr">
        <is>
          <t>46</t>
        </is>
      </c>
      <c r="B75" s="210" t="n"/>
      <c r="C75" s="201" t="inlineStr">
        <is>
          <t>07.2.07.12-0006</t>
        </is>
      </c>
      <c r="D75" s="202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E75" s="354" t="inlineStr">
        <is>
          <t>т</t>
        </is>
      </c>
      <c r="F75" s="201" t="n">
        <v>0.009719999999999999</v>
      </c>
      <c r="G75" s="199" t="n">
        <v>10045</v>
      </c>
      <c r="H75" s="199">
        <f>ROUND(F75*G75,2)</f>
        <v/>
      </c>
    </row>
    <row r="76">
      <c r="A76" s="200" t="n">
        <v>46</v>
      </c>
      <c r="B76" s="210" t="n"/>
      <c r="C76" s="201" t="inlineStr">
        <is>
          <t>01.7.20.08-0051</t>
        </is>
      </c>
      <c r="D76" s="202" t="inlineStr">
        <is>
          <t>Ветошь</t>
        </is>
      </c>
      <c r="E76" s="354" t="inlineStr">
        <is>
          <t>кг</t>
        </is>
      </c>
      <c r="F76" s="201" t="n">
        <v>43.142</v>
      </c>
      <c r="G76" s="199" t="n">
        <v>1.82</v>
      </c>
      <c r="H76" s="199">
        <f>ROUND(F76*G76,2)</f>
        <v/>
      </c>
    </row>
    <row r="77">
      <c r="A77" s="201" t="inlineStr">
        <is>
          <t>47</t>
        </is>
      </c>
      <c r="B77" s="210" t="n"/>
      <c r="C77" s="201" t="inlineStr">
        <is>
          <t>08.3.03.04-0012</t>
        </is>
      </c>
      <c r="D77" s="202" t="inlineStr">
        <is>
          <t>Проволока светлая, диаметр 1,1 мм</t>
        </is>
      </c>
      <c r="E77" s="354" t="inlineStr">
        <is>
          <t>т</t>
        </is>
      </c>
      <c r="F77" s="201" t="n">
        <v>0.00486</v>
      </c>
      <c r="G77" s="199" t="n">
        <v>10200</v>
      </c>
      <c r="H77" s="199">
        <f>ROUND(F77*G77,2)</f>
        <v/>
      </c>
    </row>
    <row r="78" ht="25.5" customHeight="1" s="289">
      <c r="A78" s="200" t="n">
        <v>47</v>
      </c>
      <c r="B78" s="210" t="n"/>
      <c r="C78" s="201" t="inlineStr">
        <is>
          <t>11.1.03.06-0095</t>
        </is>
      </c>
      <c r="D78" s="202" t="inlineStr">
        <is>
          <t>Доска обрезная, хвойных пород, ширина 75-150 мм, толщина 44 мм и более, длина 4-6,5 м, сорт III</t>
        </is>
      </c>
      <c r="E78" s="354" t="inlineStr">
        <is>
          <t>м3</t>
        </is>
      </c>
      <c r="F78" s="201" t="n">
        <v>0.042</v>
      </c>
      <c r="G78" s="199" t="n">
        <v>1056</v>
      </c>
      <c r="H78" s="199">
        <f>ROUND(F78*G78,2)</f>
        <v/>
      </c>
    </row>
    <row r="79" ht="38.25" customHeight="1" s="289">
      <c r="A79" s="201" t="inlineStr">
        <is>
          <t>48</t>
        </is>
      </c>
      <c r="B79" s="210" t="n"/>
      <c r="C79" s="201" t="inlineStr">
        <is>
          <t>07.2.07.12-0020</t>
        </is>
      </c>
      <c r="D79" s="202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79" s="354" t="inlineStr">
        <is>
          <t>т</t>
        </is>
      </c>
      <c r="F79" s="201" t="n">
        <v>0.004395</v>
      </c>
      <c r="G79" s="199" t="n">
        <v>7712</v>
      </c>
      <c r="H79" s="199">
        <f>ROUND(F79*G79,2)</f>
        <v/>
      </c>
    </row>
    <row r="80">
      <c r="A80" s="200" t="n">
        <v>48</v>
      </c>
      <c r="B80" s="210" t="n"/>
      <c r="C80" s="201" t="inlineStr">
        <is>
          <t>08.1.02.11-0001</t>
        </is>
      </c>
      <c r="D80" s="202" t="inlineStr">
        <is>
          <t>Поковки из квадратных заготовок, масса 1,8 кг</t>
        </is>
      </c>
      <c r="E80" s="354" t="inlineStr">
        <is>
          <t>т</t>
        </is>
      </c>
      <c r="F80" s="201" t="n">
        <v>0.00368</v>
      </c>
      <c r="G80" s="199" t="n">
        <v>5989</v>
      </c>
      <c r="H80" s="199">
        <f>ROUND(F80*G80,2)</f>
        <v/>
      </c>
    </row>
    <row r="81">
      <c r="A81" s="201" t="inlineStr">
        <is>
          <t>49</t>
        </is>
      </c>
      <c r="B81" s="210" t="n"/>
      <c r="C81" s="201" t="inlineStr">
        <is>
          <t>01.7.15.06-0111</t>
        </is>
      </c>
      <c r="D81" s="202" t="inlineStr">
        <is>
          <t>Гвозди строительные</t>
        </is>
      </c>
      <c r="E81" s="354" t="inlineStr">
        <is>
          <t>т</t>
        </is>
      </c>
      <c r="F81" s="201" t="n">
        <v>0.001809</v>
      </c>
      <c r="G81" s="199" t="n">
        <v>11978</v>
      </c>
      <c r="H81" s="199">
        <f>ROUND(F81*G81,2)</f>
        <v/>
      </c>
    </row>
    <row r="82" ht="25.5" customHeight="1" s="289">
      <c r="A82" s="200" t="n">
        <v>49</v>
      </c>
      <c r="B82" s="210" t="n"/>
      <c r="C82" s="201" t="inlineStr">
        <is>
          <t>08.3.03.06-0002</t>
        </is>
      </c>
      <c r="D82" s="202" t="inlineStr">
        <is>
          <t>Проволока горячекатаная в мотках, диаметр 6,3-6,5 мм</t>
        </is>
      </c>
      <c r="E82" s="354" t="inlineStr">
        <is>
          <t>т</t>
        </is>
      </c>
      <c r="F82" s="201" t="n">
        <v>0.004598</v>
      </c>
      <c r="G82" s="199" t="n">
        <v>4455.2</v>
      </c>
      <c r="H82" s="199">
        <f>ROUND(F82*G82,2)</f>
        <v/>
      </c>
    </row>
    <row r="83" ht="63.75" customHeight="1" s="289">
      <c r="A83" s="201" t="inlineStr">
        <is>
          <t>50</t>
        </is>
      </c>
      <c r="B83" s="210" t="n"/>
      <c r="C83" s="201" t="inlineStr">
        <is>
          <t>08.4.01.02-0013</t>
        </is>
      </c>
      <c r="D83" s="202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83" s="354" t="inlineStr">
        <is>
          <t>т</t>
        </is>
      </c>
      <c r="F83" s="201" t="n">
        <v>0.002</v>
      </c>
      <c r="G83" s="199" t="n">
        <v>6800</v>
      </c>
      <c r="H83" s="199">
        <f>ROUND(F83*G83,2)</f>
        <v/>
      </c>
    </row>
    <row r="84">
      <c r="A84" s="200" t="n">
        <v>50</v>
      </c>
      <c r="B84" s="210" t="n"/>
      <c r="C84" s="201" t="inlineStr">
        <is>
          <t>01.3.02.08-0001</t>
        </is>
      </c>
      <c r="D84" s="202" t="inlineStr">
        <is>
          <t>Кислород газообразный технический</t>
        </is>
      </c>
      <c r="E84" s="354" t="inlineStr">
        <is>
          <t>м3</t>
        </is>
      </c>
      <c r="F84" s="201" t="n">
        <v>1.71405</v>
      </c>
      <c r="G84" s="199" t="n">
        <v>6.22</v>
      </c>
      <c r="H84" s="199">
        <f>ROUND(F84*G84,2)</f>
        <v/>
      </c>
    </row>
    <row r="85">
      <c r="A85" s="201" t="inlineStr">
        <is>
          <t>51</t>
        </is>
      </c>
      <c r="B85" s="210" t="n"/>
      <c r="C85" s="201" t="inlineStr">
        <is>
          <t>01.7.11.07-0032</t>
        </is>
      </c>
      <c r="D85" s="202" t="inlineStr">
        <is>
          <t>Электроды сварочные Э42, диаметр 4 мм</t>
        </is>
      </c>
      <c r="E85" s="354" t="inlineStr">
        <is>
          <t>т</t>
        </is>
      </c>
      <c r="F85" s="201" t="n">
        <v>0.0008319999999999999</v>
      </c>
      <c r="G85" s="199" t="n">
        <v>10315.01</v>
      </c>
      <c r="H85" s="199">
        <f>ROUND(F85*G85,2)</f>
        <v/>
      </c>
    </row>
    <row r="86">
      <c r="A86" s="200" t="n">
        <v>51</v>
      </c>
      <c r="B86" s="210" t="n"/>
      <c r="C86" s="201" t="inlineStr">
        <is>
          <t>08.3.11.01-0091</t>
        </is>
      </c>
      <c r="D86" s="202" t="inlineStr">
        <is>
          <t>Швеллеры № 40, марка стали Ст0</t>
        </is>
      </c>
      <c r="E86" s="354" t="inlineStr">
        <is>
          <t>т</t>
        </is>
      </c>
      <c r="F86" s="201" t="n">
        <v>0.001705</v>
      </c>
      <c r="G86" s="199" t="n">
        <v>4920</v>
      </c>
      <c r="H86" s="199">
        <f>ROUND(F86*G86,2)</f>
        <v/>
      </c>
    </row>
    <row r="87">
      <c r="A87" s="201" t="inlineStr">
        <is>
          <t>52</t>
        </is>
      </c>
      <c r="B87" s="210" t="n"/>
      <c r="C87" s="201" t="inlineStr">
        <is>
          <t>14.5.09.07-0029</t>
        </is>
      </c>
      <c r="D87" s="202" t="inlineStr">
        <is>
          <t>Растворитель марки: Р-4</t>
        </is>
      </c>
      <c r="E87" s="354" t="inlineStr">
        <is>
          <t>т</t>
        </is>
      </c>
      <c r="F87" s="201" t="n">
        <v>0.000527</v>
      </c>
      <c r="G87" s="199" t="n">
        <v>9420</v>
      </c>
      <c r="H87" s="199">
        <f>ROUND(F87*G87,2)</f>
        <v/>
      </c>
    </row>
    <row r="88">
      <c r="A88" s="200" t="n">
        <v>52</v>
      </c>
      <c r="B88" s="210" t="n"/>
      <c r="C88" s="201" t="inlineStr">
        <is>
          <t>14.4.01.01-0003</t>
        </is>
      </c>
      <c r="D88" s="202" t="inlineStr">
        <is>
          <t>Грунтовка ГФ-021</t>
        </is>
      </c>
      <c r="E88" s="354" t="inlineStr">
        <is>
          <t>т</t>
        </is>
      </c>
      <c r="F88" s="201" t="n">
        <v>0.000272</v>
      </c>
      <c r="G88" s="199" t="n">
        <v>15620</v>
      </c>
      <c r="H88" s="199">
        <f>ROUND(F88*G88,2)</f>
        <v/>
      </c>
    </row>
    <row r="89">
      <c r="A89" s="201" t="inlineStr">
        <is>
          <t>53</t>
        </is>
      </c>
      <c r="B89" s="210" t="n"/>
      <c r="C89" s="201" t="inlineStr">
        <is>
          <t>03.1.02.03-0011</t>
        </is>
      </c>
      <c r="D89" s="202" t="inlineStr">
        <is>
          <t>Известь строительная негашеная комовая, сорт I</t>
        </is>
      </c>
      <c r="E89" s="354" t="inlineStr">
        <is>
          <t>т</t>
        </is>
      </c>
      <c r="F89" s="201" t="n">
        <v>0.00492</v>
      </c>
      <c r="G89" s="199" t="n">
        <v>734.5</v>
      </c>
      <c r="H89" s="199">
        <f>ROUND(F89*G89,2)</f>
        <v/>
      </c>
    </row>
    <row r="90">
      <c r="A90" s="200" t="n">
        <v>53</v>
      </c>
      <c r="B90" s="210" t="n"/>
      <c r="C90" s="201" t="inlineStr">
        <is>
          <t>01.7.20.08-0071</t>
        </is>
      </c>
      <c r="D90" s="202" t="inlineStr">
        <is>
          <t>Канат пеньковый пропитанный</t>
        </is>
      </c>
      <c r="E90" s="354" t="inlineStr">
        <is>
          <t>т</t>
        </is>
      </c>
      <c r="F90" s="201" t="n">
        <v>8.8e-05</v>
      </c>
      <c r="G90" s="199" t="n">
        <v>37900</v>
      </c>
      <c r="H90" s="199">
        <f>ROUND(F90*G90,2)</f>
        <v/>
      </c>
    </row>
    <row r="91">
      <c r="A91" s="201" t="inlineStr">
        <is>
          <t>54</t>
        </is>
      </c>
      <c r="B91" s="210" t="n"/>
      <c r="C91" s="201" t="inlineStr">
        <is>
          <t>01.3.02.09-0022</t>
        </is>
      </c>
      <c r="D91" s="202" t="inlineStr">
        <is>
          <t>Пропан-бутан смесь техническая</t>
        </is>
      </c>
      <c r="E91" s="354" t="inlineStr">
        <is>
          <t>кг</t>
        </is>
      </c>
      <c r="F91" s="201" t="n">
        <v>0.51861</v>
      </c>
      <c r="G91" s="199" t="n">
        <v>6.09</v>
      </c>
      <c r="H91" s="199">
        <f>ROUND(F91*G91,2)</f>
        <v/>
      </c>
    </row>
    <row r="92">
      <c r="A92" s="200" t="n">
        <v>54</v>
      </c>
      <c r="B92" s="210" t="n"/>
      <c r="C92" s="201" t="inlineStr">
        <is>
          <t>01.7.03.01-0001</t>
        </is>
      </c>
      <c r="D92" s="202" t="inlineStr">
        <is>
          <t>Вода</t>
        </is>
      </c>
      <c r="E92" s="354" t="inlineStr">
        <is>
          <t>м3</t>
        </is>
      </c>
      <c r="F92" s="201" t="n">
        <v>0.77344</v>
      </c>
      <c r="G92" s="199" t="n">
        <v>2.44</v>
      </c>
      <c r="H92" s="199">
        <f>ROUND(F92*G92,2)</f>
        <v/>
      </c>
    </row>
    <row r="93">
      <c r="A93" s="201" t="inlineStr">
        <is>
          <t>55</t>
        </is>
      </c>
      <c r="B93" s="210" t="n"/>
      <c r="C93" s="201" t="inlineStr">
        <is>
          <t>04.3.01.09-0011</t>
        </is>
      </c>
      <c r="D93" s="202" t="inlineStr">
        <is>
          <t>Раствор готовый кладочный цементный марки 25</t>
        </is>
      </c>
      <c r="E93" s="354" t="inlineStr">
        <is>
          <t>м3</t>
        </is>
      </c>
      <c r="F93" s="201" t="n">
        <v>0.00368</v>
      </c>
      <c r="G93" s="199" t="n">
        <v>463.3</v>
      </c>
      <c r="H93" s="199">
        <f>ROUND(F93*G93,2)</f>
        <v/>
      </c>
    </row>
    <row r="94" ht="25.5" customHeight="1" s="289">
      <c r="A94" s="200" t="n">
        <v>55</v>
      </c>
      <c r="B94" s="210" t="n"/>
      <c r="C94" s="201" t="inlineStr">
        <is>
          <t>11.1.03.01-0077</t>
        </is>
      </c>
      <c r="D94" s="202" t="inlineStr">
        <is>
          <t>Бруски обрезные, хвойных пород, длина 4-6,5 м, ширина 75-150 мм, толщина 40-75 мм, сорт I</t>
        </is>
      </c>
      <c r="E94" s="354" t="inlineStr">
        <is>
          <t>м3</t>
        </is>
      </c>
      <c r="F94" s="201" t="n">
        <v>0.000905</v>
      </c>
      <c r="G94" s="199" t="n">
        <v>1700</v>
      </c>
      <c r="H94" s="199">
        <f>ROUND(F94*G94,2)</f>
        <v/>
      </c>
    </row>
    <row r="95">
      <c r="A95" s="201" t="inlineStr">
        <is>
          <t>56</t>
        </is>
      </c>
      <c r="B95" s="210" t="n"/>
      <c r="C95" s="201" t="inlineStr">
        <is>
          <t>07.2.07.02-0001</t>
        </is>
      </c>
      <c r="D95" s="202" t="inlineStr">
        <is>
          <t>Кондуктор инвентарный металлический</t>
        </is>
      </c>
      <c r="E95" s="354" t="inlineStr">
        <is>
          <t>шт</t>
        </is>
      </c>
      <c r="F95" s="201" t="n">
        <v>0.0024</v>
      </c>
      <c r="G95" s="199" t="n">
        <v>346</v>
      </c>
      <c r="H95" s="199">
        <f>ROUND(F95*G95,2)</f>
        <v/>
      </c>
    </row>
    <row r="96" ht="51" customHeight="1" s="289">
      <c r="A96" s="200" t="n">
        <v>56</v>
      </c>
      <c r="B96" s="210" t="n"/>
      <c r="C96" s="201" t="inlineStr">
        <is>
          <t>08.2.02.11-0007</t>
        </is>
      </c>
      <c r="D96" s="202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96" s="354" t="inlineStr">
        <is>
          <t>10 м</t>
        </is>
      </c>
      <c r="F96" s="201" t="n">
        <v>0.016437</v>
      </c>
      <c r="G96" s="199" t="n">
        <v>50.24</v>
      </c>
      <c r="H96" s="199">
        <f>ROUND(F96*G96,2)</f>
        <v/>
      </c>
    </row>
    <row r="97" hidden="1" s="289">
      <c r="H97" s="417">
        <f>H12+H26+H47</f>
        <v/>
      </c>
    </row>
    <row r="98" ht="25.5" customHeight="1" s="289">
      <c r="B98" s="213" t="inlineStr">
        <is>
          <t xml:space="preserve">Примечание: </t>
        </is>
      </c>
      <c r="C98" s="32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102">
      <c r="B102" s="280" t="inlineStr">
        <is>
          <t>Составил ______________________        Е.А. Князева</t>
        </is>
      </c>
      <c r="C102" s="287" t="n"/>
    </row>
    <row r="103">
      <c r="B103" s="288" t="inlineStr">
        <is>
          <t xml:space="preserve">                         (подпись, инициалы, фамилия)</t>
        </is>
      </c>
      <c r="C103" s="287" t="n"/>
    </row>
    <row r="104">
      <c r="B104" s="280" t="n"/>
      <c r="C104" s="287" t="n"/>
    </row>
    <row r="105">
      <c r="B105" s="280" t="inlineStr">
        <is>
          <t>Проверил ______________________        А.В. Костянецкая</t>
        </is>
      </c>
      <c r="C105" s="287" t="n"/>
    </row>
    <row r="106">
      <c r="B106" s="288" t="inlineStr">
        <is>
          <t xml:space="preserve">                        (подпись, инициалы, фамилия)</t>
        </is>
      </c>
      <c r="C106" s="287" t="n"/>
    </row>
  </sheetData>
  <mergeCells count="16">
    <mergeCell ref="C9:C10"/>
    <mergeCell ref="B9:B10"/>
    <mergeCell ref="A3:H3"/>
    <mergeCell ref="E9:E10"/>
    <mergeCell ref="D9:D10"/>
    <mergeCell ref="A26:E26"/>
    <mergeCell ref="F9:F10"/>
    <mergeCell ref="A24:E24"/>
    <mergeCell ref="C98:H98"/>
    <mergeCell ref="A9:A10"/>
    <mergeCell ref="A12:E12"/>
    <mergeCell ref="A2:H2"/>
    <mergeCell ref="A47:E47"/>
    <mergeCell ref="A46:E46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ColWidth="9.140625" defaultRowHeight="15"/>
  <cols>
    <col width="4.140625" customWidth="1" style="289" min="1" max="1"/>
    <col width="36.28515625" customWidth="1" style="289" min="2" max="2"/>
    <col width="18.85546875" customWidth="1" style="289" min="3" max="3"/>
    <col width="18.28515625" customWidth="1" style="289" min="4" max="4"/>
    <col width="18.85546875" customWidth="1" style="289" min="5" max="5"/>
    <col width="9.140625" customWidth="1" style="289" min="6" max="6"/>
    <col width="12.85546875" customWidth="1" style="289" min="7" max="7"/>
    <col width="9.140625" customWidth="1" style="289" min="8" max="11"/>
    <col width="13.5703125" customWidth="1" style="289" min="12" max="12"/>
    <col width="9.140625" customWidth="1" style="289" min="13" max="13"/>
  </cols>
  <sheetData>
    <row r="1">
      <c r="B1" s="280" t="n"/>
      <c r="C1" s="280" t="n"/>
      <c r="D1" s="280" t="n"/>
      <c r="E1" s="280" t="n"/>
    </row>
    <row r="2">
      <c r="B2" s="280" t="n"/>
      <c r="C2" s="280" t="n"/>
      <c r="D2" s="280" t="n"/>
      <c r="E2" s="353" t="inlineStr">
        <is>
          <t>Приложение № 4</t>
        </is>
      </c>
    </row>
    <row r="3">
      <c r="B3" s="280" t="n"/>
      <c r="C3" s="280" t="n"/>
      <c r="D3" s="280" t="n"/>
      <c r="E3" s="280" t="n"/>
    </row>
    <row r="4">
      <c r="B4" s="280" t="n"/>
      <c r="C4" s="280" t="n"/>
      <c r="D4" s="280" t="n"/>
      <c r="E4" s="280" t="n"/>
    </row>
    <row r="5">
      <c r="B5" s="309" t="inlineStr">
        <is>
          <t>Ресурсная модель</t>
        </is>
      </c>
    </row>
    <row r="6">
      <c r="B6" s="168" t="n"/>
      <c r="C6" s="280" t="n"/>
      <c r="D6" s="280" t="n"/>
      <c r="E6" s="280" t="n"/>
    </row>
    <row r="7" ht="34.5" customHeight="1" s="289">
      <c r="B7" s="334">
        <f>'Прил.1 Сравнит табл'!B7:D7</f>
        <v/>
      </c>
    </row>
    <row r="8">
      <c r="B8" s="335">
        <f>'Прил.1 Сравнит табл'!B9:D9</f>
        <v/>
      </c>
    </row>
    <row r="9">
      <c r="B9" s="168" t="n"/>
      <c r="C9" s="280" t="n"/>
      <c r="D9" s="280" t="n"/>
      <c r="E9" s="280" t="n"/>
    </row>
    <row r="10" ht="51" customHeight="1" s="289">
      <c r="B10" s="337" t="inlineStr">
        <is>
          <t>Наименование</t>
        </is>
      </c>
      <c r="C10" s="337" t="inlineStr">
        <is>
          <t>Сметная стоимость в ценах на 01.01.2023
 (руб.)</t>
        </is>
      </c>
      <c r="D10" s="337" t="inlineStr">
        <is>
          <t>Удельный вес, 
(в СМР)</t>
        </is>
      </c>
      <c r="E10" s="337" t="inlineStr">
        <is>
          <t>Удельный вес, % 
(от всего по РМ)</t>
        </is>
      </c>
    </row>
    <row r="11">
      <c r="B11" s="214" t="inlineStr">
        <is>
          <t>Оплата труда рабочих</t>
        </is>
      </c>
      <c r="C11" s="282">
        <f>'Прил.5 Расчет СМР и ОБ'!J14</f>
        <v/>
      </c>
      <c r="D11" s="216">
        <f>C11/$C$24</f>
        <v/>
      </c>
      <c r="E11" s="216">
        <f>C11/$C$40</f>
        <v/>
      </c>
    </row>
    <row r="12">
      <c r="B12" s="214" t="inlineStr">
        <is>
          <t>Эксплуатация машин основных</t>
        </is>
      </c>
      <c r="C12" s="282">
        <f>'Прил.5 Расчет СМР и ОБ'!J21</f>
        <v/>
      </c>
      <c r="D12" s="216">
        <f>C12/$C$24</f>
        <v/>
      </c>
      <c r="E12" s="216">
        <f>C12/$C$40</f>
        <v/>
      </c>
    </row>
    <row r="13">
      <c r="B13" s="214" t="inlineStr">
        <is>
          <t>Эксплуатация машин прочих</t>
        </is>
      </c>
      <c r="C13" s="282">
        <f>'Прил.5 Расчет СМР и ОБ'!J39</f>
        <v/>
      </c>
      <c r="D13" s="216">
        <f>C13/$C$24</f>
        <v/>
      </c>
      <c r="E13" s="216">
        <f>C13/$C$40</f>
        <v/>
      </c>
    </row>
    <row r="14">
      <c r="B14" s="214" t="inlineStr">
        <is>
          <t>ЭКСПЛУАТАЦИЯ МАШИН, ВСЕГО:</t>
        </is>
      </c>
      <c r="C14" s="282">
        <f>C13+C12</f>
        <v/>
      </c>
      <c r="D14" s="216">
        <f>C14/$C$24</f>
        <v/>
      </c>
      <c r="E14" s="216">
        <f>C14/$C$40</f>
        <v/>
      </c>
    </row>
    <row r="15">
      <c r="B15" s="214" t="inlineStr">
        <is>
          <t>в том числе зарплата машинистов</t>
        </is>
      </c>
      <c r="C15" s="282">
        <f>'Прил.5 Расчет СМР и ОБ'!J16</f>
        <v/>
      </c>
      <c r="D15" s="216">
        <f>C15/$C$24</f>
        <v/>
      </c>
      <c r="E15" s="216">
        <f>C15/$C$40</f>
        <v/>
      </c>
    </row>
    <row r="16">
      <c r="B16" s="214" t="inlineStr">
        <is>
          <t>Материалы основные</t>
        </is>
      </c>
      <c r="C16" s="282">
        <f>'Прил.5 Расчет СМР и ОБ'!J58</f>
        <v/>
      </c>
      <c r="D16" s="216">
        <f>C16/$C$24</f>
        <v/>
      </c>
      <c r="E16" s="216">
        <f>C16/$C$40</f>
        <v/>
      </c>
    </row>
    <row r="17">
      <c r="B17" s="214" t="inlineStr">
        <is>
          <t>Материалы прочие</t>
        </is>
      </c>
      <c r="C17" s="282">
        <f>'Прил.5 Расчет СМР и ОБ'!J99</f>
        <v/>
      </c>
      <c r="D17" s="216">
        <f>C17/$C$24</f>
        <v/>
      </c>
      <c r="E17" s="216">
        <f>C17/$C$40</f>
        <v/>
      </c>
      <c r="G17" s="418" t="n"/>
    </row>
    <row r="18">
      <c r="B18" s="214" t="inlineStr">
        <is>
          <t>МАТЕРИАЛЫ, ВСЕГО:</t>
        </is>
      </c>
      <c r="C18" s="282">
        <f>C17+C16</f>
        <v/>
      </c>
      <c r="D18" s="216">
        <f>C18/$C$24</f>
        <v/>
      </c>
      <c r="E18" s="216">
        <f>C18/$C$40</f>
        <v/>
      </c>
    </row>
    <row r="19">
      <c r="B19" s="214" t="inlineStr">
        <is>
          <t>ИТОГО</t>
        </is>
      </c>
      <c r="C19" s="282">
        <f>C18+C14+C11</f>
        <v/>
      </c>
      <c r="D19" s="216" t="n"/>
      <c r="E19" s="214" t="n"/>
    </row>
    <row r="20">
      <c r="B20" s="214" t="inlineStr">
        <is>
          <t>Сметная прибыль, руб.</t>
        </is>
      </c>
      <c r="C20" s="282">
        <f>ROUND(C21*(C11+C15),2)</f>
        <v/>
      </c>
      <c r="D20" s="216">
        <f>C20/$C$24</f>
        <v/>
      </c>
      <c r="E20" s="216">
        <f>C20/$C$40</f>
        <v/>
      </c>
    </row>
    <row r="21">
      <c r="B21" s="214" t="inlineStr">
        <is>
          <t>Сметная прибыль, %</t>
        </is>
      </c>
      <c r="C21" s="219">
        <f>'Прил.5 Расчет СМР и ОБ'!E103</f>
        <v/>
      </c>
      <c r="D21" s="216" t="n"/>
      <c r="E21" s="214" t="n"/>
    </row>
    <row r="22">
      <c r="B22" s="214" t="inlineStr">
        <is>
          <t>Накладные расходы, руб.</t>
        </is>
      </c>
      <c r="C22" s="282">
        <f>ROUND(C23*(C11+C15),2)</f>
        <v/>
      </c>
      <c r="D22" s="216">
        <f>C22/$C$24</f>
        <v/>
      </c>
      <c r="E22" s="216">
        <f>C22/$C$40</f>
        <v/>
      </c>
    </row>
    <row r="23">
      <c r="B23" s="214" t="inlineStr">
        <is>
          <t>Накладные расходы, %</t>
        </is>
      </c>
      <c r="C23" s="219">
        <f>'Прил.5 Расчет СМР и ОБ'!E102</f>
        <v/>
      </c>
      <c r="D23" s="216" t="n"/>
      <c r="E23" s="214" t="n"/>
    </row>
    <row r="24">
      <c r="B24" s="214" t="inlineStr">
        <is>
          <t>ВСЕГО СМР с НР и СП</t>
        </is>
      </c>
      <c r="C24" s="282">
        <f>C19+C20+C22</f>
        <v/>
      </c>
      <c r="D24" s="216">
        <f>C24/$C$24</f>
        <v/>
      </c>
      <c r="E24" s="216">
        <f>C24/$C$40</f>
        <v/>
      </c>
    </row>
    <row r="25" ht="25.5" customHeight="1" s="289">
      <c r="B25" s="214" t="inlineStr">
        <is>
          <t>ВСЕГО стоимость оборудования, в том числе</t>
        </is>
      </c>
      <c r="C25" s="282">
        <f>'Прил.5 Расчет СМР и ОБ'!J46</f>
        <v/>
      </c>
      <c r="D25" s="216" t="n"/>
      <c r="E25" s="216">
        <f>C25/$C$40</f>
        <v/>
      </c>
    </row>
    <row r="26" ht="25.5" customHeight="1" s="289">
      <c r="B26" s="214" t="inlineStr">
        <is>
          <t>стоимость оборудования технологического</t>
        </is>
      </c>
      <c r="C26" s="282">
        <f>C25</f>
        <v/>
      </c>
      <c r="D26" s="216" t="n"/>
      <c r="E26" s="216">
        <f>C26/$C$40</f>
        <v/>
      </c>
    </row>
    <row r="27">
      <c r="B27" s="214" t="inlineStr">
        <is>
          <t>ИТОГО (СМР + ОБОРУДОВАНИЕ)</t>
        </is>
      </c>
      <c r="C27" s="215">
        <f>C24+C25</f>
        <v/>
      </c>
      <c r="D27" s="216" t="n"/>
      <c r="E27" s="216">
        <f>C27/$C$40</f>
        <v/>
      </c>
    </row>
    <row r="28" ht="33" customHeight="1" s="289">
      <c r="B28" s="214" t="inlineStr">
        <is>
          <t>ПРОЧ. ЗАТР., УЧТЕННЫЕ ПОКАЗАТЕЛЕМ,  в том числе</t>
        </is>
      </c>
      <c r="C28" s="214" t="n"/>
      <c r="D28" s="214" t="n"/>
      <c r="E28" s="214" t="n"/>
    </row>
    <row r="29" ht="25.5" customHeight="1" s="289">
      <c r="B29" s="214" t="inlineStr">
        <is>
          <t>Временные здания и сооружения - 3,9%</t>
        </is>
      </c>
      <c r="C29" s="215">
        <f>ROUND(C24*3.9%,2)</f>
        <v/>
      </c>
      <c r="D29" s="214" t="n"/>
      <c r="E29" s="216">
        <f>C29/$C$40</f>
        <v/>
      </c>
    </row>
    <row r="30" ht="38.25" customHeight="1" s="289">
      <c r="B30" s="214" t="inlineStr">
        <is>
          <t>Дополнительные затраты при производстве строительно-монтажных работ в зимнее время - 2,1%</t>
        </is>
      </c>
      <c r="C30" s="215">
        <f>ROUND((C24+C29)*2.1%,2)</f>
        <v/>
      </c>
      <c r="D30" s="214" t="n"/>
      <c r="E30" s="216">
        <f>C30/$C$40</f>
        <v/>
      </c>
    </row>
    <row r="31">
      <c r="B31" s="214" t="inlineStr">
        <is>
          <t>Пусконаладочные работы</t>
        </is>
      </c>
      <c r="C31" s="215">
        <f>ROUND(C25*7%*0.8,2)</f>
        <v/>
      </c>
      <c r="D31" s="214" t="n"/>
      <c r="E31" s="216">
        <f>C31/$C$40</f>
        <v/>
      </c>
    </row>
    <row r="32" ht="25.5" customHeight="1" s="289">
      <c r="B32" s="214" t="inlineStr">
        <is>
          <t>Затраты по перевозке работников к месту работы и обратно</t>
        </is>
      </c>
      <c r="C32" s="215" t="n">
        <v>0</v>
      </c>
      <c r="D32" s="214" t="n"/>
      <c r="E32" s="216">
        <f>C32/$C$40</f>
        <v/>
      </c>
    </row>
    <row r="33" ht="25.5" customHeight="1" s="289">
      <c r="B33" s="214" t="inlineStr">
        <is>
          <t>Затраты, связанные с осуществлением работ вахтовым методом</t>
        </is>
      </c>
      <c r="C33" s="215" t="n">
        <v>0</v>
      </c>
      <c r="D33" s="214" t="n"/>
      <c r="E33" s="216">
        <f>C33/$C$40</f>
        <v/>
      </c>
    </row>
    <row r="34" ht="51" customHeight="1" s="289">
      <c r="B34" s="21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5" t="n">
        <v>0</v>
      </c>
      <c r="D34" s="214" t="n"/>
      <c r="E34" s="216">
        <f>C34/$C$40</f>
        <v/>
      </c>
    </row>
    <row r="35" ht="76.7" customHeight="1" s="289">
      <c r="B35" s="21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5" t="n">
        <v>0</v>
      </c>
      <c r="D35" s="214" t="n"/>
      <c r="E35" s="216">
        <f>C35/$C$40</f>
        <v/>
      </c>
    </row>
    <row r="36" ht="25.5" customHeight="1" s="289">
      <c r="B36" s="214" t="inlineStr">
        <is>
          <t>Строительный контроль и содержание службы заказчика - 2,14%</t>
        </is>
      </c>
      <c r="C36" s="215">
        <f>ROUND((C27+C29+C31+C30)*2.14%,2)</f>
        <v/>
      </c>
      <c r="D36" s="214" t="n"/>
      <c r="E36" s="216">
        <f>C36/$C$40</f>
        <v/>
      </c>
      <c r="G36" s="159" t="n"/>
      <c r="L36" s="170" t="n"/>
    </row>
    <row r="37">
      <c r="B37" s="214" t="inlineStr">
        <is>
          <t>Авторский надзор - 0,2%</t>
        </is>
      </c>
      <c r="C37" s="215">
        <f>ROUND((C27+C29+C30+C31)*0.2%,2)</f>
        <v/>
      </c>
      <c r="D37" s="214" t="n"/>
      <c r="E37" s="216">
        <f>C37/$C$40</f>
        <v/>
      </c>
      <c r="G37" s="159" t="n"/>
      <c r="L37" s="170" t="n"/>
    </row>
    <row r="38" ht="38.25" customHeight="1" s="289">
      <c r="B38" s="214" t="inlineStr">
        <is>
          <t>ИТОГО (СМР+ОБОРУДОВАНИЕ+ПРОЧ. ЗАТР., УЧТЕННЫЕ ПОКАЗАТЕЛЕМ)</t>
        </is>
      </c>
      <c r="C38" s="282">
        <f>C36+C30+C27+C29+C31+C37</f>
        <v/>
      </c>
      <c r="D38" s="214" t="n"/>
      <c r="E38" s="216">
        <f>C38/$C$40</f>
        <v/>
      </c>
    </row>
    <row r="39" ht="13.7" customHeight="1" s="289">
      <c r="B39" s="214" t="inlineStr">
        <is>
          <t>Непредвиденные расходы</t>
        </is>
      </c>
      <c r="C39" s="282">
        <f>ROUND(C38*3%,2)</f>
        <v/>
      </c>
      <c r="D39" s="214" t="n"/>
      <c r="E39" s="216">
        <f>C39/$C$38</f>
        <v/>
      </c>
    </row>
    <row r="40">
      <c r="B40" s="214" t="inlineStr">
        <is>
          <t>ВСЕГО:</t>
        </is>
      </c>
      <c r="C40" s="282">
        <f>C39+C38</f>
        <v/>
      </c>
      <c r="D40" s="214" t="n"/>
      <c r="E40" s="216">
        <f>C40/$C$40</f>
        <v/>
      </c>
    </row>
    <row r="41">
      <c r="B41" s="214" t="inlineStr">
        <is>
          <t>ИТОГО ПОКАЗАТЕЛЬ НА ЕД. ИЗМ.</t>
        </is>
      </c>
      <c r="C41" s="282">
        <f>C40/'Прил.5 Расчет СМР и ОБ'!E106</f>
        <v/>
      </c>
      <c r="D41" s="214" t="n"/>
      <c r="E41" s="214" t="n"/>
    </row>
    <row r="42">
      <c r="B42" s="284" t="n"/>
      <c r="C42" s="280" t="n"/>
      <c r="D42" s="280" t="n"/>
      <c r="E42" s="280" t="n"/>
    </row>
    <row r="43">
      <c r="B43" s="284" t="inlineStr">
        <is>
          <t>Составил ____________________________ Е.А. Князева</t>
        </is>
      </c>
      <c r="C43" s="280" t="n"/>
      <c r="D43" s="280" t="n"/>
      <c r="E43" s="280" t="n"/>
    </row>
    <row r="44">
      <c r="B44" s="284" t="inlineStr">
        <is>
          <t xml:space="preserve">(должность, подпись, инициалы, фамилия) </t>
        </is>
      </c>
      <c r="C44" s="280" t="n"/>
      <c r="D44" s="280" t="n"/>
      <c r="E44" s="280" t="n"/>
    </row>
    <row r="45">
      <c r="B45" s="284" t="n"/>
      <c r="C45" s="280" t="n"/>
      <c r="D45" s="280" t="n"/>
      <c r="E45" s="280" t="n"/>
    </row>
    <row r="46">
      <c r="B46" s="284" t="inlineStr">
        <is>
          <t>Проверил ____________________________ А.В. Костянецкая</t>
        </is>
      </c>
      <c r="C46" s="280" t="n"/>
      <c r="D46" s="280" t="n"/>
      <c r="E46" s="280" t="n"/>
    </row>
    <row r="47">
      <c r="B47" s="335" t="inlineStr">
        <is>
          <t>(должность, подпись, инициалы, фамилия)</t>
        </is>
      </c>
      <c r="D47" s="280" t="n"/>
      <c r="E47" s="280" t="n"/>
    </row>
    <row r="49">
      <c r="B49" s="280" t="n"/>
      <c r="C49" s="280" t="n"/>
      <c r="D49" s="280" t="n"/>
      <c r="E49" s="280" t="n"/>
    </row>
    <row r="50">
      <c r="B50" s="280" t="n"/>
      <c r="C50" s="280" t="n"/>
      <c r="D50" s="280" t="n"/>
      <c r="E50" s="28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116"/>
  <sheetViews>
    <sheetView tabSelected="1" view="pageBreakPreview" topLeftCell="A99" workbookViewId="0">
      <selection activeCell="E114" sqref="E114"/>
    </sheetView>
  </sheetViews>
  <sheetFormatPr baseColWidth="8" defaultColWidth="9.140625" defaultRowHeight="15" outlineLevelRow="1"/>
  <cols>
    <col width="5.7109375" customWidth="1" style="287" min="1" max="1"/>
    <col width="22.5703125" customWidth="1" style="287" min="2" max="2"/>
    <col width="39.140625" customWidth="1" style="287" min="3" max="3"/>
    <col width="10.7109375" customWidth="1" style="287" min="4" max="4"/>
    <col width="12.7109375" customWidth="1" style="287" min="5" max="5"/>
    <col width="14.5703125" customWidth="1" style="287" min="6" max="6"/>
    <col width="13.42578125" customWidth="1" style="287" min="7" max="7"/>
    <col width="12.7109375" customWidth="1" style="287" min="8" max="8"/>
    <col width="14.5703125" customWidth="1" style="287" min="9" max="9"/>
    <col width="15.140625" customWidth="1" style="287" min="10" max="10"/>
    <col width="22.42578125" customWidth="1" style="287" min="11" max="11"/>
    <col width="16.28515625" customWidth="1" style="287" min="12" max="12"/>
    <col width="10.85546875" customWidth="1" style="287" min="13" max="13"/>
    <col width="9.140625" customWidth="1" style="287" min="14" max="14"/>
    <col width="9.140625" customWidth="1" style="289" min="15" max="15"/>
  </cols>
  <sheetData>
    <row r="2" ht="15.75" customHeight="1" s="289">
      <c r="H2" s="336" t="inlineStr">
        <is>
          <t>Приложение №5</t>
        </is>
      </c>
    </row>
    <row r="4" ht="12.75" customFormat="1" customHeight="1" s="280">
      <c r="A4" s="309" t="inlineStr">
        <is>
          <t>Расчет стоимости СМР и оборудования</t>
        </is>
      </c>
      <c r="I4" s="309" t="n"/>
      <c r="J4" s="309" t="n"/>
    </row>
    <row r="5" ht="12.75" customFormat="1" customHeight="1" s="280">
      <c r="A5" s="309" t="n"/>
      <c r="B5" s="309" t="n"/>
      <c r="C5" s="309" t="n"/>
      <c r="D5" s="309" t="n"/>
      <c r="E5" s="309" t="n"/>
      <c r="F5" s="309" t="n"/>
      <c r="G5" s="309" t="n"/>
      <c r="H5" s="309" t="n"/>
      <c r="I5" s="309" t="n"/>
      <c r="J5" s="309" t="n"/>
    </row>
    <row r="6" ht="12.75" customFormat="1" customHeight="1" s="280">
      <c r="A6" s="271" t="inlineStr">
        <is>
          <t xml:space="preserve">Наименование разрабатываемого показателя УНЦ - </t>
        </is>
      </c>
      <c r="B6" s="271" t="n"/>
      <c r="C6" s="271" t="n"/>
      <c r="D6" s="271" t="inlineStr">
        <is>
          <t>Ограждение внутреннее сетчатое</t>
        </is>
      </c>
      <c r="E6" s="271" t="n"/>
      <c r="F6" s="271" t="n"/>
      <c r="G6" s="271" t="n"/>
      <c r="H6" s="271" t="n"/>
      <c r="I6" s="224" t="n"/>
      <c r="J6" s="224" t="n"/>
    </row>
    <row r="7" ht="12.75" customFormat="1" customHeight="1" s="280">
      <c r="A7" s="312" t="inlineStr">
        <is>
          <t xml:space="preserve">Единица измерения  — 1 м </t>
        </is>
      </c>
      <c r="I7" s="334" t="n"/>
      <c r="J7" s="334" t="n"/>
    </row>
    <row r="8" ht="12.75" customFormat="1" customHeight="1" s="280"/>
    <row r="9" ht="27" customHeight="1" s="289">
      <c r="A9" s="337" t="inlineStr">
        <is>
          <t>№ пп.</t>
        </is>
      </c>
      <c r="B9" s="337" t="inlineStr">
        <is>
          <t>Код ресурса</t>
        </is>
      </c>
      <c r="C9" s="337" t="inlineStr">
        <is>
          <t>Наименование</t>
        </is>
      </c>
      <c r="D9" s="337" t="inlineStr">
        <is>
          <t>Ед. изм.</t>
        </is>
      </c>
      <c r="E9" s="337" t="inlineStr">
        <is>
          <t>Кол-во единиц по проектным данным</t>
        </is>
      </c>
      <c r="F9" s="337" t="inlineStr">
        <is>
          <t>Сметная стоимость в ценах на 01.01.2000 (руб.)</t>
        </is>
      </c>
      <c r="G9" s="409" t="n"/>
      <c r="H9" s="337" t="inlineStr">
        <is>
          <t>Удельный вес, %</t>
        </is>
      </c>
      <c r="I9" s="337" t="inlineStr">
        <is>
          <t>Сметная стоимость в ценах на 01.01.2023 (руб.)</t>
        </is>
      </c>
      <c r="J9" s="409" t="n"/>
    </row>
    <row r="10" ht="28.5" customHeight="1" s="289">
      <c r="A10" s="411" t="n"/>
      <c r="B10" s="411" t="n"/>
      <c r="C10" s="411" t="n"/>
      <c r="D10" s="411" t="n"/>
      <c r="E10" s="411" t="n"/>
      <c r="F10" s="337" t="inlineStr">
        <is>
          <t>на ед. изм.</t>
        </is>
      </c>
      <c r="G10" s="337" t="inlineStr">
        <is>
          <t>общая</t>
        </is>
      </c>
      <c r="H10" s="411" t="n"/>
      <c r="I10" s="337" t="inlineStr">
        <is>
          <t>на ед. изм.</t>
        </is>
      </c>
      <c r="J10" s="337" t="inlineStr">
        <is>
          <t>общая</t>
        </is>
      </c>
    </row>
    <row r="11">
      <c r="A11" s="337" t="n">
        <v>1</v>
      </c>
      <c r="B11" s="337" t="n">
        <v>2</v>
      </c>
      <c r="C11" s="337" t="n">
        <v>3</v>
      </c>
      <c r="D11" s="337" t="n">
        <v>4</v>
      </c>
      <c r="E11" s="337" t="n">
        <v>5</v>
      </c>
      <c r="F11" s="337" t="n">
        <v>6</v>
      </c>
      <c r="G11" s="337" t="n">
        <v>7</v>
      </c>
      <c r="H11" s="337" t="n">
        <v>8</v>
      </c>
      <c r="I11" s="337" t="n">
        <v>9</v>
      </c>
      <c r="J11" s="337" t="n">
        <v>10</v>
      </c>
    </row>
    <row r="12">
      <c r="A12" s="337" t="n"/>
      <c r="B12" s="331" t="inlineStr">
        <is>
          <t>Затраты труда рабочих-строителей</t>
        </is>
      </c>
      <c r="C12" s="408" t="n"/>
      <c r="D12" s="408" t="n"/>
      <c r="E12" s="408" t="n"/>
      <c r="F12" s="408" t="n"/>
      <c r="G12" s="408" t="n"/>
      <c r="H12" s="409" t="n"/>
      <c r="I12" s="232" t="n"/>
      <c r="J12" s="232" t="n"/>
    </row>
    <row r="13" ht="25.5" customHeight="1" s="289">
      <c r="A13" s="337" t="n">
        <v>1</v>
      </c>
      <c r="B13" s="266" t="inlineStr">
        <is>
          <t>1-3-4</t>
        </is>
      </c>
      <c r="C13" s="342" t="inlineStr">
        <is>
          <t>Затраты труда рабочих-строителей среднего разряда (3,4)</t>
        </is>
      </c>
      <c r="D13" s="337" t="inlineStr">
        <is>
          <t>чел.-ч.</t>
        </is>
      </c>
      <c r="E13" s="236">
        <f>G13/F13</f>
        <v/>
      </c>
      <c r="F13" s="234" t="n">
        <v>8.970000000000001</v>
      </c>
      <c r="G13" s="234">
        <f>'Прил. 3'!H12</f>
        <v/>
      </c>
      <c r="H13" s="345">
        <f>G13/G14</f>
        <v/>
      </c>
      <c r="I13" s="234">
        <f>ФОТр.тек.!E13</f>
        <v/>
      </c>
      <c r="J13" s="234">
        <f>ROUND(I13*E13,2)</f>
        <v/>
      </c>
    </row>
    <row r="14" ht="25.5" customFormat="1" customHeight="1" s="287">
      <c r="A14" s="337" t="n"/>
      <c r="B14" s="337" t="n"/>
      <c r="C14" s="331" t="inlineStr">
        <is>
          <t>Итого по разделу "Затраты труда рабочих-строителей"</t>
        </is>
      </c>
      <c r="D14" s="337" t="inlineStr">
        <is>
          <t>чел.-ч.</t>
        </is>
      </c>
      <c r="E14" s="236">
        <f>SUM(E13:E13)</f>
        <v/>
      </c>
      <c r="F14" s="234" t="n"/>
      <c r="G14" s="234">
        <f>'Прил. 3'!H12</f>
        <v/>
      </c>
      <c r="H14" s="345" t="n">
        <v>1</v>
      </c>
      <c r="I14" s="234" t="n"/>
      <c r="J14" s="234">
        <f>SUM(J13:J13)</f>
        <v/>
      </c>
      <c r="K14" s="419" t="n"/>
    </row>
    <row r="15" ht="14.25" customFormat="1" customHeight="1" s="287">
      <c r="A15" s="337" t="n"/>
      <c r="B15" s="342" t="inlineStr">
        <is>
          <t>Затраты труда машинистов</t>
        </is>
      </c>
      <c r="C15" s="408" t="n"/>
      <c r="D15" s="408" t="n"/>
      <c r="E15" s="408" t="n"/>
      <c r="F15" s="408" t="n"/>
      <c r="G15" s="408" t="n"/>
      <c r="H15" s="409" t="n"/>
      <c r="I15" s="232" t="n"/>
      <c r="J15" s="232" t="n"/>
    </row>
    <row r="16" ht="14.25" customFormat="1" customHeight="1" s="287">
      <c r="A16" s="337" t="n">
        <v>2</v>
      </c>
      <c r="B16" s="337" t="n">
        <v>2</v>
      </c>
      <c r="C16" s="342" t="inlineStr">
        <is>
          <t>Затраты труда машинистов</t>
        </is>
      </c>
      <c r="D16" s="337" t="inlineStr">
        <is>
          <t>чел.-ч.</t>
        </is>
      </c>
      <c r="E16" s="236">
        <f>'Прил. 3'!F25</f>
        <v/>
      </c>
      <c r="F16" s="234">
        <f>G16/E16</f>
        <v/>
      </c>
      <c r="G16" s="234">
        <f>'Прил. 3'!H25</f>
        <v/>
      </c>
      <c r="H16" s="345" t="n">
        <v>1</v>
      </c>
      <c r="I16" s="234">
        <f>ROUND(F16*'Прил. 10'!D10,2)</f>
        <v/>
      </c>
      <c r="J16" s="234">
        <f>ROUND(I16*E16,2)</f>
        <v/>
      </c>
    </row>
    <row r="17" ht="14.25" customFormat="1" customHeight="1" s="287">
      <c r="A17" s="337" t="n"/>
      <c r="B17" s="331" t="inlineStr">
        <is>
          <t>Машины и механизмы</t>
        </is>
      </c>
      <c r="C17" s="408" t="n"/>
      <c r="D17" s="408" t="n"/>
      <c r="E17" s="408" t="n"/>
      <c r="F17" s="408" t="n"/>
      <c r="G17" s="408" t="n"/>
      <c r="H17" s="409" t="n"/>
      <c r="I17" s="345" t="n"/>
      <c r="J17" s="345" t="n"/>
    </row>
    <row r="18" ht="14.25" customFormat="1" customHeight="1" s="287">
      <c r="A18" s="337" t="n"/>
      <c r="B18" s="342" t="inlineStr">
        <is>
          <t>Основные машины и механизмы</t>
        </is>
      </c>
      <c r="C18" s="408" t="n"/>
      <c r="D18" s="408" t="n"/>
      <c r="E18" s="408" t="n"/>
      <c r="F18" s="408" t="n"/>
      <c r="G18" s="408" t="n"/>
      <c r="H18" s="409" t="n"/>
      <c r="I18" s="232" t="n"/>
      <c r="J18" s="232" t="n"/>
    </row>
    <row r="19" ht="25.5" customFormat="1" customHeight="1" s="287">
      <c r="A19" s="337" t="n">
        <v>3</v>
      </c>
      <c r="B19" s="266" t="inlineStr">
        <is>
          <t>91.05.05-014</t>
        </is>
      </c>
      <c r="C19" s="342" t="inlineStr">
        <is>
          <t>Краны на автомобильном ходу, грузоподъемность 10 т</t>
        </is>
      </c>
      <c r="D19" s="337" t="inlineStr">
        <is>
          <t>маш.-ч</t>
        </is>
      </c>
      <c r="E19" s="236" t="n">
        <v>129.13295</v>
      </c>
      <c r="F19" s="352" t="n">
        <v>111.99</v>
      </c>
      <c r="G19" s="234">
        <f>ROUND(E19*F19,2)</f>
        <v/>
      </c>
      <c r="H19" s="345">
        <f>G19/$G$40</f>
        <v/>
      </c>
      <c r="I19" s="352">
        <f>ROUND(F19*'Прил. 10'!$D$11,2)</f>
        <v/>
      </c>
      <c r="J19" s="234">
        <f>ROUND(I19*E19,2)</f>
        <v/>
      </c>
    </row>
    <row r="20" ht="25.5" customFormat="1" customHeight="1" s="287">
      <c r="A20" s="337" t="n">
        <v>4</v>
      </c>
      <c r="B20" s="266" t="inlineStr">
        <is>
          <t>91.04.01-031</t>
        </is>
      </c>
      <c r="C20" s="342" t="inlineStr">
        <is>
          <t>Машины бурильно-крановые на автомобиле, глубина бурения 3,5 м</t>
        </is>
      </c>
      <c r="D20" s="337" t="inlineStr">
        <is>
          <t>маш.-ч</t>
        </is>
      </c>
      <c r="E20" s="236" t="n">
        <v>27.82</v>
      </c>
      <c r="F20" s="352" t="n">
        <v>138.54</v>
      </c>
      <c r="G20" s="234">
        <f>ROUND(E20*F20,2)</f>
        <v/>
      </c>
      <c r="H20" s="345">
        <f>G20/$G$40</f>
        <v/>
      </c>
      <c r="I20" s="352">
        <f>ROUND(F20*'Прил. 10'!$D$11,2)</f>
        <v/>
      </c>
      <c r="J20" s="234">
        <f>ROUND(I20*E20,2)</f>
        <v/>
      </c>
    </row>
    <row r="21" ht="14.25" customFormat="1" customHeight="1" s="287">
      <c r="A21" s="337" t="n">
        <v>5</v>
      </c>
      <c r="B21" s="337" t="n"/>
      <c r="C21" s="342" t="inlineStr">
        <is>
          <t>Итого основные машины и механизмы</t>
        </is>
      </c>
      <c r="D21" s="337" t="n"/>
      <c r="E21" s="242" t="n"/>
      <c r="F21" s="234" t="n"/>
      <c r="G21" s="234">
        <f>SUM(G19:G20)</f>
        <v/>
      </c>
      <c r="H21" s="345">
        <f>G21/G40</f>
        <v/>
      </c>
      <c r="I21" s="234" t="n"/>
      <c r="J21" s="234">
        <f>SUM(J19:J20)</f>
        <v/>
      </c>
      <c r="L21" s="419" t="n"/>
    </row>
    <row r="22" hidden="1" outlineLevel="1" ht="38.25" customFormat="1" customHeight="1" s="287">
      <c r="A22" s="337" t="n">
        <v>6</v>
      </c>
      <c r="B22" s="201" t="inlineStr">
        <is>
          <t>91.17.04-035</t>
        </is>
      </c>
      <c r="C22" s="202" t="inlineStr">
        <is>
          <t>Агрегаты сварочные передвижные с бензиновым двигателем, номинальный сварочный ток 250-400 А</t>
        </is>
      </c>
      <c r="D22" s="354" t="inlineStr">
        <is>
          <t>маш.-ч</t>
        </is>
      </c>
      <c r="E22" s="201" t="n">
        <v>36.693</v>
      </c>
      <c r="F22" s="204" t="n">
        <v>14</v>
      </c>
      <c r="G22" s="234">
        <f>ROUND(E22*F22,2)</f>
        <v/>
      </c>
      <c r="H22" s="345">
        <f>G22/$G$40</f>
        <v/>
      </c>
      <c r="I22" s="352">
        <f>ROUND(F22*'Прил. 10'!$D$11,2)</f>
        <v/>
      </c>
      <c r="J22" s="234">
        <f>ROUND(I22*E22,2)</f>
        <v/>
      </c>
      <c r="L22" s="419" t="n"/>
    </row>
    <row r="23" hidden="1" outlineLevel="1" ht="32.25" customFormat="1" customHeight="1" s="287">
      <c r="A23" s="337" t="n">
        <v>7</v>
      </c>
      <c r="B23" s="201" t="inlineStr">
        <is>
          <t>91.14.02-001</t>
        </is>
      </c>
      <c r="C23" s="202" t="inlineStr">
        <is>
          <t>Автомобили бортовые, грузоподъемность до 5 т</t>
        </is>
      </c>
      <c r="D23" s="354" t="inlineStr">
        <is>
          <t>маш.-ч</t>
        </is>
      </c>
      <c r="E23" s="201" t="n">
        <v>4.18089</v>
      </c>
      <c r="F23" s="204" t="n">
        <v>65.70999999999999</v>
      </c>
      <c r="G23" s="234">
        <f>ROUND(E23*F23,2)</f>
        <v/>
      </c>
      <c r="H23" s="345">
        <f>G23/$G$40</f>
        <v/>
      </c>
      <c r="I23" s="352">
        <f>ROUND(F23*'Прил. 10'!$D$11,2)</f>
        <v/>
      </c>
      <c r="J23" s="234">
        <f>ROUND(I23*E23,2)</f>
        <v/>
      </c>
      <c r="L23" s="419" t="n"/>
    </row>
    <row r="24" hidden="1" outlineLevel="1" ht="25.5" customFormat="1" customHeight="1" s="287">
      <c r="A24" s="337" t="n">
        <v>8</v>
      </c>
      <c r="B24" s="201" t="inlineStr">
        <is>
          <t>91.21.22-638</t>
        </is>
      </c>
      <c r="C24" s="202" t="inlineStr">
        <is>
          <t>Пылесосы промышленные, мощность до 2000 Вт</t>
        </is>
      </c>
      <c r="D24" s="354" t="inlineStr">
        <is>
          <t>маш.-ч</t>
        </is>
      </c>
      <c r="E24" s="201" t="n">
        <v>81.40000000000001</v>
      </c>
      <c r="F24" s="204" t="n">
        <v>3.29</v>
      </c>
      <c r="G24" s="234">
        <f>ROUND(E24*F24,2)</f>
        <v/>
      </c>
      <c r="H24" s="345">
        <f>G24/$G$40</f>
        <v/>
      </c>
      <c r="I24" s="352">
        <f>ROUND(F24*'Прил. 10'!$D$11,2)</f>
        <v/>
      </c>
      <c r="J24" s="234">
        <f>ROUND(I24*E24,2)</f>
        <v/>
      </c>
      <c r="L24" s="419" t="n"/>
    </row>
    <row r="25" hidden="1" outlineLevel="1" ht="14.25" customFormat="1" customHeight="1" s="287">
      <c r="A25" s="337" t="n">
        <v>9</v>
      </c>
      <c r="B25" s="201" t="inlineStr">
        <is>
          <t>91.05.01-017</t>
        </is>
      </c>
      <c r="C25" s="202" t="inlineStr">
        <is>
          <t>Краны башенные, грузоподъемность 8 т</t>
        </is>
      </c>
      <c r="D25" s="354" t="inlineStr">
        <is>
          <t>маш.-ч</t>
        </is>
      </c>
      <c r="E25" s="201" t="n">
        <v>2.7126</v>
      </c>
      <c r="F25" s="204" t="n">
        <v>86.40000000000001</v>
      </c>
      <c r="G25" s="234">
        <f>ROUND(E25*F25,2)</f>
        <v/>
      </c>
      <c r="H25" s="345">
        <f>G25/$G$40</f>
        <v/>
      </c>
      <c r="I25" s="352">
        <f>ROUND(F25*'Прил. 10'!$D$11,2)</f>
        <v/>
      </c>
      <c r="J25" s="234">
        <f>ROUND(I25*E25,2)</f>
        <v/>
      </c>
      <c r="L25" s="419" t="n"/>
    </row>
    <row r="26" hidden="1" outlineLevel="1" ht="36" customFormat="1" customHeight="1" s="287">
      <c r="A26" s="337" t="n">
        <v>10</v>
      </c>
      <c r="B26" s="201" t="inlineStr">
        <is>
          <t>91.05.06-007</t>
        </is>
      </c>
      <c r="C26" s="202" t="inlineStr">
        <is>
          <t>Краны на гусеничном ходу, грузоподъемность 25 т</t>
        </is>
      </c>
      <c r="D26" s="354" t="inlineStr">
        <is>
          <t>маш.-ч</t>
        </is>
      </c>
      <c r="E26" s="201" t="n">
        <v>0.93174</v>
      </c>
      <c r="F26" s="204" t="n">
        <v>120.04</v>
      </c>
      <c r="G26" s="234">
        <f>ROUND(E26*F26,2)</f>
        <v/>
      </c>
      <c r="H26" s="345">
        <f>G26/$G$40</f>
        <v/>
      </c>
      <c r="I26" s="352">
        <f>ROUND(F26*'Прил. 10'!$D$11,2)</f>
        <v/>
      </c>
      <c r="J26" s="234">
        <f>ROUND(I26*E26,2)</f>
        <v/>
      </c>
      <c r="L26" s="419" t="n"/>
    </row>
    <row r="27" hidden="1" outlineLevel="1" ht="25.5" customFormat="1" customHeight="1" s="287">
      <c r="A27" s="337" t="n">
        <v>11</v>
      </c>
      <c r="B27" s="201" t="inlineStr">
        <is>
          <t>91.17.04-233</t>
        </is>
      </c>
      <c r="C27" s="202" t="inlineStr">
        <is>
          <t>Установки для сварки ручной дуговой (постоянного тока)</t>
        </is>
      </c>
      <c r="D27" s="354" t="inlineStr">
        <is>
          <t>маш.-ч</t>
        </is>
      </c>
      <c r="E27" s="201" t="n">
        <v>12.4798</v>
      </c>
      <c r="F27" s="204" t="n">
        <v>8.1</v>
      </c>
      <c r="G27" s="234">
        <f>ROUND(E27*F27,2)</f>
        <v/>
      </c>
      <c r="H27" s="345">
        <f>G27/$G$40</f>
        <v/>
      </c>
      <c r="I27" s="352">
        <f>ROUND(F27*'Прил. 10'!$D$11,2)</f>
        <v/>
      </c>
      <c r="J27" s="234">
        <f>ROUND(I27*E27,2)</f>
        <v/>
      </c>
      <c r="L27" s="419" t="n"/>
    </row>
    <row r="28" hidden="1" outlineLevel="1" ht="24.75" customFormat="1" customHeight="1" s="287">
      <c r="A28" s="337" t="n">
        <v>12</v>
      </c>
      <c r="B28" s="201" t="inlineStr">
        <is>
          <t>91.05.02-005</t>
        </is>
      </c>
      <c r="C28" s="202" t="inlineStr">
        <is>
          <t>Краны козловые, грузоподъемность 32 т</t>
        </is>
      </c>
      <c r="D28" s="354" t="inlineStr">
        <is>
          <t>маш.-ч</t>
        </is>
      </c>
      <c r="E28" s="201" t="n">
        <v>0.77352</v>
      </c>
      <c r="F28" s="204" t="n">
        <v>120.24</v>
      </c>
      <c r="G28" s="234">
        <f>ROUND(E28*F28,2)</f>
        <v/>
      </c>
      <c r="H28" s="345">
        <f>G28/$G$40</f>
        <v/>
      </c>
      <c r="I28" s="352">
        <f>ROUND(F28*'Прил. 10'!$D$11,2)</f>
        <v/>
      </c>
      <c r="J28" s="234">
        <f>ROUND(I28*E28,2)</f>
        <v/>
      </c>
      <c r="L28" s="419" t="n"/>
    </row>
    <row r="29" hidden="1" outlineLevel="1" ht="46.5" customFormat="1" customHeight="1" s="287">
      <c r="A29" s="337" t="n">
        <v>13</v>
      </c>
      <c r="B29" s="201" t="inlineStr">
        <is>
          <t>91.01.05-106</t>
        </is>
      </c>
      <c r="C29" s="202" t="inlineStr">
        <is>
          <t>Экскаваторы одноковшовые дизельные на пневмоколесном ходу, емкость ковша 0,25 м3</t>
        </is>
      </c>
      <c r="D29" s="354" t="inlineStr">
        <is>
          <t>маш.-ч</t>
        </is>
      </c>
      <c r="E29" s="201" t="n">
        <v>0.7288</v>
      </c>
      <c r="F29" s="204" t="n">
        <v>70.01000000000001</v>
      </c>
      <c r="G29" s="234">
        <f>ROUND(E29*F29,2)</f>
        <v/>
      </c>
      <c r="H29" s="345">
        <f>G29/$G$40</f>
        <v/>
      </c>
      <c r="I29" s="352">
        <f>ROUND(F29*'Прил. 10'!$D$11,2)</f>
        <v/>
      </c>
      <c r="J29" s="234">
        <f>ROUND(I29*E29,2)</f>
        <v/>
      </c>
      <c r="L29" s="419" t="n"/>
    </row>
    <row r="30" hidden="1" outlineLevel="1" ht="14.25" customFormat="1" customHeight="1" s="287">
      <c r="A30" s="337" t="n">
        <v>14</v>
      </c>
      <c r="B30" s="201" t="inlineStr">
        <is>
          <t>91.12.08-161</t>
        </is>
      </c>
      <c r="C30" s="202" t="inlineStr">
        <is>
          <t>Ямокопатели</t>
        </is>
      </c>
      <c r="D30" s="354" t="inlineStr">
        <is>
          <t>маш.-ч</t>
        </is>
      </c>
      <c r="E30" s="201" t="n">
        <v>2.5272</v>
      </c>
      <c r="F30" s="204" t="n">
        <v>6.51</v>
      </c>
      <c r="G30" s="234">
        <f>ROUND(E30*F30,2)</f>
        <v/>
      </c>
      <c r="H30" s="345">
        <f>G30/$G$40</f>
        <v/>
      </c>
      <c r="I30" s="352">
        <f>ROUND(F30*'Прил. 10'!$D$11,2)</f>
        <v/>
      </c>
      <c r="J30" s="234">
        <f>ROUND(I30*E30,2)</f>
        <v/>
      </c>
      <c r="L30" s="419" t="n"/>
    </row>
    <row r="31" hidden="1" outlineLevel="1" ht="14.25" customFormat="1" customHeight="1" s="287">
      <c r="A31" s="337" t="n">
        <v>15</v>
      </c>
      <c r="B31" s="201" t="inlineStr">
        <is>
          <t>91.06.05-011</t>
        </is>
      </c>
      <c r="C31" s="202" t="inlineStr">
        <is>
          <t>Погрузчики, грузоподъемность 5 т</t>
        </is>
      </c>
      <c r="D31" s="354" t="inlineStr">
        <is>
          <t>маш.-ч</t>
        </is>
      </c>
      <c r="E31" s="201" t="n">
        <v>0.09760000000000001</v>
      </c>
      <c r="F31" s="204" t="n">
        <v>89.98999999999999</v>
      </c>
      <c r="G31" s="234">
        <f>ROUND(E31*F31,2)</f>
        <v/>
      </c>
      <c r="H31" s="345">
        <f>G31/$G$40</f>
        <v/>
      </c>
      <c r="I31" s="352">
        <f>ROUND(F31*'Прил. 10'!$D$11,2)</f>
        <v/>
      </c>
      <c r="J31" s="234">
        <f>ROUND(I31*E31,2)</f>
        <v/>
      </c>
      <c r="L31" s="419" t="n"/>
    </row>
    <row r="32" hidden="1" outlineLevel="1" ht="14.25" customFormat="1" customHeight="1" s="287">
      <c r="A32" s="337" t="n">
        <v>16</v>
      </c>
      <c r="B32" s="201" t="inlineStr">
        <is>
          <t>91.07.04-001</t>
        </is>
      </c>
      <c r="C32" s="202" t="inlineStr">
        <is>
          <t>Вибраторы глубинные</t>
        </is>
      </c>
      <c r="D32" s="354" t="inlineStr">
        <is>
          <t>маш.-ч</t>
        </is>
      </c>
      <c r="E32" s="201" t="n">
        <v>3.6528</v>
      </c>
      <c r="F32" s="204" t="n">
        <v>1.9</v>
      </c>
      <c r="G32" s="234">
        <f>ROUND(E32*F32,2)</f>
        <v/>
      </c>
      <c r="H32" s="345">
        <f>G32/$G$40</f>
        <v/>
      </c>
      <c r="I32" s="352">
        <f>ROUND(F32*'Прил. 10'!$D$11,2)</f>
        <v/>
      </c>
      <c r="J32" s="234">
        <f>ROUND(I32*E32,2)</f>
        <v/>
      </c>
      <c r="L32" s="419" t="n"/>
    </row>
    <row r="33" hidden="1" outlineLevel="1" ht="38.25" customFormat="1" customHeight="1" s="287">
      <c r="A33" s="337" t="n">
        <v>17</v>
      </c>
      <c r="B33" s="201" t="inlineStr">
        <is>
          <t>91.06.06-048</t>
        </is>
      </c>
      <c r="C33" s="202" t="inlineStr">
        <is>
          <t>Подъемники одномачтовые, грузоподъемность до 500 кг, высота подъема 45 м</t>
        </is>
      </c>
      <c r="D33" s="354" t="inlineStr">
        <is>
          <t>маш.-ч</t>
        </is>
      </c>
      <c r="E33" s="201" t="n">
        <v>0.0814</v>
      </c>
      <c r="F33" s="204" t="n">
        <v>31.26</v>
      </c>
      <c r="G33" s="234">
        <f>ROUND(E33*F33,2)</f>
        <v/>
      </c>
      <c r="H33" s="345">
        <f>G33/$G$40</f>
        <v/>
      </c>
      <c r="I33" s="352">
        <f>ROUND(F33*'Прил. 10'!$D$11,2)</f>
        <v/>
      </c>
      <c r="J33" s="234">
        <f>ROUND(I33*E33,2)</f>
        <v/>
      </c>
      <c r="L33" s="419" t="n"/>
    </row>
    <row r="34" hidden="1" outlineLevel="1" ht="14.25" customFormat="1" customHeight="1" s="287">
      <c r="A34" s="337" t="n">
        <v>18</v>
      </c>
      <c r="B34" s="201" t="inlineStr">
        <is>
          <t>91.17.04-042</t>
        </is>
      </c>
      <c r="C34" s="202" t="inlineStr">
        <is>
          <t>Аппараты для газовой сварки и резки</t>
        </is>
      </c>
      <c r="D34" s="354" t="inlineStr">
        <is>
          <t>маш.-ч</t>
        </is>
      </c>
      <c r="E34" s="201" t="n">
        <v>1.96896</v>
      </c>
      <c r="F34" s="204" t="n">
        <v>1.2</v>
      </c>
      <c r="G34" s="234">
        <f>ROUND(E34*F34,2)</f>
        <v/>
      </c>
      <c r="H34" s="345">
        <f>G34/$G$40</f>
        <v/>
      </c>
      <c r="I34" s="352">
        <f>ROUND(F34*'Прил. 10'!$D$11,2)</f>
        <v/>
      </c>
      <c r="J34" s="234">
        <f>ROUND(I34*E34,2)</f>
        <v/>
      </c>
      <c r="L34" s="419" t="n"/>
    </row>
    <row r="35" hidden="1" outlineLevel="1" ht="14.25" customFormat="1" customHeight="1" s="287">
      <c r="A35" s="337" t="n">
        <v>19</v>
      </c>
      <c r="B35" s="201" t="inlineStr">
        <is>
          <t>91.07.04-002</t>
        </is>
      </c>
      <c r="C35" s="202" t="inlineStr">
        <is>
          <t>Вибраторы поверхностные</t>
        </is>
      </c>
      <c r="D35" s="354" t="inlineStr">
        <is>
          <t>маш.-ч</t>
        </is>
      </c>
      <c r="E35" s="201" t="n">
        <v>2.88</v>
      </c>
      <c r="F35" s="204" t="n">
        <v>0.5</v>
      </c>
      <c r="G35" s="234">
        <f>ROUND(E35*F35,2)</f>
        <v/>
      </c>
      <c r="H35" s="345">
        <f>G35/$G$40</f>
        <v/>
      </c>
      <c r="I35" s="352">
        <f>ROUND(F35*'Прил. 10'!$D$11,2)</f>
        <v/>
      </c>
      <c r="J35" s="234">
        <f>ROUND(I35*E35,2)</f>
        <v/>
      </c>
      <c r="L35" s="419" t="n"/>
    </row>
    <row r="36" hidden="1" outlineLevel="1" ht="25.5" customFormat="1" customHeight="1" s="287">
      <c r="A36" s="337" t="n">
        <v>20</v>
      </c>
      <c r="B36" s="201" t="inlineStr">
        <is>
          <t>91.17.04-171</t>
        </is>
      </c>
      <c r="C36" s="202" t="inlineStr">
        <is>
          <t>Преобразователи сварочные номинальным сварочным током 315-500 А</t>
        </is>
      </c>
      <c r="D36" s="354" t="inlineStr">
        <is>
          <t>маш.-ч</t>
        </is>
      </c>
      <c r="E36" s="201" t="n">
        <v>0.07911</v>
      </c>
      <c r="F36" s="204" t="n">
        <v>12.31</v>
      </c>
      <c r="G36" s="234">
        <f>ROUND(E36*F36,2)</f>
        <v/>
      </c>
      <c r="H36" s="345">
        <f>G36/$G$40</f>
        <v/>
      </c>
      <c r="I36" s="352">
        <f>ROUND(F36*'Прил. 10'!$D$11,2)</f>
        <v/>
      </c>
      <c r="J36" s="234">
        <f>ROUND(I36*E36,2)</f>
        <v/>
      </c>
      <c r="L36" s="419" t="n"/>
    </row>
    <row r="37" hidden="1" outlineLevel="1" ht="14.25" customFormat="1" customHeight="1" s="287">
      <c r="A37" s="337" t="n">
        <v>21</v>
      </c>
      <c r="B37" s="201" t="inlineStr">
        <is>
          <t>91.21.15-022</t>
        </is>
      </c>
      <c r="C37" s="202" t="inlineStr">
        <is>
          <t>Пилы ленточные с поворотной пилорамой</t>
        </is>
      </c>
      <c r="D37" s="354" t="inlineStr">
        <is>
          <t>маш.-ч</t>
        </is>
      </c>
      <c r="E37" s="201" t="n">
        <v>0.0516</v>
      </c>
      <c r="F37" s="204" t="n">
        <v>3.31</v>
      </c>
      <c r="G37" s="234">
        <f>ROUND(E37*F37,2)</f>
        <v/>
      </c>
      <c r="H37" s="345">
        <f>G37/$G$40</f>
        <v/>
      </c>
      <c r="I37" s="352">
        <f>ROUND(F37*'Прил. 10'!$D$11,2)</f>
        <v/>
      </c>
      <c r="J37" s="234">
        <f>ROUND(I37*E37,2)</f>
        <v/>
      </c>
      <c r="L37" s="419" t="n"/>
    </row>
    <row r="38" hidden="1" outlineLevel="1" ht="25.5" customFormat="1" customHeight="1" s="287">
      <c r="A38" s="337" t="n">
        <v>22</v>
      </c>
      <c r="B38" s="201" t="inlineStr">
        <is>
          <t>91.06.03-060</t>
        </is>
      </c>
      <c r="C38" s="202" t="inlineStr">
        <is>
          <t>Лебедки электрические тяговым усилием до 5,79 кН (0,59 т)</t>
        </is>
      </c>
      <c r="D38" s="354" t="inlineStr">
        <is>
          <t>маш.-ч</t>
        </is>
      </c>
      <c r="E38" s="201" t="n">
        <v>0.0814</v>
      </c>
      <c r="F38" s="204" t="n">
        <v>1.7</v>
      </c>
      <c r="G38" s="234">
        <f>ROUND(E38*F38,2)</f>
        <v/>
      </c>
      <c r="H38" s="345">
        <f>G38/$G$40</f>
        <v/>
      </c>
      <c r="I38" s="352">
        <f>ROUND(F38*'Прил. 10'!$D$11,2)</f>
        <v/>
      </c>
      <c r="J38" s="234">
        <f>ROUND(I38*E38,2)</f>
        <v/>
      </c>
      <c r="L38" s="419" t="n"/>
    </row>
    <row r="39" collapsed="1" ht="14.25" customFormat="1" customHeight="1" s="287">
      <c r="A39" s="337" t="n">
        <v>23</v>
      </c>
      <c r="B39" s="337" t="n"/>
      <c r="C39" s="342" t="inlineStr">
        <is>
          <t>Итого прочие машины и механизмы</t>
        </is>
      </c>
      <c r="D39" s="337" t="n"/>
      <c r="E39" s="343" t="n"/>
      <c r="F39" s="234" t="n"/>
      <c r="G39" s="234">
        <f>SUM(G22:G38)</f>
        <v/>
      </c>
      <c r="H39" s="345">
        <f>G39/G40</f>
        <v/>
      </c>
      <c r="I39" s="234" t="n"/>
      <c r="J39" s="234">
        <f>SUM(J28:J38)</f>
        <v/>
      </c>
      <c r="K39" s="419" t="n"/>
      <c r="L39" s="419" t="n"/>
    </row>
    <row r="40" ht="25.5" customFormat="1" customHeight="1" s="287">
      <c r="A40" s="337" t="n"/>
      <c r="B40" s="338" t="n"/>
      <c r="C40" s="243" t="inlineStr">
        <is>
          <t>Итого по разделу «Машины и механизмы»</t>
        </is>
      </c>
      <c r="D40" s="338" t="n"/>
      <c r="E40" s="244" t="n"/>
      <c r="F40" s="245" t="n"/>
      <c r="G40" s="245">
        <f>G21+G39</f>
        <v/>
      </c>
      <c r="H40" s="246" t="n">
        <v>1</v>
      </c>
      <c r="I40" s="245" t="n"/>
      <c r="J40" s="245">
        <f>J21+J39</f>
        <v/>
      </c>
    </row>
    <row r="41" ht="29.25" customHeight="1" s="289">
      <c r="A41" s="340" t="n"/>
      <c r="B41" s="331" t="inlineStr">
        <is>
          <t>Оборудование (состав оборудования и его ценовая информация указаны справочно на основании ориентировочных цен. При расчете показателя по результатам мониторинга эти данные будут уточнены)</t>
        </is>
      </c>
      <c r="C41" s="408" t="n"/>
      <c r="D41" s="408" t="n"/>
      <c r="E41" s="408" t="n"/>
      <c r="F41" s="408" t="n"/>
      <c r="G41" s="408" t="n"/>
      <c r="H41" s="408" t="n"/>
      <c r="I41" s="408" t="n"/>
      <c r="J41" s="409" t="n"/>
      <c r="K41" s="287" t="n"/>
      <c r="L41" s="287" t="n"/>
      <c r="M41" s="287" t="n"/>
      <c r="N41" s="287" t="n"/>
    </row>
    <row r="42" ht="15" customHeight="1" s="289">
      <c r="A42" s="337" t="n"/>
      <c r="B42" s="348" t="inlineStr">
        <is>
          <t>Основное оборудование</t>
        </is>
      </c>
      <c r="K42" s="287" t="n"/>
      <c r="L42" s="287" t="n"/>
      <c r="M42" s="287" t="n"/>
      <c r="N42" s="287" t="n"/>
    </row>
    <row r="43" s="289">
      <c r="A43" s="337" t="n">
        <v>24</v>
      </c>
      <c r="B43" s="337" t="n"/>
      <c r="C43" s="342" t="inlineStr">
        <is>
          <t>Итого основное оборудование</t>
        </is>
      </c>
      <c r="D43" s="337" t="n"/>
      <c r="E43" s="236" t="n"/>
      <c r="F43" s="344" t="n"/>
      <c r="G43" s="234" t="n">
        <v>0</v>
      </c>
      <c r="H43" s="345" t="n"/>
      <c r="I43" s="344" t="n"/>
      <c r="J43" s="234" t="n">
        <v>0</v>
      </c>
      <c r="K43" s="419" t="n"/>
      <c r="L43" s="287" t="n"/>
      <c r="M43" s="287" t="n"/>
      <c r="N43" s="287" t="n"/>
    </row>
    <row r="44" s="289">
      <c r="A44" s="337" t="n">
        <v>25</v>
      </c>
      <c r="B44" s="337" t="n"/>
      <c r="C44" s="342" t="inlineStr">
        <is>
          <t>Итого прочее оборудование</t>
        </is>
      </c>
      <c r="D44" s="337" t="n"/>
      <c r="E44" s="343" t="n"/>
      <c r="F44" s="344" t="n"/>
      <c r="G44" s="234" t="n">
        <v>0</v>
      </c>
      <c r="H44" s="345" t="n"/>
      <c r="I44" s="344" t="n"/>
      <c r="J44" s="234" t="n">
        <v>0</v>
      </c>
      <c r="K44" s="419" t="n"/>
      <c r="L44" s="287" t="n"/>
      <c r="M44" s="287" t="n"/>
      <c r="N44" s="287" t="n"/>
    </row>
    <row r="45" s="289">
      <c r="A45" s="337" t="n"/>
      <c r="B45" s="337" t="n"/>
      <c r="C45" s="331" t="inlineStr">
        <is>
          <t>Итого по разделу «Оборудование»</t>
        </is>
      </c>
      <c r="D45" s="337" t="n"/>
      <c r="E45" s="343" t="n"/>
      <c r="F45" s="344" t="n"/>
      <c r="G45" s="234">
        <f>G44+G43</f>
        <v/>
      </c>
      <c r="H45" s="345" t="n"/>
      <c r="I45" s="344" t="n"/>
      <c r="J45" s="234" t="n">
        <v>0</v>
      </c>
      <c r="K45" s="419" t="n"/>
      <c r="L45" s="287" t="n"/>
      <c r="M45" s="287" t="n"/>
      <c r="N45" s="287" t="n"/>
    </row>
    <row r="46" ht="25.5" customHeight="1" s="289">
      <c r="A46" s="337" t="n"/>
      <c r="B46" s="337" t="n"/>
      <c r="C46" s="342" t="inlineStr">
        <is>
          <t>в том числе технологическое оборудование</t>
        </is>
      </c>
      <c r="D46" s="337" t="n"/>
      <c r="E46" s="343" t="n"/>
      <c r="F46" s="344" t="n"/>
      <c r="G46" s="234">
        <f>G45</f>
        <v/>
      </c>
      <c r="H46" s="345" t="n"/>
      <c r="I46" s="255" t="n"/>
      <c r="J46" s="245">
        <f>J45</f>
        <v/>
      </c>
      <c r="K46" s="419" t="n"/>
      <c r="L46" s="287" t="n"/>
      <c r="M46" s="287" t="n"/>
      <c r="N46" s="287" t="n"/>
    </row>
    <row r="47" ht="14.25" customFormat="1" customHeight="1" s="287">
      <c r="A47" s="337" t="n"/>
      <c r="B47" s="331" t="inlineStr">
        <is>
          <t>Материалы</t>
        </is>
      </c>
      <c r="C47" s="408" t="n"/>
      <c r="D47" s="408" t="n"/>
      <c r="E47" s="408" t="n"/>
      <c r="F47" s="408" t="n"/>
      <c r="G47" s="408" t="n"/>
      <c r="H47" s="409" t="n"/>
      <c r="I47" s="345" t="n"/>
      <c r="J47" s="345" t="n"/>
      <c r="K47" s="419" t="n"/>
    </row>
    <row r="48" ht="14.25" customFormat="1" customHeight="1" s="287">
      <c r="A48" s="337" t="n"/>
      <c r="B48" s="342" t="inlineStr">
        <is>
          <t>Основные материалы</t>
        </is>
      </c>
      <c r="C48" s="408" t="n"/>
      <c r="D48" s="408" t="n"/>
      <c r="E48" s="408" t="n"/>
      <c r="F48" s="408" t="n"/>
      <c r="G48" s="408" t="n"/>
      <c r="H48" s="409" t="n"/>
      <c r="I48" s="345" t="n"/>
      <c r="J48" s="345" t="n"/>
    </row>
    <row r="49" ht="14.25" customFormat="1" customHeight="1" s="287">
      <c r="A49" s="337" t="n">
        <v>26</v>
      </c>
      <c r="B49" s="266" t="inlineStr">
        <is>
          <t>08.1.06.03-0001</t>
        </is>
      </c>
      <c r="C49" s="342" t="inlineStr">
        <is>
          <t>Панели металлические сетчатые</t>
        </is>
      </c>
      <c r="D49" s="337" t="inlineStr">
        <is>
          <t>м2</t>
        </is>
      </c>
      <c r="E49" s="236" t="n">
        <v>712.38</v>
      </c>
      <c r="F49" s="352" t="n">
        <v>42</v>
      </c>
      <c r="G49" s="234">
        <f>ROUND(E49*F49,2)</f>
        <v/>
      </c>
      <c r="H49" s="345">
        <f>G49/$G$100</f>
        <v/>
      </c>
      <c r="I49" s="352">
        <f>ROUND(F49*'Прил. 10'!$D$12,2)</f>
        <v/>
      </c>
      <c r="J49" s="234">
        <f>ROUND(I49*E49,2)</f>
        <v/>
      </c>
    </row>
    <row r="50" ht="14.25" customFormat="1" customHeight="1" s="287">
      <c r="A50" s="337" t="n">
        <v>27</v>
      </c>
      <c r="B50" s="266" t="inlineStr">
        <is>
          <t>14.2.01.05-0003</t>
        </is>
      </c>
      <c r="C50" s="342" t="inlineStr">
        <is>
          <t>Композиция цинконаполненная</t>
        </is>
      </c>
      <c r="D50" s="337" t="inlineStr">
        <is>
          <t>кг</t>
        </is>
      </c>
      <c r="E50" s="236" t="n">
        <v>260.5</v>
      </c>
      <c r="F50" s="352" t="n">
        <v>114.42</v>
      </c>
      <c r="G50" s="234">
        <f>ROUND(E50*F50,2)</f>
        <v/>
      </c>
      <c r="H50" s="345">
        <f>G50/$G$100</f>
        <v/>
      </c>
      <c r="I50" s="352">
        <f>ROUND(F50*'Прил. 10'!$D$12,2)</f>
        <v/>
      </c>
      <c r="J50" s="234">
        <f>ROUND(I50*E50,2)</f>
        <v/>
      </c>
    </row>
    <row r="51" ht="25.5" customFormat="1" customHeight="1" s="287">
      <c r="A51" s="337" t="n">
        <v>28</v>
      </c>
      <c r="B51" s="266" t="inlineStr">
        <is>
          <t>14.2.01.05-0001</t>
        </is>
      </c>
      <c r="C51" s="342" t="inlineStr">
        <is>
          <t>Композиция на основе термопластичных полимеров</t>
        </is>
      </c>
      <c r="D51" s="337" t="inlineStr">
        <is>
          <t>кг</t>
        </is>
      </c>
      <c r="E51" s="236" t="n">
        <v>407</v>
      </c>
      <c r="F51" s="352" t="n">
        <v>54.99</v>
      </c>
      <c r="G51" s="234">
        <f>ROUND(E51*F51,2)</f>
        <v/>
      </c>
      <c r="H51" s="345">
        <f>G51/$G$100</f>
        <v/>
      </c>
      <c r="I51" s="352">
        <f>ROUND(F51*'Прил. 10'!$D$12,2)</f>
        <v/>
      </c>
      <c r="J51" s="234">
        <f>ROUND(I51*E51,2)</f>
        <v/>
      </c>
    </row>
    <row r="52" ht="25.5" customFormat="1" customHeight="1" s="287">
      <c r="A52" s="337" t="n">
        <v>29</v>
      </c>
      <c r="B52" s="266" t="inlineStr">
        <is>
          <t>08.1.06.04-0031</t>
        </is>
      </c>
      <c r="C52" s="342" t="inlineStr">
        <is>
          <t>Полотна ворот глухие металлические из листового металла по каркасу из уголков</t>
        </is>
      </c>
      <c r="D52" s="337" t="inlineStr">
        <is>
          <t>т</t>
        </is>
      </c>
      <c r="E52" s="236" t="n">
        <v>1.132</v>
      </c>
      <c r="F52" s="352" t="n">
        <v>16344.58</v>
      </c>
      <c r="G52" s="234">
        <f>ROUND(E52*F52,2)</f>
        <v/>
      </c>
      <c r="H52" s="345">
        <f>G52/$G$100</f>
        <v/>
      </c>
      <c r="I52" s="352">
        <f>ROUND(F52*'Прил. 10'!$D$12,2)</f>
        <v/>
      </c>
      <c r="J52" s="234">
        <f>ROUND(I52*E52,2)</f>
        <v/>
      </c>
    </row>
    <row r="53" ht="25.5" customFormat="1" customHeight="1" s="287">
      <c r="A53" s="337" t="n">
        <v>30</v>
      </c>
      <c r="B53" s="266" t="inlineStr">
        <is>
          <t>05.1.07.27-0008</t>
        </is>
      </c>
      <c r="C53" s="342" t="inlineStr">
        <is>
          <t>Столбы оград 2С 24д, бетон B15, объем 0,05 м3, расход арматуры 9,5 кг</t>
        </is>
      </c>
      <c r="D53" s="337" t="inlineStr">
        <is>
          <t>шт</t>
        </is>
      </c>
      <c r="E53" s="236" t="n">
        <v>136</v>
      </c>
      <c r="F53" s="352" t="n">
        <v>126.74</v>
      </c>
      <c r="G53" s="234">
        <f>ROUND(E53*F53,2)</f>
        <v/>
      </c>
      <c r="H53" s="345">
        <f>G53/$G$100</f>
        <v/>
      </c>
      <c r="I53" s="352">
        <f>ROUND(F53*'Прил. 10'!$D$12,2)</f>
        <v/>
      </c>
      <c r="J53" s="234">
        <f>ROUND(I53*E53,2)</f>
        <v/>
      </c>
    </row>
    <row r="54" ht="38.25" customFormat="1" customHeight="1" s="287">
      <c r="A54" s="337" t="n">
        <v>31</v>
      </c>
      <c r="B54" s="266" t="inlineStr">
        <is>
          <t>04.1.02.05-0023</t>
        </is>
      </c>
      <c r="C54" s="342" t="inlineStr">
        <is>
          <t>Смеси бетонные тяжелого бетона (БСТ), крупность заполнителя 10 мм, класс В7,5 (М100)</t>
        </is>
      </c>
      <c r="D54" s="337" t="inlineStr">
        <is>
          <t>м3</t>
        </is>
      </c>
      <c r="E54" s="236" t="n">
        <v>24.6278</v>
      </c>
      <c r="F54" s="352" t="n">
        <v>600</v>
      </c>
      <c r="G54" s="234">
        <f>ROUND(E54*F54,2)</f>
        <v/>
      </c>
      <c r="H54" s="345">
        <f>G54/$G$100</f>
        <v/>
      </c>
      <c r="I54" s="352">
        <f>ROUND(F54*'Прил. 10'!$D$12,2)</f>
        <v/>
      </c>
      <c r="J54" s="234">
        <f>ROUND(I54*E54,2)</f>
        <v/>
      </c>
    </row>
    <row r="55" ht="63.75" customFormat="1" customHeight="1" s="287">
      <c r="A55" s="337" t="n">
        <v>32</v>
      </c>
      <c r="B55" s="266" t="inlineStr">
        <is>
          <t>07.2.07.12-0011</t>
        </is>
      </c>
      <c r="C55" s="342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D55" s="337" t="inlineStr">
        <is>
          <t>т</t>
        </is>
      </c>
      <c r="E55" s="236" t="n">
        <v>0.983</v>
      </c>
      <c r="F55" s="352" t="n">
        <v>11255</v>
      </c>
      <c r="G55" s="234">
        <f>ROUND(E55*F55,2)</f>
        <v/>
      </c>
      <c r="H55" s="345">
        <f>G55/$G$100</f>
        <v/>
      </c>
      <c r="I55" s="352">
        <f>ROUND(F55*'Прил. 10'!$D$12,2)</f>
        <v/>
      </c>
      <c r="J55" s="234">
        <f>ROUND(I55*E55,2)</f>
        <v/>
      </c>
    </row>
    <row r="56" ht="38.25" customFormat="1" customHeight="1" s="287">
      <c r="A56" s="337" t="n">
        <v>33</v>
      </c>
      <c r="B56" s="266" t="inlineStr">
        <is>
          <t>07.2.07.04-0011</t>
        </is>
      </c>
      <c r="C56" s="342" t="inlineStr">
        <is>
          <t>Конструкции сварные индивидуальные прочие, масса сборочной единицы до 0,1 т</t>
        </is>
      </c>
      <c r="D56" s="337" t="inlineStr">
        <is>
          <t>т</t>
        </is>
      </c>
      <c r="E56" s="236" t="n">
        <v>0.879</v>
      </c>
      <c r="F56" s="352" t="n">
        <v>10508</v>
      </c>
      <c r="G56" s="234">
        <f>ROUND(E56*F56,2)</f>
        <v/>
      </c>
      <c r="H56" s="345">
        <f>G56/$G$100</f>
        <v/>
      </c>
      <c r="I56" s="352">
        <f>ROUND(F56*'Прил. 10'!$D$12,2)</f>
        <v/>
      </c>
      <c r="J56" s="234">
        <f>ROUND(I56*E56,2)</f>
        <v/>
      </c>
    </row>
    <row r="57" ht="38.25" customFormat="1" customHeight="1" s="287">
      <c r="A57" s="337" t="n">
        <v>34</v>
      </c>
      <c r="B57" s="266" t="inlineStr">
        <is>
          <t>04.1.02.05-0057</t>
        </is>
      </c>
      <c r="C57" s="342" t="inlineStr">
        <is>
          <t>Смеси бетонные тяжелого бетона (БСТ), крупность заполнителя 40 мм, класс В7,5 (М100)</t>
        </is>
      </c>
      <c r="D57" s="337" t="inlineStr">
        <is>
          <t>м3</t>
        </is>
      </c>
      <c r="E57" s="236" t="n">
        <v>12.24</v>
      </c>
      <c r="F57" s="352" t="n">
        <v>562.74</v>
      </c>
      <c r="G57" s="234">
        <f>ROUND(E57*F57,2)</f>
        <v/>
      </c>
      <c r="H57" s="345">
        <f>G57/$G$100</f>
        <v/>
      </c>
      <c r="I57" s="352">
        <f>ROUND(F57*'Прил. 10'!$D$12,2)</f>
        <v/>
      </c>
      <c r="J57" s="234">
        <f>ROUND(I57*E57,2)</f>
        <v/>
      </c>
    </row>
    <row r="58" ht="14.25" customFormat="1" customHeight="1" s="287">
      <c r="A58" s="337" t="n">
        <v>35</v>
      </c>
      <c r="B58" s="337" t="n"/>
      <c r="C58" s="342" t="inlineStr">
        <is>
          <t>Итого основные материалы</t>
        </is>
      </c>
      <c r="D58" s="337" t="n"/>
      <c r="E58" s="236" t="n"/>
      <c r="F58" s="344" t="n"/>
      <c r="G58" s="234">
        <f>SUM(G49:G57)</f>
        <v/>
      </c>
      <c r="H58" s="345">
        <f>G58/$G$100</f>
        <v/>
      </c>
      <c r="I58" s="344" t="n"/>
      <c r="J58" s="234">
        <f>SUM(J49:J57)</f>
        <v/>
      </c>
      <c r="K58" s="419" t="n"/>
    </row>
    <row r="59" hidden="1" outlineLevel="1" ht="38.25" customFormat="1" customHeight="1" s="287">
      <c r="A59" s="337" t="n">
        <v>36</v>
      </c>
      <c r="B59" s="266" t="inlineStr">
        <is>
          <t>04.1.02.05-0060</t>
        </is>
      </c>
      <c r="C59" s="342" t="inlineStr">
        <is>
          <t>Смеси бетонные тяжелого бетона (БСТ), крупность заполнителя 40 мм, класс В15 (М200)</t>
        </is>
      </c>
      <c r="D59" s="337" t="inlineStr">
        <is>
          <t>м3</t>
        </is>
      </c>
      <c r="E59" s="236" t="n">
        <v>6.12</v>
      </c>
      <c r="F59" s="352" t="n">
        <v>665</v>
      </c>
      <c r="G59" s="234">
        <f>ROUND(F59*E59,2)</f>
        <v/>
      </c>
      <c r="H59" s="345">
        <f>G59/$G$100</f>
        <v/>
      </c>
      <c r="I59" s="352">
        <f>ROUND(F59*'Прил. 10'!$D$12,2)</f>
        <v/>
      </c>
      <c r="J59" s="234">
        <f>ROUND(I59*E59,2)</f>
        <v/>
      </c>
    </row>
    <row r="60" hidden="1" outlineLevel="1" ht="38.25" customFormat="1" customHeight="1" s="287">
      <c r="A60" s="337" t="n">
        <v>37</v>
      </c>
      <c r="B60" s="266" t="inlineStr">
        <is>
          <t>04.1.02.05-0038</t>
        </is>
      </c>
      <c r="C60" s="342" t="inlineStr">
        <is>
          <t>Смеси бетонные тяжелого бетона (БСТ), крупность заполнителя 20 мм, класс В3,5 (М50)</t>
        </is>
      </c>
      <c r="D60" s="337" t="inlineStr">
        <is>
          <t>м3</t>
        </is>
      </c>
      <c r="E60" s="236" t="n">
        <v>6.12</v>
      </c>
      <c r="F60" s="352" t="n">
        <v>520</v>
      </c>
      <c r="G60" s="234">
        <f>ROUND(F60*E60,2)</f>
        <v/>
      </c>
      <c r="H60" s="345">
        <f>G60/$G$100</f>
        <v/>
      </c>
      <c r="I60" s="352">
        <f>ROUND(F60*'Прил. 10'!$D$12,2)</f>
        <v/>
      </c>
      <c r="J60" s="234">
        <f>ROUND(I60*E60,2)</f>
        <v/>
      </c>
    </row>
    <row r="61" hidden="1" outlineLevel="1" ht="25.5" customFormat="1" customHeight="1" s="287">
      <c r="A61" s="337" t="n">
        <v>38</v>
      </c>
      <c r="B61" s="266" t="inlineStr">
        <is>
          <t>05.1.07.27-0010</t>
        </is>
      </c>
      <c r="C61" s="342" t="inlineStr">
        <is>
          <t>Столбы оград 2С 24ж, бетон B15, объем 0,05 м3, расход арматуры 15,4 кг</t>
        </is>
      </c>
      <c r="D61" s="337" t="inlineStr">
        <is>
          <t>шт</t>
        </is>
      </c>
      <c r="E61" s="236" t="n">
        <v>19</v>
      </c>
      <c r="F61" s="352" t="n">
        <v>166.73</v>
      </c>
      <c r="G61" s="234">
        <f>ROUND(F61*E61,2)</f>
        <v/>
      </c>
      <c r="H61" s="345">
        <f>G61/$G$100</f>
        <v/>
      </c>
      <c r="I61" s="352">
        <f>ROUND(F61*'Прил. 10'!$D$12,2)</f>
        <v/>
      </c>
      <c r="J61" s="234">
        <f>ROUND(I61*E61,2)</f>
        <v/>
      </c>
    </row>
    <row r="62" hidden="1" outlineLevel="1" ht="25.5" customFormat="1" customHeight="1" s="287">
      <c r="A62" s="337" t="n">
        <v>39</v>
      </c>
      <c r="B62" s="266" t="inlineStr">
        <is>
          <t>08.4.01.01-0022</t>
        </is>
      </c>
      <c r="C62" s="342" t="inlineStr">
        <is>
          <t>Детали анкерные с резьбой из прямых или гнутых круглых стержней</t>
        </is>
      </c>
      <c r="D62" s="337" t="inlineStr">
        <is>
          <t>т</t>
        </is>
      </c>
      <c r="E62" s="236" t="n">
        <v>0.24</v>
      </c>
      <c r="F62" s="352" t="n">
        <v>10100</v>
      </c>
      <c r="G62" s="234">
        <f>ROUND(F62*E62,2)</f>
        <v/>
      </c>
      <c r="H62" s="345">
        <f>G62/$G$100</f>
        <v/>
      </c>
      <c r="I62" s="352">
        <f>ROUND(F62*'Прил. 10'!$D$12,2)</f>
        <v/>
      </c>
      <c r="J62" s="234">
        <f>ROUND(I62*E62,2)</f>
        <v/>
      </c>
    </row>
    <row r="63" hidden="1" outlineLevel="1" ht="14.25" customFormat="1" customHeight="1" s="287">
      <c r="A63" s="337" t="n">
        <v>40</v>
      </c>
      <c r="B63" s="266" t="inlineStr">
        <is>
          <t>01.7.15.03-0042</t>
        </is>
      </c>
      <c r="C63" s="342" t="inlineStr">
        <is>
          <t>Болты с гайками и шайбами строительные</t>
        </is>
      </c>
      <c r="D63" s="337" t="inlineStr">
        <is>
          <t>кг</t>
        </is>
      </c>
      <c r="E63" s="236" t="n">
        <v>203.516</v>
      </c>
      <c r="F63" s="352" t="n">
        <v>9.039999999999999</v>
      </c>
      <c r="G63" s="234">
        <f>ROUND(F63*E63,2)</f>
        <v/>
      </c>
      <c r="H63" s="345">
        <f>G63/$G$100</f>
        <v/>
      </c>
      <c r="I63" s="352">
        <f>ROUND(F63*'Прил. 10'!$D$12,2)</f>
        <v/>
      </c>
      <c r="J63" s="234">
        <f>ROUND(I63*E63,2)</f>
        <v/>
      </c>
    </row>
    <row r="64" hidden="1" outlineLevel="1" ht="14.25" customFormat="1" customHeight="1" s="287">
      <c r="A64" s="337" t="n">
        <v>41</v>
      </c>
      <c r="B64" s="266" t="inlineStr">
        <is>
          <t>14.5.09.11-0102</t>
        </is>
      </c>
      <c r="C64" s="342" t="inlineStr">
        <is>
          <t>Уайт-спирит</t>
        </is>
      </c>
      <c r="D64" s="337" t="inlineStr">
        <is>
          <t>кг</t>
        </is>
      </c>
      <c r="E64" s="236" t="n">
        <v>260.48</v>
      </c>
      <c r="F64" s="352" t="n">
        <v>6.67</v>
      </c>
      <c r="G64" s="234">
        <f>ROUND(F64*E64,2)</f>
        <v/>
      </c>
      <c r="H64" s="345">
        <f>G64/$G$100</f>
        <v/>
      </c>
      <c r="I64" s="352">
        <f>ROUND(F64*'Прил. 10'!$D$12,2)</f>
        <v/>
      </c>
      <c r="J64" s="234">
        <f>ROUND(I64*E64,2)</f>
        <v/>
      </c>
    </row>
    <row r="65" hidden="1" outlineLevel="1" ht="38.25" customFormat="1" customHeight="1" s="287">
      <c r="A65" s="337" t="n">
        <v>42</v>
      </c>
      <c r="B65" s="266" t="inlineStr">
        <is>
          <t>08.4.03.03-0035</t>
        </is>
      </c>
      <c r="C65" s="342" t="inlineStr">
        <is>
          <t>Сталь арматурная, горячекатаная, периодического профиля, класс А-III, диаметр 20-22 мм</t>
        </is>
      </c>
      <c r="D65" s="337" t="inlineStr">
        <is>
          <t>т</t>
        </is>
      </c>
      <c r="E65" s="236" t="n">
        <v>0.17</v>
      </c>
      <c r="F65" s="352" t="n">
        <v>7917</v>
      </c>
      <c r="G65" s="234">
        <f>ROUND(F65*E65,2)</f>
        <v/>
      </c>
      <c r="H65" s="345">
        <f>G65/$G$100</f>
        <v/>
      </c>
      <c r="I65" s="352">
        <f>ROUND(F65*'Прил. 10'!$D$12,2)</f>
        <v/>
      </c>
      <c r="J65" s="234">
        <f>ROUND(I65*E65,2)</f>
        <v/>
      </c>
    </row>
    <row r="66" hidden="1" outlineLevel="1" ht="25.5" customFormat="1" customHeight="1" s="287">
      <c r="A66" s="337" t="n">
        <v>43</v>
      </c>
      <c r="B66" s="266" t="inlineStr">
        <is>
          <t>06.1.01.05-0035</t>
        </is>
      </c>
      <c r="C66" s="342" t="inlineStr">
        <is>
          <t>Кирпич керамический одинарный, марка 100, размер 250х120х65 мм</t>
        </is>
      </c>
      <c r="D66" s="337" t="inlineStr">
        <is>
          <t>1000 шт</t>
        </is>
      </c>
      <c r="E66" s="236" t="n">
        <v>0.75086</v>
      </c>
      <c r="F66" s="352" t="n">
        <v>1752.6</v>
      </c>
      <c r="G66" s="234">
        <f>ROUND(F66*E66,2)</f>
        <v/>
      </c>
      <c r="H66" s="345">
        <f>G66/$G$100</f>
        <v/>
      </c>
      <c r="I66" s="352">
        <f>ROUND(F66*'Прил. 10'!$D$12,2)</f>
        <v/>
      </c>
      <c r="J66" s="234">
        <f>ROUND(I66*E66,2)</f>
        <v/>
      </c>
    </row>
    <row r="67" hidden="1" outlineLevel="1" ht="25.5" customFormat="1" customHeight="1" s="287">
      <c r="A67" s="337" t="n">
        <v>44</v>
      </c>
      <c r="B67" s="266" t="inlineStr">
        <is>
          <t>08.1.02.17-0051</t>
        </is>
      </c>
      <c r="C67" s="342" t="inlineStr">
        <is>
          <t>Сетка плетеная с квадратными ячейками № 12, без покрытия</t>
        </is>
      </c>
      <c r="D67" s="337" t="inlineStr">
        <is>
          <t>м2</t>
        </is>
      </c>
      <c r="E67" s="236" t="n">
        <v>53.6</v>
      </c>
      <c r="F67" s="352" t="n">
        <v>18.08</v>
      </c>
      <c r="G67" s="234">
        <f>ROUND(F67*E67,2)</f>
        <v/>
      </c>
      <c r="H67" s="345">
        <f>G67/$G$100</f>
        <v/>
      </c>
      <c r="I67" s="352">
        <f>ROUND(F67*'Прил. 10'!$D$12,2)</f>
        <v/>
      </c>
      <c r="J67" s="234">
        <f>ROUND(I67*E67,2)</f>
        <v/>
      </c>
    </row>
    <row r="68" hidden="1" outlineLevel="1" ht="38.25" customFormat="1" customHeight="1" s="287">
      <c r="A68" s="337" t="n">
        <v>45</v>
      </c>
      <c r="B68" s="266" t="inlineStr">
        <is>
          <t>01.7.04.04-0001</t>
        </is>
      </c>
      <c r="C68" s="342" t="inlineStr">
        <is>
          <t>Замки для запирания металлических дверей, щитов и пультов с ключом, типа ЗЩУЗ</t>
        </is>
      </c>
      <c r="D68" s="337" t="inlineStr">
        <is>
          <t>шт</t>
        </is>
      </c>
      <c r="E68" s="236" t="n">
        <v>8</v>
      </c>
      <c r="F68" s="352" t="n">
        <v>99.09999999999999</v>
      </c>
      <c r="G68" s="234">
        <f>ROUND(F68*E68,2)</f>
        <v/>
      </c>
      <c r="H68" s="345">
        <f>G68/$G$100</f>
        <v/>
      </c>
      <c r="I68" s="352">
        <f>ROUND(F68*'Прил. 10'!$D$12,2)</f>
        <v/>
      </c>
      <c r="J68" s="234">
        <f>ROUND(I68*E68,2)</f>
        <v/>
      </c>
    </row>
    <row r="69" hidden="1" outlineLevel="1" ht="14.25" customFormat="1" customHeight="1" s="287">
      <c r="A69" s="337" t="n">
        <v>46</v>
      </c>
      <c r="B69" s="266" t="inlineStr">
        <is>
          <t>14.5.05.02-0001</t>
        </is>
      </c>
      <c r="C69" s="342" t="inlineStr">
        <is>
          <t>Олифа натуральная</t>
        </is>
      </c>
      <c r="D69" s="337" t="inlineStr">
        <is>
          <t>кг</t>
        </is>
      </c>
      <c r="E69" s="236" t="n">
        <v>21.978</v>
      </c>
      <c r="F69" s="352" t="n">
        <v>32.6</v>
      </c>
      <c r="G69" s="234">
        <f>ROUND(F69*E69,2)</f>
        <v/>
      </c>
      <c r="H69" s="345">
        <f>G69/$G$100</f>
        <v/>
      </c>
      <c r="I69" s="352">
        <f>ROUND(F69*'Прил. 10'!$D$12,2)</f>
        <v/>
      </c>
      <c r="J69" s="234">
        <f>ROUND(I69*E69,2)</f>
        <v/>
      </c>
    </row>
    <row r="70" hidden="1" outlineLevel="1" ht="14.25" customFormat="1" customHeight="1" s="287">
      <c r="A70" s="337" t="n">
        <v>47</v>
      </c>
      <c r="B70" s="266" t="inlineStr">
        <is>
          <t>01.7.11.07-0054</t>
        </is>
      </c>
      <c r="C70" s="342" t="inlineStr">
        <is>
          <t>Электроды сварочные Э42, диаметр 6 мм</t>
        </is>
      </c>
      <c r="D70" s="337" t="inlineStr">
        <is>
          <t>т</t>
        </is>
      </c>
      <c r="E70" s="236" t="n">
        <v>0.06112</v>
      </c>
      <c r="F70" s="352" t="n">
        <v>9424</v>
      </c>
      <c r="G70" s="234">
        <f>ROUND(F70*E70,2)</f>
        <v/>
      </c>
      <c r="H70" s="345">
        <f>G70/$G$100</f>
        <v/>
      </c>
      <c r="I70" s="352">
        <f>ROUND(F70*'Прил. 10'!$D$12,2)</f>
        <v/>
      </c>
      <c r="J70" s="234">
        <f>ROUND(I70*E70,2)</f>
        <v/>
      </c>
    </row>
    <row r="71" hidden="1" outlineLevel="1" ht="14.25" customFormat="1" customHeight="1" s="287">
      <c r="A71" s="337" t="n">
        <v>48</v>
      </c>
      <c r="B71" s="266" t="inlineStr">
        <is>
          <t>01.7.20.08-0111</t>
        </is>
      </c>
      <c r="C71" s="342" t="inlineStr">
        <is>
          <t>Рогожа</t>
        </is>
      </c>
      <c r="D71" s="337" t="inlineStr">
        <is>
          <t>м2</t>
        </is>
      </c>
      <c r="E71" s="236" t="n">
        <v>19.5</v>
      </c>
      <c r="F71" s="352" t="n">
        <v>10.2</v>
      </c>
      <c r="G71" s="234">
        <f>ROUND(F71*E71,2)</f>
        <v/>
      </c>
      <c r="H71" s="345">
        <f>G71/$G$100</f>
        <v/>
      </c>
      <c r="I71" s="352">
        <f>ROUND(F71*'Прил. 10'!$D$12,2)</f>
        <v/>
      </c>
      <c r="J71" s="234">
        <f>ROUND(I71*E71,2)</f>
        <v/>
      </c>
    </row>
    <row r="72" hidden="1" outlineLevel="1" ht="25.5" customFormat="1" customHeight="1" s="287">
      <c r="A72" s="337" t="n">
        <v>49</v>
      </c>
      <c r="B72" s="266" t="inlineStr">
        <is>
          <t>04.3.01.09-0012</t>
        </is>
      </c>
      <c r="C72" s="342" t="inlineStr">
        <is>
          <t>Раствор готовый кладочный, цементный, М50</t>
        </is>
      </c>
      <c r="D72" s="337" t="inlineStr">
        <is>
          <t>м3</t>
        </is>
      </c>
      <c r="E72" s="236" t="n">
        <v>0.39734</v>
      </c>
      <c r="F72" s="352" t="n">
        <v>485.9</v>
      </c>
      <c r="G72" s="234">
        <f>ROUND(F72*E72,2)</f>
        <v/>
      </c>
      <c r="H72" s="345">
        <f>G72/$G$100</f>
        <v/>
      </c>
      <c r="I72" s="352">
        <f>ROUND(F72*'Прил. 10'!$D$12,2)</f>
        <v/>
      </c>
      <c r="J72" s="234">
        <f>ROUND(I72*E72,2)</f>
        <v/>
      </c>
    </row>
    <row r="73" hidden="1" outlineLevel="1" ht="14.25" customFormat="1" customHeight="1" s="287">
      <c r="A73" s="337" t="n">
        <v>50</v>
      </c>
      <c r="B73" s="266" t="inlineStr">
        <is>
          <t>01.7.04.09-0012</t>
        </is>
      </c>
      <c r="C73" s="342" t="inlineStr">
        <is>
          <t>Петля накладная</t>
        </is>
      </c>
      <c r="D73" s="337" t="inlineStr">
        <is>
          <t>шт</t>
        </is>
      </c>
      <c r="E73" s="236" t="n">
        <v>16</v>
      </c>
      <c r="F73" s="352" t="n">
        <v>12</v>
      </c>
      <c r="G73" s="234">
        <f>ROUND(F73*E73,2)</f>
        <v/>
      </c>
      <c r="H73" s="345">
        <f>G73/$G$100</f>
        <v/>
      </c>
      <c r="I73" s="352">
        <f>ROUND(F73*'Прил. 10'!$D$12,2)</f>
        <v/>
      </c>
      <c r="J73" s="234">
        <f>ROUND(I73*E73,2)</f>
        <v/>
      </c>
    </row>
    <row r="74" hidden="1" outlineLevel="1" ht="14.25" customFormat="1" customHeight="1" s="287">
      <c r="A74" s="337" t="n">
        <v>51</v>
      </c>
      <c r="B74" s="266" t="inlineStr">
        <is>
          <t>01.7.11.07-0038</t>
        </is>
      </c>
      <c r="C74" s="342" t="inlineStr">
        <is>
          <t>Электроды диаметром: 4 мм Э50</t>
        </is>
      </c>
      <c r="D74" s="337" t="inlineStr">
        <is>
          <t>т</t>
        </is>
      </c>
      <c r="E74" s="236" t="n">
        <v>0.0136</v>
      </c>
      <c r="F74" s="352" t="n">
        <v>11224</v>
      </c>
      <c r="G74" s="234">
        <f>ROUND(F74*E74,2)</f>
        <v/>
      </c>
      <c r="H74" s="345">
        <f>G74/$G$100</f>
        <v/>
      </c>
      <c r="I74" s="352">
        <f>ROUND(F74*'Прил. 10'!$D$12,2)</f>
        <v/>
      </c>
      <c r="J74" s="234">
        <f>ROUND(I74*E74,2)</f>
        <v/>
      </c>
    </row>
    <row r="75" hidden="1" outlineLevel="1" ht="14.25" customFormat="1" customHeight="1" s="287">
      <c r="A75" s="337" t="n">
        <v>52</v>
      </c>
      <c r="B75" s="266" t="inlineStr">
        <is>
          <t>11.2.13.04-0011</t>
        </is>
      </c>
      <c r="C75" s="342" t="inlineStr">
        <is>
          <t>Щиты из досок толщиной 25 мм</t>
        </is>
      </c>
      <c r="D75" s="337" t="inlineStr">
        <is>
          <t>м2</t>
        </is>
      </c>
      <c r="E75" s="236" t="n">
        <v>3.906</v>
      </c>
      <c r="F75" s="352" t="n">
        <v>35.53</v>
      </c>
      <c r="G75" s="234">
        <f>ROUND(F75*E75,2)</f>
        <v/>
      </c>
      <c r="H75" s="345">
        <f>G75/$G$100</f>
        <v/>
      </c>
      <c r="I75" s="352">
        <f>ROUND(F75*'Прил. 10'!$D$12,2)</f>
        <v/>
      </c>
      <c r="J75" s="234">
        <f>ROUND(I75*E75,2)</f>
        <v/>
      </c>
    </row>
    <row r="76" hidden="1" outlineLevel="1" ht="25.5" customFormat="1" customHeight="1" s="287">
      <c r="A76" s="337" t="n">
        <v>53</v>
      </c>
      <c r="B76" s="266" t="inlineStr">
        <is>
          <t>14.5.09.09-0001</t>
        </is>
      </c>
      <c r="C76" s="342" t="inlineStr">
        <is>
          <t>Сольвент каменноугольный технический, марка А</t>
        </is>
      </c>
      <c r="D76" s="337" t="inlineStr">
        <is>
          <t>т</t>
        </is>
      </c>
      <c r="E76" s="236" t="n">
        <v>0.013</v>
      </c>
      <c r="F76" s="352" t="n">
        <v>10615.64</v>
      </c>
      <c r="G76" s="234">
        <f>ROUND(F76*E76,2)</f>
        <v/>
      </c>
      <c r="H76" s="345">
        <f>G76/$G$100</f>
        <v/>
      </c>
      <c r="I76" s="352">
        <f>ROUND(F76*'Прил. 10'!$D$12,2)</f>
        <v/>
      </c>
      <c r="J76" s="234">
        <f>ROUND(I76*E76,2)</f>
        <v/>
      </c>
    </row>
    <row r="77" hidden="1" outlineLevel="1" ht="76.7" customFormat="1" customHeight="1" s="287">
      <c r="A77" s="337" t="n">
        <v>54</v>
      </c>
      <c r="B77" s="266" t="inlineStr">
        <is>
          <t>07.2.07.12-0006</t>
        </is>
      </c>
      <c r="C77" s="342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D77" s="337" t="inlineStr">
        <is>
          <t>т</t>
        </is>
      </c>
      <c r="E77" s="236" t="n">
        <v>0.009719999999999999</v>
      </c>
      <c r="F77" s="352" t="n">
        <v>10045</v>
      </c>
      <c r="G77" s="234">
        <f>ROUND(F77*E77,2)</f>
        <v/>
      </c>
      <c r="H77" s="345">
        <f>G77/$G$100</f>
        <v/>
      </c>
      <c r="I77" s="352">
        <f>ROUND(F77*'Прил. 10'!$D$12,2)</f>
        <v/>
      </c>
      <c r="J77" s="234">
        <f>ROUND(I77*E77,2)</f>
        <v/>
      </c>
    </row>
    <row r="78" hidden="1" outlineLevel="1" ht="14.25" customFormat="1" customHeight="1" s="287">
      <c r="A78" s="337" t="n">
        <v>55</v>
      </c>
      <c r="B78" s="266" t="inlineStr">
        <is>
          <t>01.7.20.08-0051</t>
        </is>
      </c>
      <c r="C78" s="342" t="inlineStr">
        <is>
          <t>Ветошь</t>
        </is>
      </c>
      <c r="D78" s="337" t="inlineStr">
        <is>
          <t>кг</t>
        </is>
      </c>
      <c r="E78" s="236" t="n">
        <v>43.142</v>
      </c>
      <c r="F78" s="352" t="n">
        <v>1.82</v>
      </c>
      <c r="G78" s="234">
        <f>ROUND(F78*E78,2)</f>
        <v/>
      </c>
      <c r="H78" s="345">
        <f>G78/$G$100</f>
        <v/>
      </c>
      <c r="I78" s="352">
        <f>ROUND(F78*'Прил. 10'!$D$12,2)</f>
        <v/>
      </c>
      <c r="J78" s="234">
        <f>ROUND(I78*E78,2)</f>
        <v/>
      </c>
    </row>
    <row r="79" hidden="1" outlineLevel="1" ht="14.25" customFormat="1" customHeight="1" s="287">
      <c r="A79" s="337" t="n">
        <v>56</v>
      </c>
      <c r="B79" s="266" t="inlineStr">
        <is>
          <t>08.3.03.04-0012</t>
        </is>
      </c>
      <c r="C79" s="342" t="inlineStr">
        <is>
          <t>Проволока светлая, диаметр 1,1 мм</t>
        </is>
      </c>
      <c r="D79" s="337" t="inlineStr">
        <is>
          <t>т</t>
        </is>
      </c>
      <c r="E79" s="236" t="n">
        <v>0.00486</v>
      </c>
      <c r="F79" s="352" t="n">
        <v>10200</v>
      </c>
      <c r="G79" s="234">
        <f>ROUND(F79*E79,2)</f>
        <v/>
      </c>
      <c r="H79" s="345">
        <f>G79/$G$100</f>
        <v/>
      </c>
      <c r="I79" s="352">
        <f>ROUND(F79*'Прил. 10'!$D$12,2)</f>
        <v/>
      </c>
      <c r="J79" s="234">
        <f>ROUND(I79*E79,2)</f>
        <v/>
      </c>
    </row>
    <row r="80" hidden="1" outlineLevel="1" ht="38.25" customFormat="1" customHeight="1" s="287">
      <c r="A80" s="337" t="n">
        <v>57</v>
      </c>
      <c r="B80" s="266" t="inlineStr">
        <is>
          <t>11.1.03.06-0095</t>
        </is>
      </c>
      <c r="C80" s="342" t="inlineStr">
        <is>
          <t>Доска обрезная, хвойных пород, ширина 75-150 мм, толщина 44 мм и более, длина 4-6,5 м, сорт III</t>
        </is>
      </c>
      <c r="D80" s="337" t="inlineStr">
        <is>
          <t>м3</t>
        </is>
      </c>
      <c r="E80" s="236" t="n">
        <v>0.042</v>
      </c>
      <c r="F80" s="352" t="n">
        <v>1056</v>
      </c>
      <c r="G80" s="234">
        <f>ROUND(F80*E80,2)</f>
        <v/>
      </c>
      <c r="H80" s="345">
        <f>G80/$G$100</f>
        <v/>
      </c>
      <c r="I80" s="352">
        <f>ROUND(F80*'Прил. 10'!$D$12,2)</f>
        <v/>
      </c>
      <c r="J80" s="234">
        <f>ROUND(I80*E80,2)</f>
        <v/>
      </c>
    </row>
    <row r="81" hidden="1" outlineLevel="1" ht="51" customFormat="1" customHeight="1" s="287">
      <c r="A81" s="337" t="n">
        <v>58</v>
      </c>
      <c r="B81" s="266" t="inlineStr">
        <is>
          <t>07.2.07.12-0020</t>
        </is>
      </c>
      <c r="C81" s="342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81" s="337" t="inlineStr">
        <is>
          <t>т</t>
        </is>
      </c>
      <c r="E81" s="236" t="n">
        <v>0.004395</v>
      </c>
      <c r="F81" s="352" t="n">
        <v>7712</v>
      </c>
      <c r="G81" s="234">
        <f>ROUND(F81*E81,2)</f>
        <v/>
      </c>
      <c r="H81" s="345">
        <f>G81/$G$100</f>
        <v/>
      </c>
      <c r="I81" s="352">
        <f>ROUND(F81*'Прил. 10'!$D$12,2)</f>
        <v/>
      </c>
      <c r="J81" s="234">
        <f>ROUND(I81*E81,2)</f>
        <v/>
      </c>
    </row>
    <row r="82" hidden="1" outlineLevel="1" ht="25.5" customFormat="1" customHeight="1" s="287">
      <c r="A82" s="337" t="n">
        <v>59</v>
      </c>
      <c r="B82" s="266" t="inlineStr">
        <is>
          <t>08.1.02.11-0001</t>
        </is>
      </c>
      <c r="C82" s="342" t="inlineStr">
        <is>
          <t>Поковки из квадратных заготовок, масса 1,8 кг</t>
        </is>
      </c>
      <c r="D82" s="337" t="inlineStr">
        <is>
          <t>т</t>
        </is>
      </c>
      <c r="E82" s="236" t="n">
        <v>0.00368</v>
      </c>
      <c r="F82" s="352" t="n">
        <v>5989</v>
      </c>
      <c r="G82" s="234">
        <f>ROUND(F82*E82,2)</f>
        <v/>
      </c>
      <c r="H82" s="345">
        <f>G82/$G$100</f>
        <v/>
      </c>
      <c r="I82" s="352">
        <f>ROUND(F82*'Прил. 10'!$D$12,2)</f>
        <v/>
      </c>
      <c r="J82" s="234">
        <f>ROUND(I82*E82,2)</f>
        <v/>
      </c>
    </row>
    <row r="83" hidden="1" outlineLevel="1" ht="14.25" customFormat="1" customHeight="1" s="287">
      <c r="A83" s="337" t="n">
        <v>60</v>
      </c>
      <c r="B83" s="266" t="inlineStr">
        <is>
          <t>01.7.15.06-0111</t>
        </is>
      </c>
      <c r="C83" s="342" t="inlineStr">
        <is>
          <t>Гвозди строительные</t>
        </is>
      </c>
      <c r="D83" s="337" t="inlineStr">
        <is>
          <t>т</t>
        </is>
      </c>
      <c r="E83" s="236" t="n">
        <v>0.001809</v>
      </c>
      <c r="F83" s="352" t="n">
        <v>11978</v>
      </c>
      <c r="G83" s="234">
        <f>ROUND(F83*E83,2)</f>
        <v/>
      </c>
      <c r="H83" s="345">
        <f>G83/$G$100</f>
        <v/>
      </c>
      <c r="I83" s="352">
        <f>ROUND(F83*'Прил. 10'!$D$12,2)</f>
        <v/>
      </c>
      <c r="J83" s="234">
        <f>ROUND(I83*E83,2)</f>
        <v/>
      </c>
    </row>
    <row r="84" hidden="1" outlineLevel="1" ht="25.5" customFormat="1" customHeight="1" s="287">
      <c r="A84" s="337" t="n">
        <v>61</v>
      </c>
      <c r="B84" s="266" t="inlineStr">
        <is>
          <t>08.3.03.06-0002</t>
        </is>
      </c>
      <c r="C84" s="342" t="inlineStr">
        <is>
          <t>Проволока горячекатаная в мотках, диаметр 6,3-6,5 мм</t>
        </is>
      </c>
      <c r="D84" s="337" t="inlineStr">
        <is>
          <t>т</t>
        </is>
      </c>
      <c r="E84" s="236" t="n">
        <v>0.004598</v>
      </c>
      <c r="F84" s="352" t="n">
        <v>4455.2</v>
      </c>
      <c r="G84" s="234">
        <f>ROUND(F84*E84,2)</f>
        <v/>
      </c>
      <c r="H84" s="345">
        <f>G84/$G$100</f>
        <v/>
      </c>
      <c r="I84" s="352">
        <f>ROUND(F84*'Прил. 10'!$D$12,2)</f>
        <v/>
      </c>
      <c r="J84" s="234">
        <f>ROUND(I84*E84,2)</f>
        <v/>
      </c>
    </row>
    <row r="85" hidden="1" outlineLevel="1" ht="76.7" customFormat="1" customHeight="1" s="287">
      <c r="A85" s="337" t="n">
        <v>62</v>
      </c>
      <c r="B85" s="266" t="inlineStr">
        <is>
          <t>08.4.01.02-0013</t>
        </is>
      </c>
      <c r="C85" s="342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85" s="337" t="inlineStr">
        <is>
          <t>т</t>
        </is>
      </c>
      <c r="E85" s="236" t="n">
        <v>0.002</v>
      </c>
      <c r="F85" s="352" t="n">
        <v>6800</v>
      </c>
      <c r="G85" s="234">
        <f>ROUND(F85*E85,2)</f>
        <v/>
      </c>
      <c r="H85" s="345">
        <f>G85/$G$100</f>
        <v/>
      </c>
      <c r="I85" s="352">
        <f>ROUND(F85*'Прил. 10'!$D$12,2)</f>
        <v/>
      </c>
      <c r="J85" s="234">
        <f>ROUND(I85*E85,2)</f>
        <v/>
      </c>
    </row>
    <row r="86" hidden="1" outlineLevel="1" ht="14.25" customFormat="1" customHeight="1" s="287">
      <c r="A86" s="337" t="n">
        <v>63</v>
      </c>
      <c r="B86" s="266" t="inlineStr">
        <is>
          <t>01.3.02.08-0001</t>
        </is>
      </c>
      <c r="C86" s="342" t="inlineStr">
        <is>
          <t>Кислород газообразный технический</t>
        </is>
      </c>
      <c r="D86" s="337" t="inlineStr">
        <is>
          <t>м3</t>
        </is>
      </c>
      <c r="E86" s="236" t="n">
        <v>1.71405</v>
      </c>
      <c r="F86" s="352" t="n">
        <v>6.22</v>
      </c>
      <c r="G86" s="234">
        <f>ROUND(F86*E86,2)</f>
        <v/>
      </c>
      <c r="H86" s="345">
        <f>G86/$G$100</f>
        <v/>
      </c>
      <c r="I86" s="352">
        <f>ROUND(F86*'Прил. 10'!$D$12,2)</f>
        <v/>
      </c>
      <c r="J86" s="234">
        <f>ROUND(I86*E86,2)</f>
        <v/>
      </c>
    </row>
    <row r="87" hidden="1" outlineLevel="1" ht="14.25" customFormat="1" customHeight="1" s="287">
      <c r="A87" s="337" t="n">
        <v>64</v>
      </c>
      <c r="B87" s="266" t="inlineStr">
        <is>
          <t>01.7.11.07-0032</t>
        </is>
      </c>
      <c r="C87" s="342" t="inlineStr">
        <is>
          <t>Электроды сварочные Э42, диаметр 4 мм</t>
        </is>
      </c>
      <c r="D87" s="337" t="inlineStr">
        <is>
          <t>т</t>
        </is>
      </c>
      <c r="E87" s="236" t="n">
        <v>0.0008319999999999999</v>
      </c>
      <c r="F87" s="352" t="n">
        <v>10315.01</v>
      </c>
      <c r="G87" s="234">
        <f>ROUND(F87*E87,2)</f>
        <v/>
      </c>
      <c r="H87" s="345">
        <f>G87/$G$100</f>
        <v/>
      </c>
      <c r="I87" s="352">
        <f>ROUND(F87*'Прил. 10'!$D$12,2)</f>
        <v/>
      </c>
      <c r="J87" s="234">
        <f>ROUND(I87*E87,2)</f>
        <v/>
      </c>
    </row>
    <row r="88" hidden="1" outlineLevel="1" ht="14.25" customFormat="1" customHeight="1" s="287">
      <c r="A88" s="337" t="n">
        <v>65</v>
      </c>
      <c r="B88" s="266" t="inlineStr">
        <is>
          <t>08.3.11.01-0091</t>
        </is>
      </c>
      <c r="C88" s="342" t="inlineStr">
        <is>
          <t>Швеллеры № 40, марка стали Ст0</t>
        </is>
      </c>
      <c r="D88" s="337" t="inlineStr">
        <is>
          <t>т</t>
        </is>
      </c>
      <c r="E88" s="236" t="n">
        <v>0.001705</v>
      </c>
      <c r="F88" s="352" t="n">
        <v>4920</v>
      </c>
      <c r="G88" s="234">
        <f>ROUND(F88*E88,2)</f>
        <v/>
      </c>
      <c r="H88" s="345">
        <f>G88/$G$100</f>
        <v/>
      </c>
      <c r="I88" s="352">
        <f>ROUND(F88*'Прил. 10'!$D$12,2)</f>
        <v/>
      </c>
      <c r="J88" s="234">
        <f>ROUND(I88*E88,2)</f>
        <v/>
      </c>
    </row>
    <row r="89" hidden="1" outlineLevel="1" ht="14.25" customFormat="1" customHeight="1" s="287">
      <c r="A89" s="337" t="n">
        <v>66</v>
      </c>
      <c r="B89" s="266" t="inlineStr">
        <is>
          <t>14.5.09.07-0029</t>
        </is>
      </c>
      <c r="C89" s="342" t="inlineStr">
        <is>
          <t>Растворитель марки: Р-4</t>
        </is>
      </c>
      <c r="D89" s="337" t="inlineStr">
        <is>
          <t>т</t>
        </is>
      </c>
      <c r="E89" s="236" t="n">
        <v>0.000527</v>
      </c>
      <c r="F89" s="352" t="n">
        <v>9420</v>
      </c>
      <c r="G89" s="234">
        <f>ROUND(F89*E89,2)</f>
        <v/>
      </c>
      <c r="H89" s="345">
        <f>G89/$G$100</f>
        <v/>
      </c>
      <c r="I89" s="352">
        <f>ROUND(F89*'Прил. 10'!$D$12,2)</f>
        <v/>
      </c>
      <c r="J89" s="234">
        <f>ROUND(I89*E89,2)</f>
        <v/>
      </c>
    </row>
    <row r="90" hidden="1" outlineLevel="1" ht="14.25" customFormat="1" customHeight="1" s="287">
      <c r="A90" s="337" t="n">
        <v>67</v>
      </c>
      <c r="B90" s="266" t="inlineStr">
        <is>
          <t>14.4.01.01-0003</t>
        </is>
      </c>
      <c r="C90" s="342" t="inlineStr">
        <is>
          <t>Грунтовка ГФ-021</t>
        </is>
      </c>
      <c r="D90" s="337" t="inlineStr">
        <is>
          <t>т</t>
        </is>
      </c>
      <c r="E90" s="236" t="n">
        <v>0.000272</v>
      </c>
      <c r="F90" s="352" t="n">
        <v>15620</v>
      </c>
      <c r="G90" s="234">
        <f>ROUND(F90*E90,2)</f>
        <v/>
      </c>
      <c r="H90" s="345">
        <f>G90/$G$100</f>
        <v/>
      </c>
      <c r="I90" s="352">
        <f>ROUND(F90*'Прил. 10'!$D$12,2)</f>
        <v/>
      </c>
      <c r="J90" s="234">
        <f>ROUND(I90*E90,2)</f>
        <v/>
      </c>
    </row>
    <row r="91" hidden="1" outlineLevel="1" ht="25.5" customFormat="1" customHeight="1" s="287">
      <c r="A91" s="337" t="n">
        <v>68</v>
      </c>
      <c r="B91" s="266" t="inlineStr">
        <is>
          <t>03.1.02.03-0011</t>
        </is>
      </c>
      <c r="C91" s="342" t="inlineStr">
        <is>
          <t>Известь строительная негашеная комовая, сорт I</t>
        </is>
      </c>
      <c r="D91" s="337" t="inlineStr">
        <is>
          <t>т</t>
        </is>
      </c>
      <c r="E91" s="236" t="n">
        <v>0.00492</v>
      </c>
      <c r="F91" s="352" t="n">
        <v>734.5</v>
      </c>
      <c r="G91" s="234">
        <f>ROUND(F91*E91,2)</f>
        <v/>
      </c>
      <c r="H91" s="345">
        <f>G91/$G$100</f>
        <v/>
      </c>
      <c r="I91" s="352">
        <f>ROUND(F91*'Прил. 10'!$D$12,2)</f>
        <v/>
      </c>
      <c r="J91" s="234">
        <f>ROUND(I91*E91,2)</f>
        <v/>
      </c>
    </row>
    <row r="92" hidden="1" outlineLevel="1" ht="14.25" customFormat="1" customHeight="1" s="287">
      <c r="A92" s="337" t="n">
        <v>69</v>
      </c>
      <c r="B92" s="266" t="inlineStr">
        <is>
          <t>01.7.20.08-0071</t>
        </is>
      </c>
      <c r="C92" s="342" t="inlineStr">
        <is>
          <t>Канат пеньковый пропитанный</t>
        </is>
      </c>
      <c r="D92" s="337" t="inlineStr">
        <is>
          <t>т</t>
        </is>
      </c>
      <c r="E92" s="236" t="n">
        <v>8.8e-05</v>
      </c>
      <c r="F92" s="352" t="n">
        <v>37900</v>
      </c>
      <c r="G92" s="234">
        <f>ROUND(F92*E92,2)</f>
        <v/>
      </c>
      <c r="H92" s="345">
        <f>G92/$G$100</f>
        <v/>
      </c>
      <c r="I92" s="352">
        <f>ROUND(F92*'Прил. 10'!$D$12,2)</f>
        <v/>
      </c>
      <c r="J92" s="234">
        <f>ROUND(I92*E92,2)</f>
        <v/>
      </c>
    </row>
    <row r="93" hidden="1" outlineLevel="1" ht="14.25" customFormat="1" customHeight="1" s="287">
      <c r="A93" s="337" t="n">
        <v>70</v>
      </c>
      <c r="B93" s="266" t="inlineStr">
        <is>
          <t>01.3.02.09-0022</t>
        </is>
      </c>
      <c r="C93" s="342" t="inlineStr">
        <is>
          <t>Пропан-бутан смесь техническая</t>
        </is>
      </c>
      <c r="D93" s="337" t="inlineStr">
        <is>
          <t>кг</t>
        </is>
      </c>
      <c r="E93" s="236" t="n">
        <v>0.51861</v>
      </c>
      <c r="F93" s="352" t="n">
        <v>6.09</v>
      </c>
      <c r="G93" s="234">
        <f>ROUND(F93*E93,2)</f>
        <v/>
      </c>
      <c r="H93" s="345">
        <f>G93/$G$100</f>
        <v/>
      </c>
      <c r="I93" s="352">
        <f>ROUND(F93*'Прил. 10'!$D$12,2)</f>
        <v/>
      </c>
      <c r="J93" s="234">
        <f>ROUND(I93*E93,2)</f>
        <v/>
      </c>
    </row>
    <row r="94" hidden="1" outlineLevel="1" ht="14.25" customFormat="1" customHeight="1" s="287">
      <c r="A94" s="337" t="n">
        <v>71</v>
      </c>
      <c r="B94" s="266" t="inlineStr">
        <is>
          <t>01.7.03.01-0001</t>
        </is>
      </c>
      <c r="C94" s="342" t="inlineStr">
        <is>
          <t>Вода</t>
        </is>
      </c>
      <c r="D94" s="337" t="inlineStr">
        <is>
          <t>м3</t>
        </is>
      </c>
      <c r="E94" s="236" t="n">
        <v>0.77344</v>
      </c>
      <c r="F94" s="352" t="n">
        <v>2.44</v>
      </c>
      <c r="G94" s="234">
        <f>ROUND(F94*E94,2)</f>
        <v/>
      </c>
      <c r="H94" s="345">
        <f>G94/$G$100</f>
        <v/>
      </c>
      <c r="I94" s="352">
        <f>ROUND(F94*'Прил. 10'!$D$12,2)</f>
        <v/>
      </c>
      <c r="J94" s="234">
        <f>ROUND(I94*E94,2)</f>
        <v/>
      </c>
    </row>
    <row r="95" hidden="1" outlineLevel="1" ht="25.5" customFormat="1" customHeight="1" s="287">
      <c r="A95" s="337" t="n">
        <v>72</v>
      </c>
      <c r="B95" s="266" t="inlineStr">
        <is>
          <t>04.3.01.09-0011</t>
        </is>
      </c>
      <c r="C95" s="342" t="inlineStr">
        <is>
          <t>Раствор готовый кладочный цементный марки 25</t>
        </is>
      </c>
      <c r="D95" s="337" t="inlineStr">
        <is>
          <t>м3</t>
        </is>
      </c>
      <c r="E95" s="236" t="n">
        <v>0.00368</v>
      </c>
      <c r="F95" s="352" t="n">
        <v>463.3</v>
      </c>
      <c r="G95" s="234">
        <f>ROUND(F95*E95,2)</f>
        <v/>
      </c>
      <c r="H95" s="345">
        <f>G95/$G$100</f>
        <v/>
      </c>
      <c r="I95" s="352">
        <f>ROUND(F95*'Прил. 10'!$D$12,2)</f>
        <v/>
      </c>
      <c r="J95" s="234">
        <f>ROUND(I95*E95,2)</f>
        <v/>
      </c>
    </row>
    <row r="96" hidden="1" outlineLevel="1" ht="38.25" customFormat="1" customHeight="1" s="287">
      <c r="A96" s="337" t="n">
        <v>73</v>
      </c>
      <c r="B96" s="266" t="inlineStr">
        <is>
          <t>11.1.03.01-0077</t>
        </is>
      </c>
      <c r="C96" s="342" t="inlineStr">
        <is>
          <t>Бруски обрезные, хвойных пород, длина 4-6,5 м, ширина 75-150 мм, толщина 40-75 мм, сорт I</t>
        </is>
      </c>
      <c r="D96" s="337" t="inlineStr">
        <is>
          <t>м3</t>
        </is>
      </c>
      <c r="E96" s="236" t="n">
        <v>0.000905</v>
      </c>
      <c r="F96" s="352" t="n">
        <v>1700</v>
      </c>
      <c r="G96" s="234">
        <f>ROUND(F96*E96,2)</f>
        <v/>
      </c>
      <c r="H96" s="345">
        <f>G96/$G$100</f>
        <v/>
      </c>
      <c r="I96" s="352">
        <f>ROUND(F96*'Прил. 10'!$D$12,2)</f>
        <v/>
      </c>
      <c r="J96" s="234">
        <f>ROUND(I96*E96,2)</f>
        <v/>
      </c>
    </row>
    <row r="97" hidden="1" outlineLevel="1" ht="14.25" customFormat="1" customHeight="1" s="287">
      <c r="A97" s="337" t="n">
        <v>74</v>
      </c>
      <c r="B97" s="266" t="inlineStr">
        <is>
          <t>07.2.07.02-0001</t>
        </is>
      </c>
      <c r="C97" s="342" t="inlineStr">
        <is>
          <t>Кондуктор инвентарный металлический</t>
        </is>
      </c>
      <c r="D97" s="337" t="inlineStr">
        <is>
          <t>шт</t>
        </is>
      </c>
      <c r="E97" s="236" t="n">
        <v>0.0024</v>
      </c>
      <c r="F97" s="352" t="n">
        <v>346</v>
      </c>
      <c r="G97" s="234">
        <f>ROUND(F97*E97,2)</f>
        <v/>
      </c>
      <c r="H97" s="345">
        <f>G97/$G$100</f>
        <v/>
      </c>
      <c r="I97" s="352">
        <f>ROUND(F97*'Прил. 10'!$D$12,2)</f>
        <v/>
      </c>
      <c r="J97" s="234">
        <f>ROUND(I97*E97,2)</f>
        <v/>
      </c>
    </row>
    <row r="98" hidden="1" outlineLevel="1" ht="51" customFormat="1" customHeight="1" s="287">
      <c r="A98" s="337" t="n">
        <v>75</v>
      </c>
      <c r="B98" s="266" t="inlineStr">
        <is>
          <t>08.2.02.11-0007</t>
        </is>
      </c>
      <c r="C98" s="342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98" s="337" t="inlineStr">
        <is>
          <t>10 м</t>
        </is>
      </c>
      <c r="E98" s="236" t="n">
        <v>0.016437</v>
      </c>
      <c r="F98" s="352" t="n">
        <v>50.24</v>
      </c>
      <c r="G98" s="234">
        <f>ROUND(F98*E98,2)</f>
        <v/>
      </c>
      <c r="H98" s="345">
        <f>G98/$G$100</f>
        <v/>
      </c>
      <c r="I98" s="352">
        <f>ROUND(F98*'Прил. 10'!$D$12,2)</f>
        <v/>
      </c>
      <c r="J98" s="234">
        <f>ROUND(I98*E98,2)</f>
        <v/>
      </c>
    </row>
    <row r="99" collapsed="1" ht="14.25" customFormat="1" customHeight="1" s="287">
      <c r="A99" s="337" t="n"/>
      <c r="B99" s="337" t="n"/>
      <c r="C99" s="342" t="inlineStr">
        <is>
          <t>Итого прочие материалы</t>
        </is>
      </c>
      <c r="D99" s="337" t="n"/>
      <c r="E99" s="343" t="n"/>
      <c r="F99" s="344" t="n"/>
      <c r="G99" s="234">
        <f>SUM(G59:G98)</f>
        <v/>
      </c>
      <c r="H99" s="345">
        <f>G99/G100</f>
        <v/>
      </c>
      <c r="I99" s="234" t="n"/>
      <c r="J99" s="234">
        <f>SUM(J59:J98)</f>
        <v/>
      </c>
    </row>
    <row r="100" ht="14.25" customFormat="1" customHeight="1" s="287">
      <c r="A100" s="337" t="n"/>
      <c r="B100" s="337" t="n"/>
      <c r="C100" s="331" t="inlineStr">
        <is>
          <t>Итого по разделу «Материалы»</t>
        </is>
      </c>
      <c r="D100" s="337" t="n"/>
      <c r="E100" s="343" t="n"/>
      <c r="F100" s="344" t="n"/>
      <c r="G100" s="234">
        <f>G58+G99</f>
        <v/>
      </c>
      <c r="H100" s="345" t="n">
        <v>1</v>
      </c>
      <c r="I100" s="344" t="n"/>
      <c r="J100" s="234">
        <f>J58+J99</f>
        <v/>
      </c>
      <c r="K100" s="419" t="n"/>
    </row>
    <row r="101" ht="14.25" customFormat="1" customHeight="1" s="287">
      <c r="A101" s="337" t="n"/>
      <c r="B101" s="337" t="n"/>
      <c r="C101" s="342" t="inlineStr">
        <is>
          <t>ИТОГО ПО РМ</t>
        </is>
      </c>
      <c r="D101" s="337" t="n"/>
      <c r="E101" s="343" t="n"/>
      <c r="F101" s="344" t="n"/>
      <c r="G101" s="234">
        <f>G14+G40+G100</f>
        <v/>
      </c>
      <c r="H101" s="345" t="n"/>
      <c r="I101" s="344" t="n"/>
      <c r="J101" s="234">
        <f>J14+J40+J100</f>
        <v/>
      </c>
    </row>
    <row r="102" ht="14.25" customFormat="1" customHeight="1" s="287">
      <c r="A102" s="337" t="n"/>
      <c r="B102" s="337" t="n"/>
      <c r="C102" s="342" t="inlineStr">
        <is>
          <t>Накладные расходы</t>
        </is>
      </c>
      <c r="D102" s="337" t="inlineStr">
        <is>
          <t>%</t>
        </is>
      </c>
      <c r="E102" s="259">
        <f>ROUND(G102/(G14+G16),2)</f>
        <v/>
      </c>
      <c r="F102" s="344" t="n"/>
      <c r="G102" s="234" t="n">
        <v>26530</v>
      </c>
      <c r="H102" s="345" t="n"/>
      <c r="I102" s="344" t="n"/>
      <c r="J102" s="234">
        <f>ROUND(E102*(J14+J16),2)</f>
        <v/>
      </c>
      <c r="K102" s="260" t="n"/>
    </row>
    <row r="103" ht="14.25" customFormat="1" customHeight="1" s="287">
      <c r="A103" s="337" t="n"/>
      <c r="B103" s="337" t="n"/>
      <c r="C103" s="342" t="inlineStr">
        <is>
          <t>Сметная прибыль</t>
        </is>
      </c>
      <c r="D103" s="337" t="inlineStr">
        <is>
          <t>%</t>
        </is>
      </c>
      <c r="E103" s="259">
        <f>ROUND(G103/(G14+G16),2)</f>
        <v/>
      </c>
      <c r="F103" s="344" t="n"/>
      <c r="G103" s="234" t="n">
        <v>17446.05</v>
      </c>
      <c r="H103" s="345" t="n"/>
      <c r="I103" s="344" t="n"/>
      <c r="J103" s="234">
        <f>ROUND(E103*(J14+J16),2)</f>
        <v/>
      </c>
      <c r="K103" s="260" t="n"/>
    </row>
    <row r="104" ht="14.25" customFormat="1" customHeight="1" s="287">
      <c r="A104" s="337" t="n"/>
      <c r="B104" s="337" t="n"/>
      <c r="C104" s="342" t="inlineStr">
        <is>
          <t>Итого СМР (с НР и СП)</t>
        </is>
      </c>
      <c r="D104" s="337" t="n"/>
      <c r="E104" s="343" t="n"/>
      <c r="F104" s="344" t="n"/>
      <c r="G104" s="234">
        <f>G14+G40+G100+G102+G103</f>
        <v/>
      </c>
      <c r="H104" s="345" t="n"/>
      <c r="I104" s="344" t="n"/>
      <c r="J104" s="234">
        <f>J14+J40+J100+J102+J103</f>
        <v/>
      </c>
      <c r="L104" s="261" t="n"/>
    </row>
    <row r="105" ht="14.25" customFormat="1" customHeight="1" s="287">
      <c r="A105" s="337" t="n"/>
      <c r="B105" s="337" t="n"/>
      <c r="C105" s="342" t="inlineStr">
        <is>
          <t>ВСЕГО СМР + ОБОРУДОВАНИЕ</t>
        </is>
      </c>
      <c r="D105" s="337" t="n"/>
      <c r="E105" s="343" t="n"/>
      <c r="F105" s="344" t="n"/>
      <c r="G105" s="234">
        <f>G104+G45</f>
        <v/>
      </c>
      <c r="H105" s="345" t="n"/>
      <c r="I105" s="344" t="n"/>
      <c r="J105" s="234">
        <f>J104+J45</f>
        <v/>
      </c>
      <c r="L105" s="260" t="n"/>
    </row>
    <row r="106" ht="14.25" customFormat="1" customHeight="1" s="287">
      <c r="A106" s="337" t="n"/>
      <c r="B106" s="337" t="n"/>
      <c r="C106" s="342" t="inlineStr">
        <is>
          <t>ИТОГО ПОКАЗАТЕЛЬ НА ЕД. ИЗМ.</t>
        </is>
      </c>
      <c r="D106" s="337" t="inlineStr">
        <is>
          <t>м</t>
        </is>
      </c>
      <c r="E106" s="262" t="n">
        <v>662</v>
      </c>
      <c r="F106" s="344" t="n"/>
      <c r="G106" s="234">
        <f>G105/E106</f>
        <v/>
      </c>
      <c r="H106" s="345" t="n"/>
      <c r="I106" s="344" t="n"/>
      <c r="J106" s="234">
        <f>J105/E106</f>
        <v/>
      </c>
      <c r="L106" s="260" t="n"/>
    </row>
    <row r="108" ht="33" customHeight="1" s="289">
      <c r="B108" s="263" t="inlineStr">
        <is>
          <t>Примечание:</t>
        </is>
      </c>
      <c r="C108" s="347" t="inlineStr">
        <is>
          <t>Стоимость основных показателей в текущем уровне цен принята на основании анализа ориентиров цены, проведенного по данным, предоставленным АО «ЦИУС ЕЭС» и Ген.подрядчиками, задействованными в реализации текущего проекта по актуализации УНЦ</t>
        </is>
      </c>
    </row>
    <row r="111" ht="14.25" customFormat="1" customHeight="1" s="287">
      <c r="A111" s="285" t="n"/>
    </row>
    <row r="112" ht="14.25" customFormat="1" customHeight="1" s="287">
      <c r="A112" s="280" t="inlineStr">
        <is>
          <t>Составил ______________________        Е.А. Князева</t>
        </is>
      </c>
    </row>
    <row r="113" ht="14.25" customFormat="1" customHeight="1" s="287">
      <c r="A113" s="288" t="inlineStr">
        <is>
          <t xml:space="preserve">                         (подпись, инициалы, фамилия)</t>
        </is>
      </c>
    </row>
    <row r="114" ht="14.25" customFormat="1" customHeight="1" s="287">
      <c r="A114" s="280" t="n"/>
    </row>
    <row r="115" ht="14.25" customFormat="1" customHeight="1" s="287">
      <c r="A115" s="280" t="inlineStr">
        <is>
          <t>Проверил ______________________        А.В. Костянецкая</t>
        </is>
      </c>
    </row>
    <row r="116" ht="14.25" customFormat="1" customHeight="1" s="287">
      <c r="A116" s="288" t="inlineStr">
        <is>
          <t xml:space="preserve">                        (подпись, инициалы, фамилия)</t>
        </is>
      </c>
    </row>
  </sheetData>
  <mergeCells count="20">
    <mergeCell ref="H9:H10"/>
    <mergeCell ref="B42:J42"/>
    <mergeCell ref="C108:J108"/>
    <mergeCell ref="B15:H15"/>
    <mergeCell ref="H2:J2"/>
    <mergeCell ref="C9:C10"/>
    <mergeCell ref="E9:E10"/>
    <mergeCell ref="A7:H7"/>
    <mergeCell ref="B47:H47"/>
    <mergeCell ref="B9:B10"/>
    <mergeCell ref="D9:D10"/>
    <mergeCell ref="B18:H18"/>
    <mergeCell ref="B12:H12"/>
    <mergeCell ref="B41:J41"/>
    <mergeCell ref="B48:H48"/>
    <mergeCell ref="F9:G9"/>
    <mergeCell ref="A4:H4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85" workbookViewId="0">
      <selection activeCell="C15" sqref="C15"/>
    </sheetView>
  </sheetViews>
  <sheetFormatPr baseColWidth="8" defaultRowHeight="15"/>
  <cols>
    <col width="5.7109375" customWidth="1" style="289" min="1" max="1"/>
    <col width="14.85546875" customWidth="1" style="289" min="2" max="2"/>
    <col width="39.140625" customWidth="1" style="289" min="3" max="3"/>
    <col width="8.28515625" customWidth="1" style="289" min="4" max="4"/>
    <col width="13.5703125" customWidth="1" style="289" min="5" max="5"/>
    <col width="12.42578125" customWidth="1" style="289" min="6" max="6"/>
    <col width="14.140625" customWidth="1" style="289" min="7" max="7"/>
  </cols>
  <sheetData>
    <row r="1">
      <c r="A1" s="353" t="inlineStr">
        <is>
          <t>Приложение №6</t>
        </is>
      </c>
    </row>
    <row r="2" ht="21.75" customHeight="1" s="289">
      <c r="A2" s="353" t="n"/>
      <c r="B2" s="353" t="n"/>
      <c r="C2" s="353" t="n"/>
      <c r="D2" s="353" t="n"/>
      <c r="E2" s="353" t="n"/>
      <c r="F2" s="353" t="n"/>
      <c r="G2" s="353" t="n"/>
    </row>
    <row r="3">
      <c r="A3" s="309" t="inlineStr">
        <is>
          <t>Расчет стоимости оборудования</t>
        </is>
      </c>
    </row>
    <row r="4" ht="25.5" customHeight="1" s="289">
      <c r="A4" s="312" t="inlineStr">
        <is>
          <t>Наименование разрабатываемого показателя УНЦ - Ограждение внутреннее сетчатое</t>
        </is>
      </c>
    </row>
    <row r="5">
      <c r="A5" s="280" t="n"/>
      <c r="B5" s="280" t="n"/>
      <c r="C5" s="280" t="n"/>
      <c r="D5" s="280" t="n"/>
      <c r="E5" s="280" t="n"/>
      <c r="F5" s="280" t="n"/>
      <c r="G5" s="280" t="n"/>
    </row>
    <row r="6" ht="30.2" customHeight="1" s="289">
      <c r="A6" s="354" t="inlineStr">
        <is>
          <t>№ пп.</t>
        </is>
      </c>
      <c r="B6" s="354" t="inlineStr">
        <is>
          <t>Код ресурса</t>
        </is>
      </c>
      <c r="C6" s="354" t="inlineStr">
        <is>
          <t>Наименование</t>
        </is>
      </c>
      <c r="D6" s="354" t="inlineStr">
        <is>
          <t>Ед. изм.</t>
        </is>
      </c>
      <c r="E6" s="337" t="inlineStr">
        <is>
          <t>Кол-во единиц по проектным данным</t>
        </is>
      </c>
      <c r="F6" s="354" t="inlineStr">
        <is>
          <t>Сметная стоимость в ценах на 01.01.2000 (руб.)</t>
        </is>
      </c>
      <c r="G6" s="409" t="n"/>
    </row>
    <row r="7">
      <c r="A7" s="411" t="n"/>
      <c r="B7" s="411" t="n"/>
      <c r="C7" s="411" t="n"/>
      <c r="D7" s="411" t="n"/>
      <c r="E7" s="411" t="n"/>
      <c r="F7" s="337" t="inlineStr">
        <is>
          <t>на ед. изм.</t>
        </is>
      </c>
      <c r="G7" s="337" t="inlineStr">
        <is>
          <t>общая</t>
        </is>
      </c>
    </row>
    <row r="8">
      <c r="A8" s="337" t="n">
        <v>1</v>
      </c>
      <c r="B8" s="337" t="n">
        <v>2</v>
      </c>
      <c r="C8" s="337" t="n">
        <v>3</v>
      </c>
      <c r="D8" s="337" t="n">
        <v>4</v>
      </c>
      <c r="E8" s="337" t="n">
        <v>5</v>
      </c>
      <c r="F8" s="337" t="n">
        <v>6</v>
      </c>
      <c r="G8" s="337" t="n">
        <v>7</v>
      </c>
    </row>
    <row r="9" ht="15" customHeight="1" s="289">
      <c r="A9" s="214" t="n"/>
      <c r="B9" s="342" t="inlineStr">
        <is>
          <t>ИНЖЕНЕРНОЕ ОБОРУДОВАНИЕ</t>
        </is>
      </c>
      <c r="C9" s="408" t="n"/>
      <c r="D9" s="408" t="n"/>
      <c r="E9" s="408" t="n"/>
      <c r="F9" s="408" t="n"/>
      <c r="G9" s="409" t="n"/>
    </row>
    <row r="10" ht="27" customHeight="1" s="289">
      <c r="A10" s="337" t="n"/>
      <c r="B10" s="331" t="n"/>
      <c r="C10" s="342" t="inlineStr">
        <is>
          <t>ИТОГО ИНЖЕНЕРНОЕ ОБОРУДОВАНИЕ</t>
        </is>
      </c>
      <c r="D10" s="331" t="n"/>
      <c r="E10" s="142" t="n"/>
      <c r="F10" s="344" t="n"/>
      <c r="G10" s="344" t="n">
        <v>0</v>
      </c>
    </row>
    <row r="11">
      <c r="A11" s="337" t="n"/>
      <c r="B11" s="342" t="inlineStr">
        <is>
          <t>ТЕХНОЛОГИЧЕСКОЕ ОБОРУДОВАНИЕ</t>
        </is>
      </c>
      <c r="C11" s="408" t="n"/>
      <c r="D11" s="408" t="n"/>
      <c r="E11" s="408" t="n"/>
      <c r="F11" s="408" t="n"/>
      <c r="G11" s="409" t="n"/>
    </row>
    <row r="12" ht="25.5" customHeight="1" s="289">
      <c r="A12" s="337" t="n"/>
      <c r="B12" s="160" t="n"/>
      <c r="C12" s="160" t="inlineStr">
        <is>
          <t>ИТОГО ТЕХНОЛОГИЧЕСКОЕ ОБОРУДОВАНИЕ</t>
        </is>
      </c>
      <c r="D12" s="160" t="n"/>
      <c r="E12" s="161" t="n"/>
      <c r="F12" s="344" t="n"/>
      <c r="G12" s="234" t="n">
        <v>0</v>
      </c>
    </row>
    <row r="13" ht="19.5" customHeight="1" s="289">
      <c r="A13" s="337" t="n"/>
      <c r="B13" s="342" t="n"/>
      <c r="C13" s="342" t="inlineStr">
        <is>
          <t>Всего по разделу «Оборудование»</t>
        </is>
      </c>
      <c r="D13" s="342" t="n"/>
      <c r="E13" s="352" t="n"/>
      <c r="F13" s="344" t="n"/>
      <c r="G13" s="234">
        <f>G10+G12</f>
        <v/>
      </c>
    </row>
    <row r="14">
      <c r="A14" s="285" t="n"/>
      <c r="B14" s="286" t="n"/>
      <c r="C14" s="285" t="n"/>
      <c r="D14" s="285" t="n"/>
      <c r="E14" s="285" t="n"/>
      <c r="F14" s="285" t="n"/>
      <c r="G14" s="285" t="n"/>
    </row>
    <row r="15">
      <c r="A15" s="280" t="inlineStr">
        <is>
          <t>Составил ______________________        Е.А. Князева</t>
        </is>
      </c>
      <c r="B15" s="287" t="n"/>
      <c r="C15" s="287" t="n"/>
      <c r="D15" s="285" t="n"/>
      <c r="E15" s="285" t="n"/>
      <c r="F15" s="285" t="n"/>
      <c r="G15" s="285" t="n"/>
    </row>
    <row r="16">
      <c r="A16" s="288" t="inlineStr">
        <is>
          <t xml:space="preserve">                         (подпись, инициалы, фамилия)</t>
        </is>
      </c>
      <c r="B16" s="287" t="n"/>
      <c r="C16" s="287" t="n"/>
      <c r="D16" s="285" t="n"/>
      <c r="E16" s="285" t="n"/>
      <c r="F16" s="285" t="n"/>
      <c r="G16" s="285" t="n"/>
    </row>
    <row r="17">
      <c r="A17" s="280" t="n"/>
      <c r="B17" s="287" t="n"/>
      <c r="C17" s="287" t="n"/>
      <c r="D17" s="285" t="n"/>
      <c r="E17" s="285" t="n"/>
      <c r="F17" s="285" t="n"/>
      <c r="G17" s="285" t="n"/>
    </row>
    <row r="18">
      <c r="A18" s="280" t="inlineStr">
        <is>
          <t>Проверил ______________________        А.В. Костянецкая</t>
        </is>
      </c>
      <c r="B18" s="287" t="n"/>
      <c r="C18" s="287" t="n"/>
      <c r="D18" s="285" t="n"/>
      <c r="E18" s="285" t="n"/>
      <c r="F18" s="285" t="n"/>
      <c r="G18" s="285" t="n"/>
    </row>
    <row r="19">
      <c r="A19" s="288" t="inlineStr">
        <is>
          <t xml:space="preserve">                        (подпись, инициалы, фамилия)</t>
        </is>
      </c>
      <c r="B19" s="287" t="n"/>
      <c r="C19" s="287" t="n"/>
      <c r="D19" s="285" t="n"/>
      <c r="E19" s="285" t="n"/>
      <c r="F19" s="285" t="n"/>
      <c r="G19" s="28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89" min="1" max="1"/>
    <col width="29.5703125" customWidth="1" style="289" min="2" max="2"/>
    <col width="39.140625" customWidth="1" style="289" min="3" max="3"/>
    <col width="48.140625" customWidth="1" style="289" min="4" max="4"/>
    <col width="8.85546875" customWidth="1" style="289" min="5" max="5"/>
  </cols>
  <sheetData>
    <row r="1">
      <c r="B1" s="280" t="n"/>
      <c r="C1" s="280" t="n"/>
      <c r="D1" s="353" t="inlineStr">
        <is>
          <t>Приложение №7</t>
        </is>
      </c>
    </row>
    <row r="2">
      <c r="A2" s="353" t="n"/>
      <c r="B2" s="353" t="n"/>
      <c r="C2" s="353" t="n"/>
      <c r="D2" s="353" t="n"/>
    </row>
    <row r="3" ht="24.75" customHeight="1" s="289">
      <c r="A3" s="309" t="inlineStr">
        <is>
          <t>Расчет показателя УНЦ</t>
        </is>
      </c>
    </row>
    <row r="4" ht="24.75" customHeight="1" s="289">
      <c r="A4" s="309" t="n"/>
      <c r="B4" s="309" t="n"/>
      <c r="C4" s="309" t="n"/>
      <c r="D4" s="309" t="n"/>
    </row>
    <row r="5" ht="24.6" customHeight="1" s="289">
      <c r="A5" s="312" t="inlineStr">
        <is>
          <t xml:space="preserve">Наименование разрабатываемого показателя УНЦ - </t>
        </is>
      </c>
      <c r="D5" s="312">
        <f>'Прил.5 Расчет СМР и ОБ'!D6:J6</f>
        <v/>
      </c>
    </row>
    <row r="6" ht="19.9" customHeight="1" s="289">
      <c r="A6" s="312" t="inlineStr">
        <is>
          <t>Единица измерения  — 1 м</t>
        </is>
      </c>
      <c r="D6" s="312" t="n"/>
    </row>
    <row r="7">
      <c r="A7" s="280" t="n"/>
      <c r="B7" s="280" t="n"/>
      <c r="C7" s="280" t="n"/>
      <c r="D7" s="280" t="n"/>
    </row>
    <row r="8" ht="14.45" customHeight="1" s="289">
      <c r="A8" s="323" t="inlineStr">
        <is>
          <t>Код показателя</t>
        </is>
      </c>
      <c r="B8" s="323" t="inlineStr">
        <is>
          <t>Наименование показателя</t>
        </is>
      </c>
      <c r="C8" s="323" t="inlineStr">
        <is>
          <t>Наименование РМ, входящих в состав показателя</t>
        </is>
      </c>
      <c r="D8" s="323" t="inlineStr">
        <is>
          <t>Норматив цены на 01.01.2023, тыс.руб.</t>
        </is>
      </c>
    </row>
    <row r="9" ht="15" customHeight="1" s="289">
      <c r="A9" s="411" t="n"/>
      <c r="B9" s="411" t="n"/>
      <c r="C9" s="411" t="n"/>
      <c r="D9" s="411" t="n"/>
    </row>
    <row r="10">
      <c r="A10" s="337" t="n">
        <v>1</v>
      </c>
      <c r="B10" s="337" t="n">
        <v>2</v>
      </c>
      <c r="C10" s="337" t="n">
        <v>3</v>
      </c>
      <c r="D10" s="337" t="n">
        <v>4</v>
      </c>
    </row>
    <row r="11" ht="41.45" customHeight="1" s="289">
      <c r="A11" s="337" t="inlineStr">
        <is>
          <t>У4-03</t>
        </is>
      </c>
      <c r="B11" s="337" t="inlineStr">
        <is>
          <t>УНЦ защитных ограждений ПС</t>
        </is>
      </c>
      <c r="C11" s="282">
        <f>D5</f>
        <v/>
      </c>
      <c r="D11" s="283">
        <f>'Прил.4 РМ'!C41/1000</f>
        <v/>
      </c>
      <c r="E11" s="284" t="n"/>
    </row>
    <row r="12">
      <c r="A12" s="285" t="n"/>
      <c r="B12" s="286" t="n"/>
      <c r="C12" s="285" t="n"/>
      <c r="D12" s="285" t="n"/>
    </row>
    <row r="13">
      <c r="A13" s="280" t="inlineStr">
        <is>
          <t>Составил ______________________      Е.А. Князева</t>
        </is>
      </c>
      <c r="B13" s="287" t="n"/>
      <c r="C13" s="287" t="n"/>
      <c r="D13" s="285" t="n"/>
    </row>
    <row r="14">
      <c r="A14" s="288" t="inlineStr">
        <is>
          <t xml:space="preserve">                         (подпись, инициалы, фамилия)</t>
        </is>
      </c>
      <c r="B14" s="287" t="n"/>
      <c r="C14" s="287" t="n"/>
      <c r="D14" s="285" t="n"/>
    </row>
    <row r="15">
      <c r="A15" s="280" t="n"/>
      <c r="B15" s="287" t="n"/>
      <c r="C15" s="287" t="n"/>
      <c r="D15" s="285" t="n"/>
    </row>
    <row r="16">
      <c r="A16" s="280" t="inlineStr">
        <is>
          <t>Проверил ______________________        А.В. Костянецкая</t>
        </is>
      </c>
      <c r="B16" s="287" t="n"/>
      <c r="C16" s="287" t="n"/>
      <c r="D16" s="285" t="n"/>
    </row>
    <row r="17">
      <c r="A17" s="288" t="inlineStr">
        <is>
          <t xml:space="preserve">                        (подпись, инициалы, фамилия)</t>
        </is>
      </c>
      <c r="B17" s="287" t="n"/>
      <c r="C17" s="287" t="n"/>
      <c r="D17" s="28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7" zoomScale="60" zoomScaleNormal="100" workbookViewId="0">
      <selection activeCell="B25" sqref="B25"/>
    </sheetView>
  </sheetViews>
  <sheetFormatPr baseColWidth="8" defaultRowHeight="15"/>
  <cols>
    <col width="40.7109375" customWidth="1" style="289" min="2" max="2"/>
    <col width="37" customWidth="1" style="289" min="3" max="3"/>
    <col width="32" customWidth="1" style="289" min="4" max="4"/>
  </cols>
  <sheetData>
    <row r="4" ht="15.75" customHeight="1" s="289">
      <c r="B4" s="317" t="inlineStr">
        <is>
          <t>Приложение № 10</t>
        </is>
      </c>
    </row>
    <row r="5" ht="18.75" customHeight="1" s="289">
      <c r="B5" s="172" t="n"/>
    </row>
    <row r="6" ht="15.75" customHeight="1" s="289">
      <c r="B6" s="322" t="inlineStr">
        <is>
          <t>Используемые индексы изменений сметной стоимости и нормы сопутствующих затрат</t>
        </is>
      </c>
    </row>
    <row r="7" ht="18.75" customHeight="1" s="289">
      <c r="B7" s="190" t="n"/>
    </row>
    <row r="8" ht="47.25" customHeight="1" s="289">
      <c r="B8" s="323" t="inlineStr">
        <is>
          <t>Наименование индекса / норм сопутствующих затрат</t>
        </is>
      </c>
      <c r="C8" s="323" t="inlineStr">
        <is>
          <t>Дата применения и обоснование индекса / норм сопутствующих затрат</t>
        </is>
      </c>
      <c r="D8" s="323" t="inlineStr">
        <is>
          <t>Размер индекса / норма сопутствующих затрат</t>
        </is>
      </c>
    </row>
    <row r="9" ht="15.75" customHeight="1" s="289">
      <c r="B9" s="323" t="n">
        <v>1</v>
      </c>
      <c r="C9" s="323" t="n">
        <v>2</v>
      </c>
      <c r="D9" s="323" t="n">
        <v>3</v>
      </c>
    </row>
    <row r="10" ht="45" customHeight="1" s="289">
      <c r="B10" s="323" t="inlineStr">
        <is>
          <t xml:space="preserve">Индекс изменения сметной стоимости на 1 квартал 2023 года. ОЗП </t>
        </is>
      </c>
      <c r="C10" s="323" t="inlineStr">
        <is>
          <t>Письмо Минстроя России от 30.03.2023г. №17106-ИФ/09  прил.1</t>
        </is>
      </c>
      <c r="D10" s="323" t="n">
        <v>44.29</v>
      </c>
    </row>
    <row r="11" ht="29.25" customHeight="1" s="289">
      <c r="B11" s="323" t="inlineStr">
        <is>
          <t>Индекс изменения сметной стоимости на 1 квартал 2023 года. ЭМ</t>
        </is>
      </c>
      <c r="C11" s="323" t="inlineStr">
        <is>
          <t>Письмо Минстроя России от 30.03.2023г. №17106-ИФ/09  прил.1</t>
        </is>
      </c>
      <c r="D11" s="323" t="n">
        <v>13.47</v>
      </c>
    </row>
    <row r="12" ht="29.25" customHeight="1" s="289">
      <c r="B12" s="323" t="inlineStr">
        <is>
          <t>Индекс изменения сметной стоимости на 1 квартал 2023 года. МАТ</t>
        </is>
      </c>
      <c r="C12" s="323" t="inlineStr">
        <is>
          <t>Письмо Минстроя России от 30.03.2023г. №17106-ИФ/09  прил.1</t>
        </is>
      </c>
      <c r="D12" s="323" t="n">
        <v>8.039999999999999</v>
      </c>
    </row>
    <row r="13" ht="30.75" customHeight="1" s="289">
      <c r="B13" s="323" t="inlineStr">
        <is>
          <t>Индекс изменения сметной стоимости на 1 квартал 2023 года. ОБ</t>
        </is>
      </c>
      <c r="C13" s="186" t="inlineStr">
        <is>
          <t>Письмо Минстроя России от 23.02.2023г. №9791-ИФ/09 прил.6</t>
        </is>
      </c>
      <c r="D13" s="323" t="n">
        <v>6.26</v>
      </c>
    </row>
    <row r="14" ht="89.45" customHeight="1" s="289">
      <c r="B14" s="323" t="inlineStr">
        <is>
          <t>Временные здания и сооружения</t>
        </is>
      </c>
      <c r="C14" s="323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88" t="n">
        <v>0.039</v>
      </c>
    </row>
    <row r="15" ht="78.75" customHeight="1" s="289">
      <c r="B15" s="323" t="inlineStr">
        <is>
          <t>Дополнительные затраты при производстве строительно-монтажных работ в зимнее время</t>
        </is>
      </c>
      <c r="C15" s="32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88" t="n">
        <v>0.021</v>
      </c>
    </row>
    <row r="16" ht="34.5" customHeight="1" s="289">
      <c r="B16" s="323" t="inlineStr">
        <is>
          <t>Пусконаладочные работы</t>
        </is>
      </c>
      <c r="C16" s="323" t="n"/>
      <c r="D16" s="323" t="inlineStr">
        <is>
          <t>расчет</t>
        </is>
      </c>
    </row>
    <row r="17" ht="31.7" customHeight="1" s="289">
      <c r="B17" s="323" t="inlineStr">
        <is>
          <t>Строительный контроль</t>
        </is>
      </c>
      <c r="C17" s="323" t="inlineStr">
        <is>
          <t>Постановление Правительства РФ от 21.06.10 г. № 468</t>
        </is>
      </c>
      <c r="D17" s="188" t="n">
        <v>0.0214</v>
      </c>
    </row>
    <row r="18" ht="31.7" customHeight="1" s="289">
      <c r="B18" s="323" t="inlineStr">
        <is>
          <t>Авторский надзор</t>
        </is>
      </c>
      <c r="C18" s="323" t="inlineStr">
        <is>
          <t>Приказ от 4.08.2020 № 421/пр п.173</t>
        </is>
      </c>
      <c r="D18" s="188" t="n">
        <v>0.002</v>
      </c>
    </row>
    <row r="19" ht="24" customHeight="1" s="289">
      <c r="B19" s="323" t="inlineStr">
        <is>
          <t>Непредвиденные расходы</t>
        </is>
      </c>
      <c r="C19" s="323" t="inlineStr">
        <is>
          <t>Приказ от 4.08.2020 № 421/пр п.179</t>
        </is>
      </c>
      <c r="D19" s="188" t="n">
        <v>0.03</v>
      </c>
    </row>
    <row r="20" ht="18.75" customHeight="1" s="289">
      <c r="B20" s="190" t="n"/>
    </row>
    <row r="21" ht="18.75" customHeight="1" s="289">
      <c r="B21" s="190" t="n"/>
    </row>
    <row r="22" ht="18.75" customHeight="1" s="289">
      <c r="B22" s="190" t="n"/>
    </row>
    <row r="23" ht="18.75" customHeight="1" s="289">
      <c r="B23" s="190" t="n"/>
    </row>
    <row r="26">
      <c r="B26" s="280" t="inlineStr">
        <is>
          <t>Составил ______________________        Е.А. Князева</t>
        </is>
      </c>
      <c r="C26" s="287" t="n"/>
    </row>
    <row r="27">
      <c r="B27" s="288" t="inlineStr">
        <is>
          <t xml:space="preserve">                         (подпись, инициалы, фамилия)</t>
        </is>
      </c>
      <c r="C27" s="287" t="n"/>
    </row>
    <row r="28">
      <c r="B28" s="280" t="n"/>
      <c r="C28" s="287" t="n"/>
    </row>
    <row r="29">
      <c r="B29" s="280" t="inlineStr">
        <is>
          <t>Проверил ______________________        А.В. Костянецкая</t>
        </is>
      </c>
      <c r="C29" s="287" t="n"/>
    </row>
    <row r="30">
      <c r="B30" s="288" t="inlineStr">
        <is>
          <t xml:space="preserve">                        (подпись, инициалы, фамилия)</t>
        </is>
      </c>
      <c r="C30" s="28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25" sqref="F25"/>
    </sheetView>
  </sheetViews>
  <sheetFormatPr baseColWidth="8" defaultColWidth="9.140625" defaultRowHeight="15"/>
  <cols>
    <col width="44.85546875" customWidth="1" style="289" min="2" max="2"/>
    <col width="13" customWidth="1" style="289" min="3" max="3"/>
    <col width="22.85546875" customWidth="1" style="289" min="4" max="4"/>
    <col width="21.5703125" customWidth="1" style="289" min="5" max="5"/>
    <col width="53.7109375" bestFit="1" customWidth="1" style="289" min="6" max="6"/>
  </cols>
  <sheetData>
    <row r="1" s="289"/>
    <row r="2" ht="17.25" customHeight="1" s="289">
      <c r="A2" s="322" t="inlineStr">
        <is>
          <t>Расчет размера средств на оплату труда рабочих-строителей в текущем уровне цен (ФОТр.тек.)</t>
        </is>
      </c>
    </row>
    <row r="3" s="289"/>
    <row r="4" ht="18" customHeight="1" s="289">
      <c r="A4" s="290" t="inlineStr">
        <is>
          <t>Составлен в уровне цен на 01.01.2023 г.</t>
        </is>
      </c>
      <c r="B4" s="291" t="n"/>
      <c r="C4" s="291" t="n"/>
      <c r="D4" s="291" t="n"/>
      <c r="E4" s="291" t="n"/>
      <c r="F4" s="291" t="n"/>
      <c r="G4" s="291" t="n"/>
    </row>
    <row r="5" ht="15.75" customHeight="1" s="289">
      <c r="A5" s="292" t="inlineStr">
        <is>
          <t>№ пп.</t>
        </is>
      </c>
      <c r="B5" s="292" t="inlineStr">
        <is>
          <t>Наименование элемента</t>
        </is>
      </c>
      <c r="C5" s="292" t="inlineStr">
        <is>
          <t>Обозначение</t>
        </is>
      </c>
      <c r="D5" s="292" t="inlineStr">
        <is>
          <t>Формула</t>
        </is>
      </c>
      <c r="E5" s="292" t="inlineStr">
        <is>
          <t>Величина элемента</t>
        </is>
      </c>
      <c r="F5" s="292" t="inlineStr">
        <is>
          <t>Наименования обосновывающих документов</t>
        </is>
      </c>
      <c r="G5" s="291" t="n"/>
    </row>
    <row r="6" ht="15.75" customHeight="1" s="289">
      <c r="A6" s="292" t="n">
        <v>1</v>
      </c>
      <c r="B6" s="292" t="n">
        <v>2</v>
      </c>
      <c r="C6" s="292" t="n">
        <v>3</v>
      </c>
      <c r="D6" s="292" t="n">
        <v>4</v>
      </c>
      <c r="E6" s="292" t="n">
        <v>5</v>
      </c>
      <c r="F6" s="292" t="n">
        <v>6</v>
      </c>
      <c r="G6" s="291" t="n"/>
    </row>
    <row r="7" ht="110.25" customHeight="1" s="289">
      <c r="A7" s="293" t="inlineStr">
        <is>
          <t>1.1</t>
        </is>
      </c>
      <c r="B7" s="29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23" t="inlineStr">
        <is>
          <t>С1ср</t>
        </is>
      </c>
      <c r="D7" s="323" t="inlineStr">
        <is>
          <t>-</t>
        </is>
      </c>
      <c r="E7" s="296" t="n">
        <v>47872.94</v>
      </c>
      <c r="F7" s="29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1" t="n"/>
    </row>
    <row r="8" ht="31.5" customHeight="1" s="289">
      <c r="A8" s="293" t="inlineStr">
        <is>
          <t>1.2</t>
        </is>
      </c>
      <c r="B8" s="298" t="inlineStr">
        <is>
          <t>Среднегодовое нормативное число часов работы одного рабочего в месяц, часы (ч.)</t>
        </is>
      </c>
      <c r="C8" s="323" t="inlineStr">
        <is>
          <t>tср</t>
        </is>
      </c>
      <c r="D8" s="323" t="inlineStr">
        <is>
          <t>1973ч/12мес.</t>
        </is>
      </c>
      <c r="E8" s="297">
        <f>1973/12</f>
        <v/>
      </c>
      <c r="F8" s="298" t="inlineStr">
        <is>
          <t>Производственный календарь 2023 год
(40-часов.неделя)</t>
        </is>
      </c>
      <c r="G8" s="300" t="n"/>
    </row>
    <row r="9" ht="15.75" customHeight="1" s="289">
      <c r="A9" s="293" t="inlineStr">
        <is>
          <t>1.3</t>
        </is>
      </c>
      <c r="B9" s="298" t="inlineStr">
        <is>
          <t>Коэффициент увеличения</t>
        </is>
      </c>
      <c r="C9" s="323" t="inlineStr">
        <is>
          <t>Кув</t>
        </is>
      </c>
      <c r="D9" s="323" t="inlineStr">
        <is>
          <t>-</t>
        </is>
      </c>
      <c r="E9" s="297" t="n">
        <v>1</v>
      </c>
      <c r="F9" s="298" t="n"/>
      <c r="G9" s="300" t="n"/>
    </row>
    <row r="10" ht="15.75" customHeight="1" s="289">
      <c r="A10" s="293" t="inlineStr">
        <is>
          <t>1.4</t>
        </is>
      </c>
      <c r="B10" s="298" t="inlineStr">
        <is>
          <t>Средний разряд работ</t>
        </is>
      </c>
      <c r="C10" s="323" t="n"/>
      <c r="D10" s="323" t="n"/>
      <c r="E10" s="301" t="n">
        <v>3.4</v>
      </c>
      <c r="F10" s="298" t="inlineStr">
        <is>
          <t>РТМ</t>
        </is>
      </c>
      <c r="G10" s="300" t="n"/>
    </row>
    <row r="11" ht="78.75" customHeight="1" s="289">
      <c r="A11" s="293" t="inlineStr">
        <is>
          <t>1.5</t>
        </is>
      </c>
      <c r="B11" s="298" t="inlineStr">
        <is>
          <t>Тарифный коэффициент среднего разряда работ</t>
        </is>
      </c>
      <c r="C11" s="323" t="inlineStr">
        <is>
          <t>КТ</t>
        </is>
      </c>
      <c r="D11" s="323" t="inlineStr">
        <is>
          <t>-</t>
        </is>
      </c>
      <c r="E11" s="302" t="n">
        <v>1.247</v>
      </c>
      <c r="F11" s="29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1" t="n"/>
    </row>
    <row r="12" ht="78.75" customHeight="1" s="289">
      <c r="A12" s="303" t="inlineStr">
        <is>
          <t>1.6</t>
        </is>
      </c>
      <c r="B12" s="399" t="inlineStr">
        <is>
          <t>Коэффициент инфляции, определяемый поквартально</t>
        </is>
      </c>
      <c r="C12" s="324" t="inlineStr">
        <is>
          <t>Кинф</t>
        </is>
      </c>
      <c r="D12" s="324" t="inlineStr">
        <is>
          <t>-</t>
        </is>
      </c>
      <c r="E12" s="400" t="n">
        <v>1.139</v>
      </c>
      <c r="F12" s="40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89">
      <c r="A13" s="402" t="inlineStr">
        <is>
          <t>1.7</t>
        </is>
      </c>
      <c r="B13" s="403" t="inlineStr">
        <is>
          <t>Размер средств на оплату труда рабочих-строителей в текущем уровне цен (ФОТр.тек.), руб/чел.-ч</t>
        </is>
      </c>
      <c r="C13" s="404" t="inlineStr">
        <is>
          <t>ФОТр.тек.</t>
        </is>
      </c>
      <c r="D13" s="404" t="inlineStr">
        <is>
          <t>(С1ср/tср*КТ*Т*Кув)*Кинф</t>
        </is>
      </c>
      <c r="E13" s="405">
        <f>((E7*E9/E8)*E11)*E12</f>
        <v/>
      </c>
      <c r="F13" s="40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2025-01-24T12:19:10Z</dcterms:modified>
  <cp:lastModifiedBy>User1</cp:lastModifiedBy>
  <cp:lastPrinted>2023-11-30T13:38:31Z</cp:lastPrinted>
</cp:coreProperties>
</file>