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17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center"/>
    </xf>
    <xf numFmtId="4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71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4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8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28" sqref="D28"/>
    </sheetView>
  </sheetViews>
  <sheetFormatPr baseColWidth="8" defaultColWidth="9.140625" defaultRowHeight="15.75"/>
  <cols>
    <col width="9.140625" customWidth="1" style="296" min="1" max="2"/>
    <col width="51.7109375" customWidth="1" style="296" min="3" max="3"/>
    <col width="47" customWidth="1" style="296" min="4" max="4"/>
    <col width="37.42578125" customWidth="1" style="296" min="5" max="5"/>
    <col width="9.140625" customWidth="1" style="296" min="6" max="6"/>
  </cols>
  <sheetData>
    <row r="3">
      <c r="B3" s="329" t="inlineStr">
        <is>
          <t>Приложение № 1</t>
        </is>
      </c>
    </row>
    <row r="4">
      <c r="B4" s="330" t="inlineStr">
        <is>
          <t>Сравнительная таблица отбора объекта-представителя</t>
        </is>
      </c>
    </row>
    <row r="5" ht="84" customHeight="1" s="293">
      <c r="B5" s="33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293">
      <c r="B6" s="263" t="n"/>
      <c r="C6" s="263" t="n"/>
      <c r="D6" s="263" t="n"/>
    </row>
    <row r="7" ht="33.75" customHeight="1" s="293">
      <c r="B7" s="331" t="inlineStr">
        <is>
          <t>Наименование разрабатываемого показателя УНЦ — КТП киоскового типа 6-20 кВ, мощность 1000 кВА, кол-во трансформаторов 2 шт.</t>
        </is>
      </c>
    </row>
    <row r="8">
      <c r="B8" s="331" t="inlineStr">
        <is>
          <t>Сопоставимый уровень цен: 4 квартал 2013 года</t>
        </is>
      </c>
    </row>
    <row r="9" ht="15.75" customHeight="1" s="293">
      <c r="B9" s="331" t="inlineStr">
        <is>
          <t>Единица измерения  — 1 единица</t>
        </is>
      </c>
    </row>
    <row r="10">
      <c r="B10" s="331" t="n"/>
    </row>
    <row r="11">
      <c r="B11" s="335" t="inlineStr">
        <is>
          <t>№ п/п</t>
        </is>
      </c>
      <c r="C11" s="335" t="inlineStr">
        <is>
          <t>Параметр</t>
        </is>
      </c>
      <c r="D11" s="335" t="inlineStr">
        <is>
          <t xml:space="preserve">Объект-представитель </t>
        </is>
      </c>
      <c r="E11" s="244" t="n"/>
    </row>
    <row r="12" ht="31.5" customHeight="1" s="293">
      <c r="B12" s="335" t="n">
        <v>1</v>
      </c>
      <c r="C12" s="340" t="inlineStr">
        <is>
          <t>Наименование объекта-представителя</t>
        </is>
      </c>
      <c r="D12" s="335" t="inlineStr">
        <is>
          <t>ПС 500 кВ Енисей с заходами ВЛ 500 кВ и ВЛ 220 кВ</t>
        </is>
      </c>
    </row>
    <row r="13">
      <c r="B13" s="335" t="n">
        <v>2</v>
      </c>
      <c r="C13" s="340" t="inlineStr">
        <is>
          <t>Наименование субъекта Российской Федерации</t>
        </is>
      </c>
      <c r="D13" s="335" t="inlineStr">
        <is>
          <t>Красноярский край</t>
        </is>
      </c>
    </row>
    <row r="14">
      <c r="B14" s="335" t="n">
        <v>3</v>
      </c>
      <c r="C14" s="340" t="inlineStr">
        <is>
          <t>Климатический район и подрайон</t>
        </is>
      </c>
      <c r="D14" s="335" t="inlineStr">
        <is>
          <t>IБ</t>
        </is>
      </c>
    </row>
    <row r="15">
      <c r="B15" s="335" t="n">
        <v>4</v>
      </c>
      <c r="C15" s="340" t="inlineStr">
        <is>
          <t>Мощность объекта</t>
        </is>
      </c>
      <c r="D15" s="335" t="n">
        <v>1</v>
      </c>
    </row>
    <row r="16" ht="63" customHeight="1" s="293">
      <c r="B16" s="335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5" t="inlineStr">
        <is>
          <t>2КТП-К(Н)-П(Кк)-ENRG-1000-10/0.4-У1 (с силовыми трансформаторами ТМГ-21-1000/10/0,4)</t>
        </is>
      </c>
    </row>
    <row r="17" ht="63" customHeight="1" s="293">
      <c r="B17" s="335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8">
        <f>D18+D19+D20+D21</f>
        <v/>
      </c>
      <c r="E17" s="262" t="n"/>
    </row>
    <row r="18">
      <c r="B18" s="243" t="inlineStr">
        <is>
          <t>6.1</t>
        </is>
      </c>
      <c r="C18" s="340" t="inlineStr">
        <is>
          <t>строительно-монтажные работы</t>
        </is>
      </c>
      <c r="D18" s="318" t="n">
        <v>94.55</v>
      </c>
    </row>
    <row r="19" ht="15.75" customHeight="1" s="293">
      <c r="B19" s="243" t="inlineStr">
        <is>
          <t>6.2</t>
        </is>
      </c>
      <c r="C19" s="340" t="inlineStr">
        <is>
          <t>оборудование и инвентарь</t>
        </is>
      </c>
      <c r="D19" s="318" t="n">
        <v>2303.66</v>
      </c>
    </row>
    <row r="20" ht="16.5" customHeight="1" s="293">
      <c r="B20" s="243" t="inlineStr">
        <is>
          <t>6.3</t>
        </is>
      </c>
      <c r="C20" s="340" t="inlineStr">
        <is>
          <t>пусконаладочные работы</t>
        </is>
      </c>
      <c r="D20" s="318" t="n"/>
    </row>
    <row r="21">
      <c r="B21" s="243" t="inlineStr">
        <is>
          <t>6.4</t>
        </is>
      </c>
      <c r="C21" s="242" t="inlineStr">
        <is>
          <t>прочие и лимитированные затраты</t>
        </is>
      </c>
      <c r="D21" s="318" t="n">
        <v>516.76</v>
      </c>
    </row>
    <row r="22">
      <c r="B22" s="335" t="n">
        <v>7</v>
      </c>
      <c r="C22" s="242" t="inlineStr">
        <is>
          <t>Сопоставимый уровень цен</t>
        </is>
      </c>
      <c r="D22" s="319" t="inlineStr">
        <is>
          <t>4 квартал 2013 года</t>
        </is>
      </c>
      <c r="E22" s="240" t="n"/>
    </row>
    <row r="23" ht="78.75" customHeight="1" s="293">
      <c r="B23" s="335" t="n">
        <v>8</v>
      </c>
      <c r="C23" s="24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8">
        <f>D17</f>
        <v/>
      </c>
      <c r="E23" s="262" t="n"/>
    </row>
    <row r="24" ht="31.5" customHeight="1" s="293">
      <c r="B24" s="335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18">
        <f>D23/D15</f>
        <v/>
      </c>
      <c r="E24" s="240" t="n"/>
    </row>
    <row r="25">
      <c r="B25" s="335" t="n">
        <v>10</v>
      </c>
      <c r="C25" s="340" t="inlineStr">
        <is>
          <t>Примечание</t>
        </is>
      </c>
      <c r="D25" s="335" t="n"/>
    </row>
    <row r="26">
      <c r="B26" s="238" t="n"/>
      <c r="C26" s="237" t="n"/>
      <c r="D26" s="237" t="n"/>
    </row>
    <row r="27" ht="37.5" customHeight="1" s="293">
      <c r="B27" s="281" t="n"/>
    </row>
    <row r="28">
      <c r="B28" s="296" t="inlineStr">
        <is>
          <t>Составил ______________________    Е. М. Добровольская</t>
        </is>
      </c>
    </row>
    <row r="29">
      <c r="B29" s="281" t="inlineStr">
        <is>
          <t xml:space="preserve">                         (подпись, инициалы, фамилия)</t>
        </is>
      </c>
    </row>
    <row r="31">
      <c r="B31" s="296" t="inlineStr">
        <is>
          <t>Проверил ______________________        А.В. Костянецкая</t>
        </is>
      </c>
    </row>
    <row r="32">
      <c r="B32" s="28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2" sqref="F22"/>
    </sheetView>
  </sheetViews>
  <sheetFormatPr baseColWidth="8" defaultColWidth="9.140625" defaultRowHeight="15.75"/>
  <cols>
    <col width="5.5703125" customWidth="1" style="296" min="1" max="1"/>
    <col width="9.140625" customWidth="1" style="296" min="2" max="2"/>
    <col width="35.28515625" customWidth="1" style="296" min="3" max="3"/>
    <col width="13.85546875" customWidth="1" style="296" min="4" max="4"/>
    <col width="24.85546875" customWidth="1" style="296" min="5" max="5"/>
    <col width="15.5703125" customWidth="1" style="296" min="6" max="6"/>
    <col width="14.85546875" customWidth="1" style="296" min="7" max="7"/>
    <col width="16.7109375" customWidth="1" style="296" min="8" max="8"/>
    <col width="13" customWidth="1" style="296" min="9" max="10"/>
    <col width="18" customWidth="1" style="296" min="11" max="11"/>
    <col width="9.140625" customWidth="1" style="296" min="12" max="12"/>
  </cols>
  <sheetData>
    <row r="3">
      <c r="B3" s="329" t="inlineStr">
        <is>
          <t>Приложение № 2</t>
        </is>
      </c>
      <c r="K3" s="281" t="n"/>
    </row>
    <row r="4">
      <c r="B4" s="330" t="inlineStr">
        <is>
          <t>Расчет стоимости основных видов работ для выбора объекта-представителя</t>
        </is>
      </c>
    </row>
    <row r="5">
      <c r="B5" s="341" t="n"/>
      <c r="C5" s="341" t="n"/>
      <c r="D5" s="341" t="n"/>
      <c r="E5" s="341" t="n"/>
      <c r="F5" s="341" t="n"/>
      <c r="G5" s="341" t="n"/>
      <c r="H5" s="341" t="n"/>
      <c r="I5" s="341" t="n"/>
      <c r="J5" s="341" t="n"/>
      <c r="K5" s="341" t="n"/>
    </row>
    <row r="6">
      <c r="B6" s="336" t="inlineStr">
        <is>
          <t>Наименование разрабатываемого показателя УНЦ — КТП киоскового типа 6-20 кВ, мощность 1000 кВА, кол-во трансформаторов 2 шт.</t>
        </is>
      </c>
      <c r="K6" s="281" t="n"/>
    </row>
    <row r="7">
      <c r="B7" s="331" t="inlineStr">
        <is>
          <t>Единица измерения  — 1 единица</t>
        </is>
      </c>
    </row>
    <row r="8" ht="18" customHeight="1" s="293">
      <c r="B8" s="264" t="n"/>
    </row>
    <row r="9" ht="15.75" customHeight="1" s="293">
      <c r="B9" s="335" t="inlineStr">
        <is>
          <t>№ п/п</t>
        </is>
      </c>
      <c r="C9" s="3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5" t="inlineStr">
        <is>
          <t>Объект-представитель 1</t>
        </is>
      </c>
      <c r="E9" s="416" t="n"/>
      <c r="F9" s="416" t="n"/>
      <c r="G9" s="416" t="n"/>
      <c r="H9" s="416" t="n"/>
      <c r="I9" s="416" t="n"/>
      <c r="J9" s="417" t="n"/>
    </row>
    <row r="10" ht="15.75" customHeight="1" s="293">
      <c r="B10" s="418" t="n"/>
      <c r="C10" s="418" t="n"/>
      <c r="D10" s="335" t="inlineStr">
        <is>
          <t>Номер сметы</t>
        </is>
      </c>
      <c r="E10" s="335" t="inlineStr">
        <is>
          <t>Наименование сметы</t>
        </is>
      </c>
      <c r="F10" s="335" t="inlineStr">
        <is>
          <t>Сметная стоимость в уровне цен 4 кв. 2013 г., тыс. руб.</t>
        </is>
      </c>
      <c r="G10" s="416" t="n"/>
      <c r="H10" s="416" t="n"/>
      <c r="I10" s="416" t="n"/>
      <c r="J10" s="417" t="n"/>
    </row>
    <row r="11" ht="31.15" customHeight="1" s="293">
      <c r="B11" s="419" t="n"/>
      <c r="C11" s="419" t="n"/>
      <c r="D11" s="419" t="n"/>
      <c r="E11" s="419" t="n"/>
      <c r="F11" s="335" t="inlineStr">
        <is>
          <t>Строительные работы</t>
        </is>
      </c>
      <c r="G11" s="335" t="inlineStr">
        <is>
          <t>Монтажные работы</t>
        </is>
      </c>
      <c r="H11" s="335" t="inlineStr">
        <is>
          <t>Оборудование</t>
        </is>
      </c>
      <c r="I11" s="335" t="inlineStr">
        <is>
          <t>Прочее</t>
        </is>
      </c>
      <c r="J11" s="335" t="inlineStr">
        <is>
          <t>Всего</t>
        </is>
      </c>
    </row>
    <row r="12" ht="94.5" customHeight="1" s="293">
      <c r="B12" s="335" t="n">
        <v>1</v>
      </c>
      <c r="C12" s="335" t="inlineStr">
        <is>
          <t>2КТП-К(Н)-П(Кк)-ENRG-1000-10/0.4-У1 (с силовыми трансформаторами ТМГ-21-1000/10/0,4)</t>
        </is>
      </c>
      <c r="D12" s="335" t="inlineStr">
        <is>
          <t xml:space="preserve">04.02-05-01
04.02-05-04 </t>
        </is>
      </c>
      <c r="E12" s="335" t="inlineStr">
        <is>
          <t>ТОР №2. Строительные решения здания; 
РУ 10 кВ. Электротехнические решения</t>
        </is>
      </c>
      <c r="F12" s="318">
        <f>17740*5.33/1000</f>
        <v/>
      </c>
      <c r="G12" s="318" t="n"/>
      <c r="H12" s="318">
        <f>584685*3.94/1000</f>
        <v/>
      </c>
      <c r="I12" s="318">
        <f>66765*7.74/1000</f>
        <v/>
      </c>
      <c r="J12" s="318">
        <f>SUM(F12:I12)</f>
        <v/>
      </c>
    </row>
    <row r="13" ht="14.45" customHeight="1" s="293">
      <c r="B13" s="333" t="inlineStr">
        <is>
          <t>Всего по объекту:</t>
        </is>
      </c>
      <c r="C13" s="420" t="n"/>
      <c r="D13" s="420" t="n"/>
      <c r="E13" s="421" t="n"/>
      <c r="F13" s="316">
        <f>SUM(F12)</f>
        <v/>
      </c>
      <c r="G13" s="316" t="n"/>
      <c r="H13" s="316">
        <f>SUM(H12)</f>
        <v/>
      </c>
      <c r="I13" s="316">
        <f>SUM(I12)</f>
        <v/>
      </c>
      <c r="J13" s="316">
        <f>SUM(J12)</f>
        <v/>
      </c>
    </row>
    <row r="14" ht="15.75" customHeight="1" s="293">
      <c r="B14" s="334" t="inlineStr">
        <is>
          <t>Всего по объекту в сопоставимом уровне цен 4 кв. 2013 г:</t>
        </is>
      </c>
      <c r="C14" s="416" t="n"/>
      <c r="D14" s="416" t="n"/>
      <c r="E14" s="417" t="n"/>
      <c r="F14" s="317">
        <f>F13</f>
        <v/>
      </c>
      <c r="G14" s="317" t="n"/>
      <c r="H14" s="317">
        <f>H13</f>
        <v/>
      </c>
      <c r="I14" s="317">
        <f>I13</f>
        <v/>
      </c>
      <c r="J14" s="317">
        <f>J13</f>
        <v/>
      </c>
    </row>
    <row r="15" ht="14.45" customHeight="1" s="293"/>
    <row r="16" ht="14.45" customHeight="1" s="293"/>
    <row r="17" ht="14.45" customHeight="1" s="293"/>
    <row r="18" ht="14.45" customHeight="1" s="293">
      <c r="C18" s="299" t="inlineStr">
        <is>
          <t>Составил ______________________     Е. М. Добровольская</t>
        </is>
      </c>
      <c r="D18" s="300" t="n"/>
      <c r="E18" s="300" t="n"/>
    </row>
    <row r="19" ht="14.45" customHeight="1" s="293">
      <c r="C19" s="302" t="inlineStr">
        <is>
          <t xml:space="preserve">                         (подпись, инициалы, фамилия)</t>
        </is>
      </c>
      <c r="D19" s="300" t="n"/>
      <c r="E19" s="300" t="n"/>
    </row>
    <row r="20" ht="14.45" customHeight="1" s="293">
      <c r="C20" s="299" t="n"/>
      <c r="D20" s="300" t="n"/>
      <c r="E20" s="300" t="n"/>
    </row>
    <row r="21" ht="14.45" customHeight="1" s="293">
      <c r="C21" s="299" t="inlineStr">
        <is>
          <t>Проверил ______________________        А.В. Костянецкая</t>
        </is>
      </c>
      <c r="D21" s="300" t="n"/>
      <c r="E21" s="300" t="n"/>
    </row>
    <row r="22" ht="14.45" customHeight="1" s="293">
      <c r="C22" s="302" t="inlineStr">
        <is>
          <t xml:space="preserve">                        (подпись, инициалы, фамилия)</t>
        </is>
      </c>
      <c r="D22" s="300" t="n"/>
      <c r="E22" s="300" t="n"/>
    </row>
    <row r="23" ht="14.45" customHeight="1" s="293"/>
    <row r="24" ht="14.45" customHeight="1" s="293"/>
    <row r="25" ht="14.45" customHeight="1" s="293"/>
    <row r="26" ht="14.45" customHeight="1" s="293"/>
    <row r="27" ht="14.45" customHeight="1" s="293"/>
    <row r="28" ht="14.45" customHeight="1" s="29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6"/>
  <sheetViews>
    <sheetView view="pageBreakPreview" topLeftCell="A35" zoomScale="85" zoomScaleSheetLayoutView="85" workbookViewId="0">
      <selection activeCell="E52" sqref="E52:F52"/>
    </sheetView>
  </sheetViews>
  <sheetFormatPr baseColWidth="8" defaultColWidth="9.140625" defaultRowHeight="15.75"/>
  <cols>
    <col width="9.140625" customWidth="1" style="296" min="1" max="1"/>
    <col width="12.5703125" customWidth="1" style="296" min="2" max="2"/>
    <col width="22.42578125" customWidth="1" style="296" min="3" max="3"/>
    <col width="49.7109375" customWidth="1" style="296" min="4" max="4"/>
    <col width="10.140625" customWidth="1" style="296" min="5" max="5"/>
    <col width="20.7109375" customWidth="1" style="296" min="6" max="6"/>
    <col width="20" customWidth="1" style="296" min="7" max="7"/>
    <col width="16.7109375" customWidth="1" style="296" min="8" max="8"/>
    <col width="9.140625" customWidth="1" style="296" min="9" max="10"/>
    <col width="15" customWidth="1" style="296" min="11" max="11"/>
    <col width="9.140625" customWidth="1" style="296" min="12" max="12"/>
  </cols>
  <sheetData>
    <row r="2" s="293">
      <c r="A2" s="296" t="n"/>
      <c r="B2" s="296" t="n"/>
      <c r="C2" s="296" t="n"/>
      <c r="D2" s="296" t="n"/>
      <c r="E2" s="296" t="n"/>
      <c r="F2" s="296" t="n"/>
      <c r="G2" s="296" t="n"/>
      <c r="H2" s="296" t="n"/>
      <c r="I2" s="296" t="n"/>
      <c r="J2" s="296" t="n"/>
      <c r="K2" s="296" t="n"/>
      <c r="L2" s="296" t="n"/>
    </row>
    <row r="3">
      <c r="A3" s="329" t="inlineStr">
        <is>
          <t xml:space="preserve">Приложение № 3 </t>
        </is>
      </c>
    </row>
    <row r="4">
      <c r="A4" s="330" t="inlineStr">
        <is>
          <t>Объектная ресурсная ведомость</t>
        </is>
      </c>
    </row>
    <row r="5" ht="17.45" customHeight="1" s="293">
      <c r="A5" s="268" t="n"/>
      <c r="B5" s="268" t="n"/>
      <c r="C5" s="342" t="n"/>
    </row>
    <row r="6">
      <c r="A6" s="331" t="n"/>
    </row>
    <row r="7">
      <c r="A7" s="341" t="inlineStr">
        <is>
          <t>Наименование разрабатываемого показателя УНЦ — КТП киоскового типа 6-20 кВ, мощность 1000 кВА, кол-во трансформаторов 2 шт.</t>
        </is>
      </c>
    </row>
    <row r="8">
      <c r="A8" s="336" t="n"/>
      <c r="B8" s="336" t="n"/>
      <c r="C8" s="336" t="n"/>
      <c r="D8" s="336" t="n"/>
      <c r="E8" s="336" t="n"/>
      <c r="F8" s="336" t="n"/>
      <c r="G8" s="336" t="n"/>
      <c r="H8" s="336" t="n"/>
    </row>
    <row r="9" ht="38.25" customHeight="1" s="293">
      <c r="A9" s="335" t="inlineStr">
        <is>
          <t>п/п</t>
        </is>
      </c>
      <c r="B9" s="335" t="inlineStr">
        <is>
          <t>№ЛСР</t>
        </is>
      </c>
      <c r="C9" s="335" t="inlineStr">
        <is>
          <t>Код ресурса</t>
        </is>
      </c>
      <c r="D9" s="335" t="inlineStr">
        <is>
          <t>Наименование ресурса</t>
        </is>
      </c>
      <c r="E9" s="335" t="inlineStr">
        <is>
          <t>Ед. изм.</t>
        </is>
      </c>
      <c r="F9" s="335" t="inlineStr">
        <is>
          <t>Кол-во единиц по данным объекта-представителя</t>
        </is>
      </c>
      <c r="G9" s="335" t="inlineStr">
        <is>
          <t>Сметная стоимость в ценах на 01.01.2000 (руб.)</t>
        </is>
      </c>
      <c r="H9" s="417" t="n"/>
    </row>
    <row r="10" ht="40.5" customHeight="1" s="293">
      <c r="A10" s="419" t="n"/>
      <c r="B10" s="419" t="n"/>
      <c r="C10" s="419" t="n"/>
      <c r="D10" s="419" t="n"/>
      <c r="E10" s="419" t="n"/>
      <c r="F10" s="419" t="n"/>
      <c r="G10" s="335" t="inlineStr">
        <is>
          <t>на ед.изм.</t>
        </is>
      </c>
      <c r="H10" s="335" t="inlineStr">
        <is>
          <t>общая</t>
        </is>
      </c>
    </row>
    <row r="11">
      <c r="A11" s="248" t="n">
        <v>1</v>
      </c>
      <c r="B11" s="248" t="n"/>
      <c r="C11" s="248" t="n">
        <v>2</v>
      </c>
      <c r="D11" s="248" t="inlineStr">
        <is>
          <t>З</t>
        </is>
      </c>
      <c r="E11" s="248" t="n">
        <v>4</v>
      </c>
      <c r="F11" s="248" t="n">
        <v>5</v>
      </c>
      <c r="G11" s="248" t="n">
        <v>6</v>
      </c>
      <c r="H11" s="248" t="n">
        <v>7</v>
      </c>
    </row>
    <row r="12" customFormat="1" s="294">
      <c r="A12" s="338" t="inlineStr">
        <is>
          <t>Затраты труда рабочих</t>
        </is>
      </c>
      <c r="B12" s="416" t="n"/>
      <c r="C12" s="416" t="n"/>
      <c r="D12" s="416" t="n"/>
      <c r="E12" s="417" t="n"/>
      <c r="F12" s="265">
        <f>SUM(F13:F21)</f>
        <v/>
      </c>
      <c r="G12" s="266" t="n"/>
      <c r="H12" s="265">
        <f>SUM(H13:H21)</f>
        <v/>
      </c>
    </row>
    <row r="13">
      <c r="A13" s="282" t="n">
        <v>1</v>
      </c>
      <c r="B13" s="306" t="n"/>
      <c r="C13" s="282" t="inlineStr">
        <is>
          <t>1-4-1</t>
        </is>
      </c>
      <c r="D13" s="351" t="inlineStr">
        <is>
          <t>Затраты труда рабочих (средний разряд работы 4,1)</t>
        </is>
      </c>
      <c r="E13" s="352" t="inlineStr">
        <is>
          <t>чел.-ч</t>
        </is>
      </c>
      <c r="F13" s="307" t="n">
        <v>36.2</v>
      </c>
      <c r="G13" s="218" t="n">
        <v>9.76</v>
      </c>
      <c r="H13" s="218">
        <f>ROUND(F13*G13,2)</f>
        <v/>
      </c>
    </row>
    <row r="14">
      <c r="A14" s="308" t="n">
        <v>2</v>
      </c>
      <c r="B14" s="306" t="n"/>
      <c r="C14" s="282" t="inlineStr">
        <is>
          <t>1-2-0</t>
        </is>
      </c>
      <c r="D14" s="351" t="inlineStr">
        <is>
          <t>Затраты труда рабочих (средний разряд работы 2)</t>
        </is>
      </c>
      <c r="E14" s="352" t="inlineStr">
        <is>
          <t>чел.-ч</t>
        </is>
      </c>
      <c r="F14" s="307" t="n">
        <v>29.76</v>
      </c>
      <c r="G14" s="218" t="n">
        <v>7.8</v>
      </c>
      <c r="H14" s="218">
        <f>ROUND(F14*G14,2)</f>
        <v/>
      </c>
    </row>
    <row r="15">
      <c r="A15" s="352" t="n">
        <v>3</v>
      </c>
      <c r="B15" s="306" t="n"/>
      <c r="C15" s="282" t="inlineStr">
        <is>
          <t>1-3-4</t>
        </is>
      </c>
      <c r="D15" s="351" t="inlineStr">
        <is>
          <t>Затраты труда рабочих (средний разряд работы 3,4)</t>
        </is>
      </c>
      <c r="E15" s="352" t="inlineStr">
        <is>
          <t>чел.-ч</t>
        </is>
      </c>
      <c r="F15" s="307" t="n">
        <v>17.12</v>
      </c>
      <c r="G15" s="218" t="n">
        <v>8.970000000000001</v>
      </c>
      <c r="H15" s="218">
        <f>ROUND(F15*G15,2)</f>
        <v/>
      </c>
    </row>
    <row r="16">
      <c r="A16" s="308" t="n">
        <v>4</v>
      </c>
      <c r="B16" s="306" t="n"/>
      <c r="C16" s="282" t="inlineStr">
        <is>
          <t>1-3-8</t>
        </is>
      </c>
      <c r="D16" s="351" t="inlineStr">
        <is>
          <t>Затраты труда рабочих (средний разряд работы 3,8)</t>
        </is>
      </c>
      <c r="E16" s="352" t="inlineStr">
        <is>
          <t>чел.-ч</t>
        </is>
      </c>
      <c r="F16" s="307" t="n">
        <v>12.94</v>
      </c>
      <c r="G16" s="218" t="n">
        <v>9.4</v>
      </c>
      <c r="H16" s="218">
        <f>ROUND(F16*G16,2)</f>
        <v/>
      </c>
    </row>
    <row r="17">
      <c r="A17" s="352" t="n">
        <v>5</v>
      </c>
      <c r="B17" s="306" t="n"/>
      <c r="C17" s="282" t="inlineStr">
        <is>
          <t>1-3-9</t>
        </is>
      </c>
      <c r="D17" s="351" t="inlineStr">
        <is>
          <t>Затраты труда рабочих (средний разряд работы 3,9)</t>
        </is>
      </c>
      <c r="E17" s="352" t="inlineStr">
        <is>
          <t>чел.-ч</t>
        </is>
      </c>
      <c r="F17" s="307" t="n">
        <v>10.18</v>
      </c>
      <c r="G17" s="218" t="n">
        <v>9.51</v>
      </c>
      <c r="H17" s="218">
        <f>ROUND(F17*G17,2)</f>
        <v/>
      </c>
    </row>
    <row r="18">
      <c r="A18" s="308" t="n">
        <v>6</v>
      </c>
      <c r="B18" s="306" t="n"/>
      <c r="C18" s="282" t="inlineStr">
        <is>
          <t>1-2-5</t>
        </is>
      </c>
      <c r="D18" s="351" t="inlineStr">
        <is>
          <t>Затраты труда рабочих (средний разряд работы 2,5)</t>
        </is>
      </c>
      <c r="E18" s="352" t="inlineStr">
        <is>
          <t>чел.-ч</t>
        </is>
      </c>
      <c r="F18" s="307" t="n">
        <v>6.9</v>
      </c>
      <c r="G18" s="218" t="n">
        <v>8.17</v>
      </c>
      <c r="H18" s="218">
        <f>ROUND(F18*G18,2)</f>
        <v/>
      </c>
    </row>
    <row r="19">
      <c r="A19" s="282" t="inlineStr">
        <is>
          <t>7</t>
        </is>
      </c>
      <c r="B19" s="306" t="n"/>
      <c r="C19" s="282" t="inlineStr">
        <is>
          <t>1-2-9</t>
        </is>
      </c>
      <c r="D19" s="351" t="inlineStr">
        <is>
          <t>Затраты труда рабочих (средний разряд работы 2,9)</t>
        </is>
      </c>
      <c r="E19" s="352" t="inlineStr">
        <is>
          <t>чел.-ч</t>
        </is>
      </c>
      <c r="F19" s="307" t="n">
        <v>5.32</v>
      </c>
      <c r="G19" s="218" t="n">
        <v>8.460000000000001</v>
      </c>
      <c r="H19" s="218">
        <f>ROUND(F19*G19,2)</f>
        <v/>
      </c>
    </row>
    <row r="20">
      <c r="A20" s="308" t="n">
        <v>8</v>
      </c>
      <c r="B20" s="306" t="n"/>
      <c r="C20" s="282" t="inlineStr">
        <is>
          <t>1-3-0</t>
        </is>
      </c>
      <c r="D20" s="351" t="inlineStr">
        <is>
          <t>Затраты труда рабочих (средний разряд работы 3)</t>
        </is>
      </c>
      <c r="E20" s="352" t="inlineStr">
        <is>
          <t>чел.-ч</t>
        </is>
      </c>
      <c r="F20" s="307" t="n">
        <v>4.43</v>
      </c>
      <c r="G20" s="218" t="n">
        <v>8.529999999999999</v>
      </c>
      <c r="H20" s="218">
        <f>ROUND(F20*G20,2)</f>
        <v/>
      </c>
    </row>
    <row r="21">
      <c r="A21" s="352" t="n">
        <v>9</v>
      </c>
      <c r="B21" s="306" t="n"/>
      <c r="C21" s="282" t="inlineStr">
        <is>
          <t>1-1-5</t>
        </is>
      </c>
      <c r="D21" s="351" t="inlineStr">
        <is>
          <t>Затраты труда рабочих (средний разряд работы 1,5)</t>
        </is>
      </c>
      <c r="E21" s="352" t="inlineStr">
        <is>
          <t>чел.-ч</t>
        </is>
      </c>
      <c r="F21" s="307" t="n">
        <v>3.54</v>
      </c>
      <c r="G21" s="218" t="n">
        <v>7.5</v>
      </c>
      <c r="H21" s="218">
        <f>ROUND(F21*G21,2)</f>
        <v/>
      </c>
    </row>
    <row r="22">
      <c r="A22" s="337" t="inlineStr">
        <is>
          <t>Затраты труда машинистов</t>
        </is>
      </c>
      <c r="B22" s="416" t="n"/>
      <c r="C22" s="416" t="n"/>
      <c r="D22" s="416" t="n"/>
      <c r="E22" s="417" t="n"/>
      <c r="F22" s="338" t="n"/>
      <c r="G22" s="310" t="n"/>
      <c r="H22" s="265">
        <f>H23</f>
        <v/>
      </c>
    </row>
    <row r="23">
      <c r="A23" s="352" t="n">
        <v>10</v>
      </c>
      <c r="B23" s="339" t="n"/>
      <c r="C23" s="282" t="n">
        <v>2</v>
      </c>
      <c r="D23" s="351" t="inlineStr">
        <is>
          <t>Затраты труда машинистов</t>
        </is>
      </c>
      <c r="E23" s="352" t="inlineStr">
        <is>
          <t>чел.-ч</t>
        </is>
      </c>
      <c r="F23" s="312" t="n">
        <v>17.21</v>
      </c>
      <c r="G23" s="218" t="n">
        <v>0</v>
      </c>
      <c r="H23" s="313" t="n">
        <v>229.16</v>
      </c>
    </row>
    <row r="24" customFormat="1" s="294">
      <c r="A24" s="338" t="inlineStr">
        <is>
          <t>Машины и механизмы</t>
        </is>
      </c>
      <c r="B24" s="416" t="n"/>
      <c r="C24" s="416" t="n"/>
      <c r="D24" s="416" t="n"/>
      <c r="E24" s="417" t="n"/>
      <c r="F24" s="338" t="n"/>
      <c r="G24" s="310" t="n"/>
      <c r="H24" s="265">
        <f>SUM(H25:H31)</f>
        <v/>
      </c>
    </row>
    <row r="25" ht="26.45" customHeight="1" s="293">
      <c r="A25" s="352" t="n">
        <v>11</v>
      </c>
      <c r="B25" s="339" t="n"/>
      <c r="C25" s="282" t="inlineStr">
        <is>
          <t>91.05.05-014</t>
        </is>
      </c>
      <c r="D25" s="351" t="inlineStr">
        <is>
          <t>Краны на автомобильном ходу, грузоподъемность 10 т</t>
        </is>
      </c>
      <c r="E25" s="352" t="inlineStr">
        <is>
          <t>маш.час</t>
        </is>
      </c>
      <c r="F25" s="352" t="n">
        <v>16.05</v>
      </c>
      <c r="G25" s="368" t="n">
        <v>111.99</v>
      </c>
      <c r="H25" s="218">
        <f>ROUND(F25*G25,2)</f>
        <v/>
      </c>
      <c r="I25" s="270" t="n"/>
      <c r="J25" s="269" t="n"/>
      <c r="L25" s="270" t="n"/>
    </row>
    <row r="26" ht="39.6" customFormat="1" customHeight="1" s="294">
      <c r="A26" s="352" t="n">
        <v>12</v>
      </c>
      <c r="B26" s="339" t="n"/>
      <c r="C26" s="282" t="inlineStr">
        <is>
          <t>91.18.01-007</t>
        </is>
      </c>
      <c r="D26" s="35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6" s="352" t="inlineStr">
        <is>
          <t>маш.час</t>
        </is>
      </c>
      <c r="F26" s="352" t="n">
        <v>0.63</v>
      </c>
      <c r="G26" s="368" t="n">
        <v>90</v>
      </c>
      <c r="H26" s="218">
        <f>ROUND(F26*G26,2)</f>
        <v/>
      </c>
      <c r="I26" s="270" t="n"/>
      <c r="L26" s="270" t="n"/>
    </row>
    <row r="27">
      <c r="A27" s="352" t="n">
        <v>13</v>
      </c>
      <c r="B27" s="339" t="n"/>
      <c r="C27" s="282" t="inlineStr">
        <is>
          <t>91.08.04-021</t>
        </is>
      </c>
      <c r="D27" s="351" t="inlineStr">
        <is>
          <t>Котлы битумные: передвижные 400 л</t>
        </is>
      </c>
      <c r="E27" s="352" t="inlineStr">
        <is>
          <t>маш.час</t>
        </is>
      </c>
      <c r="F27" s="352" t="n">
        <v>0.9399999999999999</v>
      </c>
      <c r="G27" s="368" t="n">
        <v>30</v>
      </c>
      <c r="H27" s="218">
        <f>ROUND(F27*G27,2)</f>
        <v/>
      </c>
      <c r="I27" s="270" t="n"/>
      <c r="L27" s="270" t="n"/>
    </row>
    <row r="28" ht="26.45" customHeight="1" s="293">
      <c r="A28" s="352" t="n">
        <v>14</v>
      </c>
      <c r="B28" s="339" t="n"/>
      <c r="C28" s="282" t="inlineStr">
        <is>
          <t>91.17.04-233</t>
        </is>
      </c>
      <c r="D28" s="351" t="inlineStr">
        <is>
          <t>Установки для сварки: ручной дуговой (постоянного тока)</t>
        </is>
      </c>
      <c r="E28" s="352" t="inlineStr">
        <is>
          <t>маш.час</t>
        </is>
      </c>
      <c r="F28" s="352" t="n">
        <v>3.22</v>
      </c>
      <c r="G28" s="368" t="n">
        <v>8.1</v>
      </c>
      <c r="H28" s="218">
        <f>ROUND(F28*G28,2)</f>
        <v/>
      </c>
      <c r="I28" s="270" t="n"/>
      <c r="L28" s="270" t="n"/>
    </row>
    <row r="29" ht="26.45" customHeight="1" s="293">
      <c r="A29" s="352" t="n">
        <v>15</v>
      </c>
      <c r="B29" s="339" t="n"/>
      <c r="C29" s="282" t="inlineStr">
        <is>
          <t>91.06.05-057</t>
        </is>
      </c>
      <c r="D29" s="351" t="inlineStr">
        <is>
          <t>Погрузчики одноковшовые универсальные фронтальные пневмоколесные, грузоподъемность 3 т</t>
        </is>
      </c>
      <c r="E29" s="352" t="inlineStr">
        <is>
          <t>маш.час</t>
        </is>
      </c>
      <c r="F29" s="352" t="n">
        <v>0.24</v>
      </c>
      <c r="G29" s="368" t="n">
        <v>90.40000000000001</v>
      </c>
      <c r="H29" s="218">
        <f>ROUND(F29*G29,2)</f>
        <v/>
      </c>
      <c r="I29" s="270" t="n"/>
      <c r="L29" s="270" t="n"/>
    </row>
    <row r="30">
      <c r="A30" s="352" t="n">
        <v>16</v>
      </c>
      <c r="B30" s="339" t="n"/>
      <c r="C30" s="282" t="inlineStr">
        <is>
          <t>91.14.02-001</t>
        </is>
      </c>
      <c r="D30" s="351" t="inlineStr">
        <is>
          <t>Автомобили бортовые, грузоподъемность: до 5 т</t>
        </is>
      </c>
      <c r="E30" s="352" t="inlineStr">
        <is>
          <t>маш.час</t>
        </is>
      </c>
      <c r="F30" s="352" t="n">
        <v>0.29</v>
      </c>
      <c r="G30" s="368" t="n">
        <v>65.70999999999999</v>
      </c>
      <c r="H30" s="218">
        <f>ROUND(F30*G30,2)</f>
        <v/>
      </c>
      <c r="I30" s="270" t="n"/>
      <c r="L30" s="270" t="n"/>
    </row>
    <row r="31" ht="26.45" customHeight="1" s="293">
      <c r="A31" s="352" t="n">
        <v>17</v>
      </c>
      <c r="B31" s="339" t="n"/>
      <c r="C31" s="282" t="inlineStr">
        <is>
          <t>91.08.09-023</t>
        </is>
      </c>
      <c r="D31" s="351" t="inlineStr">
        <is>
          <t>Трамбовки пневматические при работе от: передвижных компрессорных станций</t>
        </is>
      </c>
      <c r="E31" s="352" t="inlineStr">
        <is>
          <t>маш.час</t>
        </is>
      </c>
      <c r="F31" s="352" t="n">
        <v>1.26</v>
      </c>
      <c r="G31" s="368" t="n">
        <v>0.55</v>
      </c>
      <c r="H31" s="218">
        <f>ROUND(F31*G31,2)</f>
        <v/>
      </c>
      <c r="I31" s="270" t="n"/>
    </row>
    <row r="32" ht="15" customHeight="1" s="293">
      <c r="A32" s="337" t="inlineStr">
        <is>
          <t>Оборудование</t>
        </is>
      </c>
      <c r="B32" s="416" t="n"/>
      <c r="C32" s="416" t="n"/>
      <c r="D32" s="416" t="n"/>
      <c r="E32" s="417" t="n"/>
      <c r="F32" s="266" t="n"/>
      <c r="G32" s="266" t="n"/>
      <c r="H32" s="265">
        <f>SUM(H33:H33)</f>
        <v/>
      </c>
    </row>
    <row r="33" ht="26.45" customHeight="1" s="293">
      <c r="A33" s="308" t="n">
        <v>18</v>
      </c>
      <c r="B33" s="350" t="n"/>
      <c r="C33" s="282" t="inlineStr">
        <is>
          <t>Прайс из СД ОП</t>
        </is>
      </c>
      <c r="D33" s="351" t="inlineStr">
        <is>
          <t>2КТП-К(Н)-П(Кк)-ENRG-1000/10/0.4-У1 (с силовыми трансформаторами ТМГ-21-1000/10/0,4)</t>
        </is>
      </c>
      <c r="E33" s="352" t="inlineStr">
        <is>
          <t>шт</t>
        </is>
      </c>
      <c r="F33" s="352" t="n">
        <v>1</v>
      </c>
      <c r="G33" s="218" t="n">
        <v>849840.26</v>
      </c>
      <c r="H33" s="218">
        <f>G33*F33</f>
        <v/>
      </c>
      <c r="I33" s="274" t="n"/>
    </row>
    <row r="34">
      <c r="A34" s="338" t="inlineStr">
        <is>
          <t>Материалы</t>
        </is>
      </c>
      <c r="B34" s="416" t="n"/>
      <c r="C34" s="416" t="n"/>
      <c r="D34" s="416" t="n"/>
      <c r="E34" s="417" t="n"/>
      <c r="F34" s="338" t="n"/>
      <c r="G34" s="310" t="n"/>
      <c r="H34" s="265">
        <f>SUM(H35:H49)</f>
        <v/>
      </c>
    </row>
    <row r="35" ht="26.45" customHeight="1" s="293">
      <c r="A35" s="308" t="n">
        <v>19</v>
      </c>
      <c r="B35" s="339" t="n"/>
      <c r="C35" s="282" t="inlineStr">
        <is>
          <t>24.3.03.13-0169</t>
        </is>
      </c>
      <c r="D35" s="351" t="inlineStr">
        <is>
          <t>Труба ПЭ 80 SDR 13,6, наружный диаметр 160 мм (ГОСТ 18599-2001)</t>
        </is>
      </c>
      <c r="E35" s="352" t="inlineStr">
        <is>
          <t>м</t>
        </is>
      </c>
      <c r="F35" s="352" t="n">
        <v>40</v>
      </c>
      <c r="G35" s="218" t="n">
        <v>106.25</v>
      </c>
      <c r="H35" s="218">
        <f>ROUND(F35*G35,2)</f>
        <v/>
      </c>
      <c r="I35" s="274" t="n"/>
      <c r="K35" s="270" t="n"/>
    </row>
    <row r="36" ht="39.6" customHeight="1" s="293">
      <c r="A36" s="308" t="n">
        <v>20</v>
      </c>
      <c r="B36" s="339" t="n"/>
      <c r="C36" s="282" t="inlineStr">
        <is>
          <t>05.2.02.01-0055</t>
        </is>
      </c>
      <c r="D36" s="351" t="inlineStr">
        <is>
          <t>Блоки бетонные стен подвалов сплошные (ГОСТ13579-78): ФБС24-5-6-Т /бетон В7,5 (М100), объем 0,679 м3, расход арматуры 2,36 кг/</t>
        </is>
      </c>
      <c r="E36" s="352" t="inlineStr">
        <is>
          <t>шт</t>
        </is>
      </c>
      <c r="F36" s="352" t="n">
        <v>6</v>
      </c>
      <c r="G36" s="218" t="n">
        <v>393.82</v>
      </c>
      <c r="H36" s="218">
        <f>ROUND(F36*G36,2)</f>
        <v/>
      </c>
      <c r="I36" s="274" t="n"/>
      <c r="K36" s="270" t="n"/>
    </row>
    <row r="37" ht="39.6" customHeight="1" s="293">
      <c r="A37" s="308" t="n">
        <v>21</v>
      </c>
      <c r="B37" s="339" t="n"/>
      <c r="C37" s="282" t="inlineStr">
        <is>
          <t>05.2.02.01-0045</t>
        </is>
      </c>
      <c r="D37" s="351" t="inlineStr">
        <is>
          <t>Блоки бетонные стен подвалов сплошные (ГОСТ13579-78): ФБС12-5-6-П /бетон В7,5 (М100), объем 0,331 м3, расход арматуры 1,46 кг/</t>
        </is>
      </c>
      <c r="E37" s="352" t="inlineStr">
        <is>
          <t>шт</t>
        </is>
      </c>
      <c r="F37" s="352" t="n">
        <v>6</v>
      </c>
      <c r="G37" s="218" t="n">
        <v>354.56</v>
      </c>
      <c r="H37" s="218">
        <f>ROUND(F37*G37,2)</f>
        <v/>
      </c>
      <c r="I37" s="274" t="n"/>
      <c r="K37" s="270" t="n"/>
    </row>
    <row r="38" ht="39.6" customHeight="1" s="293">
      <c r="A38" s="308" t="n">
        <v>22</v>
      </c>
      <c r="B38" s="339" t="n"/>
      <c r="C38" s="282" t="inlineStr">
        <is>
          <t>05.2.02.01-0060</t>
        </is>
      </c>
      <c r="D38" s="351" t="inlineStr">
        <is>
          <t>Блоки бетонные стен подвалов сплошные (ГОСТ13579-78): ФБС 9-5-6-П /бетон В7,5 (М100), объем 0,244 м3, расход арматуры 0,76 кг/</t>
        </is>
      </c>
      <c r="E38" s="352" t="inlineStr">
        <is>
          <t>шт</t>
        </is>
      </c>
      <c r="F38" s="352" t="n">
        <v>6</v>
      </c>
      <c r="G38" s="218" t="n">
        <v>264.02</v>
      </c>
      <c r="H38" s="218">
        <f>ROUND(F38*G38,2)</f>
        <v/>
      </c>
      <c r="I38" s="274" t="n"/>
    </row>
    <row r="39">
      <c r="A39" s="308" t="n">
        <v>23</v>
      </c>
      <c r="B39" s="339" t="n"/>
      <c r="C39" s="282" t="inlineStr">
        <is>
          <t>14.4.02.09-0301</t>
        </is>
      </c>
      <c r="D39" s="351" t="inlineStr">
        <is>
          <t>Краска "Цинол"</t>
        </is>
      </c>
      <c r="E39" s="352" t="inlineStr">
        <is>
          <t>кг</t>
        </is>
      </c>
      <c r="F39" s="352" t="n">
        <v>3.006</v>
      </c>
      <c r="G39" s="218" t="n">
        <v>238.48</v>
      </c>
      <c r="H39" s="218">
        <f>ROUND(F39*G39,2)</f>
        <v/>
      </c>
      <c r="I39" s="274" t="n"/>
    </row>
    <row r="40">
      <c r="A40" s="308" t="n">
        <v>24</v>
      </c>
      <c r="B40" s="339" t="n"/>
      <c r="C40" s="282" t="inlineStr">
        <is>
          <t>01.2.03.03-0013</t>
        </is>
      </c>
      <c r="D40" s="351" t="inlineStr">
        <is>
          <t>Мастика битумная кровельная горячая</t>
        </is>
      </c>
      <c r="E40" s="352" t="inlineStr">
        <is>
          <t>т</t>
        </is>
      </c>
      <c r="F40" s="352" t="n">
        <v>0.1152</v>
      </c>
      <c r="G40" s="218" t="n">
        <v>3390</v>
      </c>
      <c r="H40" s="218">
        <f>ROUND(F40*G40,2)</f>
        <v/>
      </c>
      <c r="I40" s="274" t="n"/>
    </row>
    <row r="41" ht="26.45" customHeight="1" s="293">
      <c r="A41" s="308" t="n">
        <v>25</v>
      </c>
      <c r="B41" s="339" t="n"/>
      <c r="C41" s="282" t="inlineStr">
        <is>
          <t>08.3.04.02-0095</t>
        </is>
      </c>
      <c r="D41" s="351" t="inlineStr">
        <is>
          <t>Сталь круглая углеродистая обыкновенного качества марки ВСт3пс5-1 диаметром 16 мм</t>
        </is>
      </c>
      <c r="E41" s="352" t="inlineStr">
        <is>
          <t>т</t>
        </is>
      </c>
      <c r="F41" s="352" t="n">
        <v>0.065</v>
      </c>
      <c r="G41" s="218" t="n">
        <v>5230.01</v>
      </c>
      <c r="H41" s="218">
        <f>ROUND(F41*G41,2)</f>
        <v/>
      </c>
      <c r="I41" s="274" t="n"/>
    </row>
    <row r="42">
      <c r="A42" s="308" t="n">
        <v>26</v>
      </c>
      <c r="B42" s="339" t="n"/>
      <c r="C42" s="282" t="inlineStr">
        <is>
          <t>08.3.07.01-0041</t>
        </is>
      </c>
      <c r="D42" s="351" t="inlineStr">
        <is>
          <t>Сталь полосовая 40х4 мм</t>
        </is>
      </c>
      <c r="E42" s="352" t="inlineStr">
        <is>
          <t>т</t>
        </is>
      </c>
      <c r="F42" s="352" t="n">
        <v>0.049</v>
      </c>
      <c r="G42" s="218" t="n">
        <v>6100</v>
      </c>
      <c r="H42" s="218">
        <f>ROUND(F42*G42,2)</f>
        <v/>
      </c>
      <c r="I42" s="274" t="n"/>
    </row>
    <row r="43">
      <c r="A43" s="308" t="n">
        <v>27</v>
      </c>
      <c r="B43" s="339" t="n"/>
      <c r="C43" s="282" t="inlineStr">
        <is>
          <t>01.3.01.03-0002</t>
        </is>
      </c>
      <c r="D43" s="351" t="inlineStr">
        <is>
          <t>Керосин для технических целей марок КТ-1, КТ-2</t>
        </is>
      </c>
      <c r="E43" s="352" t="inlineStr">
        <is>
          <t>т</t>
        </is>
      </c>
      <c r="F43" s="352" t="n">
        <v>0.0115</v>
      </c>
      <c r="G43" s="218" t="n">
        <v>2606.9</v>
      </c>
      <c r="H43" s="218">
        <f>ROUND(F43*G43,2)</f>
        <v/>
      </c>
      <c r="I43" s="274" t="n"/>
    </row>
    <row r="44">
      <c r="A44" s="308" t="n">
        <v>28</v>
      </c>
      <c r="B44" s="339" t="n"/>
      <c r="C44" s="282" t="inlineStr">
        <is>
          <t>01.2.01.02-0054</t>
        </is>
      </c>
      <c r="D44" s="351" t="inlineStr">
        <is>
          <t>Битумы нефтяные строительные марки: БН-90/10</t>
        </is>
      </c>
      <c r="E44" s="352" t="inlineStr">
        <is>
          <t>т</t>
        </is>
      </c>
      <c r="F44" s="352" t="n">
        <v>0.0077</v>
      </c>
      <c r="G44" s="218" t="n">
        <v>1383.1</v>
      </c>
      <c r="H44" s="218">
        <f>ROUND(F44*G44,2)</f>
        <v/>
      </c>
      <c r="I44" s="274" t="n"/>
    </row>
    <row r="45">
      <c r="A45" s="308" t="n">
        <v>29</v>
      </c>
      <c r="B45" s="339" t="n"/>
      <c r="C45" s="282" t="inlineStr">
        <is>
          <t>01.7.11.07-0034</t>
        </is>
      </c>
      <c r="D45" s="351" t="inlineStr">
        <is>
          <t>Электроды диаметром: 4 мм Э42А</t>
        </is>
      </c>
      <c r="E45" s="352" t="inlineStr">
        <is>
          <t>кг</t>
        </is>
      </c>
      <c r="F45" s="352" t="n">
        <v>0.966</v>
      </c>
      <c r="G45" s="218" t="n">
        <v>10.57</v>
      </c>
      <c r="H45" s="218">
        <f>ROUND(F45*G45,2)</f>
        <v/>
      </c>
      <c r="I45" s="274" t="n"/>
    </row>
    <row r="46" ht="26.45" customHeight="1" s="293">
      <c r="A46" s="308" t="n">
        <v>30</v>
      </c>
      <c r="B46" s="339" t="n"/>
      <c r="C46" s="282" t="inlineStr">
        <is>
          <t>11.1.03.03-0003</t>
        </is>
      </c>
      <c r="D46" s="351" t="inlineStr">
        <is>
          <t>Брусья необрезные хвойных пород длиной: 2-3,75 м, все ширины, толщиной 100-125 мм, III сорта</t>
        </is>
      </c>
      <c r="E46" s="352" t="inlineStr">
        <is>
          <t>м3</t>
        </is>
      </c>
      <c r="F46" s="352" t="n">
        <v>0.0032</v>
      </c>
      <c r="G46" s="218" t="n">
        <v>802.46</v>
      </c>
      <c r="H46" s="218">
        <f>ROUND(F46*G46,2)</f>
        <v/>
      </c>
      <c r="I46" s="274" t="n"/>
    </row>
    <row r="47" ht="26.45" customHeight="1" s="293">
      <c r="A47" s="308" t="n">
        <v>31</v>
      </c>
      <c r="B47" s="339" t="n"/>
      <c r="C47" s="282" t="inlineStr">
        <is>
          <t>999-9950</t>
        </is>
      </c>
      <c r="D47" s="351" t="inlineStr">
        <is>
          <t>Вспомогательные ненормируемые ресурсы (2% от Оплаты труда рабочих)</t>
        </is>
      </c>
      <c r="E47" s="352" t="inlineStr">
        <is>
          <t>руб.</t>
        </is>
      </c>
      <c r="F47" s="352" t="n">
        <v>2.434</v>
      </c>
      <c r="G47" s="218" t="n">
        <v>1</v>
      </c>
      <c r="H47" s="218">
        <f>ROUND(F47*G47,2)</f>
        <v/>
      </c>
      <c r="I47" s="274" t="n"/>
    </row>
    <row r="48" customFormat="1" s="294">
      <c r="A48" s="308" t="n">
        <v>32</v>
      </c>
      <c r="B48" s="339" t="n"/>
      <c r="C48" s="282" t="inlineStr">
        <is>
          <t>01.7.03.01-0001</t>
        </is>
      </c>
      <c r="D48" s="351" t="inlineStr">
        <is>
          <t>Вода</t>
        </is>
      </c>
      <c r="E48" s="352" t="inlineStr">
        <is>
          <t>м3</t>
        </is>
      </c>
      <c r="F48" s="352" t="n">
        <v>0.45</v>
      </c>
      <c r="G48" s="218" t="n">
        <v>2.44</v>
      </c>
      <c r="H48" s="218">
        <f>ROUND(F48*G48,2)</f>
        <v/>
      </c>
      <c r="I48" s="274" t="n"/>
    </row>
    <row r="49">
      <c r="A49" s="308" t="n">
        <v>33</v>
      </c>
      <c r="B49" s="339" t="n"/>
      <c r="C49" s="282" t="inlineStr">
        <is>
          <t>01.7.20.08-0051</t>
        </is>
      </c>
      <c r="D49" s="351" t="inlineStr">
        <is>
          <t>Ветошь</t>
        </is>
      </c>
      <c r="E49" s="352" t="inlineStr">
        <is>
          <t>кг</t>
        </is>
      </c>
      <c r="F49" s="352" t="n">
        <v>0.048</v>
      </c>
      <c r="G49" s="218" t="n">
        <v>1.82</v>
      </c>
      <c r="H49" s="218">
        <f>ROUND(F49*G49,2)</f>
        <v/>
      </c>
      <c r="I49" s="274" t="n"/>
    </row>
    <row r="52">
      <c r="B52" s="296" t="inlineStr">
        <is>
          <t>Составил ______________________     Е. М. Добровольская</t>
        </is>
      </c>
    </row>
    <row r="53">
      <c r="B53" s="281" t="inlineStr">
        <is>
          <t xml:space="preserve">                         (подпись, инициалы, фамилия)</t>
        </is>
      </c>
    </row>
    <row r="55">
      <c r="B55" s="296" t="inlineStr">
        <is>
          <t>Проверил ______________________        А.В. Костянецкая</t>
        </is>
      </c>
    </row>
    <row r="56">
      <c r="B56" s="281" t="inlineStr">
        <is>
          <t xml:space="preserve">                        (подпись, инициалы, фамилия)</t>
        </is>
      </c>
    </row>
  </sheetData>
  <mergeCells count="16">
    <mergeCell ref="A4:H4"/>
    <mergeCell ref="A34:E34"/>
    <mergeCell ref="A3:H3"/>
    <mergeCell ref="B9:B10"/>
    <mergeCell ref="A12:E12"/>
    <mergeCell ref="C9:C10"/>
    <mergeCell ref="A24:E24"/>
    <mergeCell ref="A7:H7"/>
    <mergeCell ref="A9:A10"/>
    <mergeCell ref="D9:D10"/>
    <mergeCell ref="E9:E10"/>
    <mergeCell ref="F9:F10"/>
    <mergeCell ref="C5:H5"/>
    <mergeCell ref="A32:E32"/>
    <mergeCell ref="G9:H9"/>
    <mergeCell ref="A22:E2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5" sqref="D45"/>
    </sheetView>
  </sheetViews>
  <sheetFormatPr baseColWidth="8" defaultColWidth="9.140625" defaultRowHeight="15"/>
  <cols>
    <col width="4.140625" customWidth="1" style="293" min="1" max="1"/>
    <col width="36.28515625" customWidth="1" style="293" min="2" max="2"/>
    <col width="18.85546875" customWidth="1" style="293" min="3" max="3"/>
    <col width="18.28515625" customWidth="1" style="293" min="4" max="4"/>
    <col width="18.85546875" customWidth="1" style="293" min="5" max="5"/>
    <col width="9.140625" customWidth="1" style="293" min="6" max="6"/>
    <col width="13.42578125" customWidth="1" style="293" min="7" max="7"/>
    <col width="9.140625" customWidth="1" style="293" min="8" max="11"/>
    <col width="13.5703125" customWidth="1" style="293" min="12" max="12"/>
    <col width="9.140625" customWidth="1" style="293" min="13" max="13"/>
  </cols>
  <sheetData>
    <row r="1">
      <c r="B1" s="299" t="n"/>
      <c r="C1" s="299" t="n"/>
      <c r="D1" s="299" t="n"/>
      <c r="E1" s="299" t="n"/>
    </row>
    <row r="2">
      <c r="B2" s="299" t="n"/>
      <c r="C2" s="299" t="n"/>
      <c r="D2" s="299" t="n"/>
      <c r="E2" s="364" t="inlineStr">
        <is>
          <t>Приложение № 4</t>
        </is>
      </c>
    </row>
    <row r="3">
      <c r="B3" s="299" t="n"/>
      <c r="C3" s="299" t="n"/>
      <c r="D3" s="299" t="n"/>
      <c r="E3" s="299" t="n"/>
    </row>
    <row r="4">
      <c r="B4" s="299" t="n"/>
      <c r="C4" s="299" t="n"/>
      <c r="D4" s="299" t="n"/>
      <c r="E4" s="299" t="n"/>
    </row>
    <row r="5">
      <c r="B5" s="322" t="inlineStr">
        <is>
          <t>Ресурсная модель</t>
        </is>
      </c>
    </row>
    <row r="6">
      <c r="B6" s="260" t="n"/>
      <c r="C6" s="299" t="n"/>
      <c r="D6" s="299" t="n"/>
      <c r="E6" s="299" t="n"/>
    </row>
    <row r="7" ht="25.5" customHeight="1" s="293">
      <c r="B7" s="343" t="inlineStr">
        <is>
          <t>Наименование разрабатываемого показателя УНЦ — КТП киоскового типа 6-20 кВ, мощность 1000 кВА, кол-во трансформаторов 2 шт.</t>
        </is>
      </c>
    </row>
    <row r="8">
      <c r="B8" s="344" t="inlineStr">
        <is>
          <t>Единица измерения  — 1 единица</t>
        </is>
      </c>
    </row>
    <row r="9">
      <c r="B9" s="260" t="n"/>
      <c r="C9" s="299" t="n"/>
      <c r="D9" s="299" t="n"/>
      <c r="E9" s="299" t="n"/>
    </row>
    <row r="10" ht="52.9" customHeight="1" s="293">
      <c r="B10" s="352" t="inlineStr">
        <is>
          <t>Наименование</t>
        </is>
      </c>
      <c r="C10" s="352" t="inlineStr">
        <is>
          <t>Сметная стоимость в ценах на 01.01.2023
 (руб.)</t>
        </is>
      </c>
      <c r="D10" s="352" t="inlineStr">
        <is>
          <t>Удельный вес, 
(в СМР)</t>
        </is>
      </c>
      <c r="E10" s="352" t="inlineStr">
        <is>
          <t>Удельный вес, % 
(от всего по РМ)</t>
        </is>
      </c>
    </row>
    <row r="11">
      <c r="B11" s="252" t="inlineStr">
        <is>
          <t>Оплата труда рабочих</t>
        </is>
      </c>
      <c r="C11" s="253">
        <f>'Прил.5 Расчет СМР и ОБ'!J14</f>
        <v/>
      </c>
      <c r="D11" s="254">
        <f>C11/$C$24</f>
        <v/>
      </c>
      <c r="E11" s="254">
        <f>C11/$C$40</f>
        <v/>
      </c>
    </row>
    <row r="12">
      <c r="B12" s="252" t="inlineStr">
        <is>
          <t>Эксплуатация машин основных</t>
        </is>
      </c>
      <c r="C12" s="253">
        <f>'Прил.5 Расчет СМР и ОБ'!J20</f>
        <v/>
      </c>
      <c r="D12" s="254">
        <f>C12/$C$24</f>
        <v/>
      </c>
      <c r="E12" s="254">
        <f>C12/$C$40</f>
        <v/>
      </c>
    </row>
    <row r="13">
      <c r="B13" s="252" t="inlineStr">
        <is>
          <t>Эксплуатация машин прочих</t>
        </is>
      </c>
      <c r="C13" s="253">
        <f>'Прил.5 Расчет СМР и ОБ'!J27</f>
        <v/>
      </c>
      <c r="D13" s="254">
        <f>C13/$C$24</f>
        <v/>
      </c>
      <c r="E13" s="254">
        <f>C13/$C$40</f>
        <v/>
      </c>
    </row>
    <row r="14">
      <c r="B14" s="252" t="inlineStr">
        <is>
          <t>ЭКСПЛУАТАЦИЯ МАШИН, ВСЕГО:</t>
        </is>
      </c>
      <c r="C14" s="253">
        <f>C13+C12</f>
        <v/>
      </c>
      <c r="D14" s="254">
        <f>C14/$C$24</f>
        <v/>
      </c>
      <c r="E14" s="254">
        <f>C14/$C$40</f>
        <v/>
      </c>
    </row>
    <row r="15">
      <c r="B15" s="252" t="inlineStr">
        <is>
          <t>в том числе зарплата машинистов</t>
        </is>
      </c>
      <c r="C15" s="253">
        <f>'Прил.5 Расчет СМР и ОБ'!J16</f>
        <v/>
      </c>
      <c r="D15" s="254">
        <f>C15/$C$24</f>
        <v/>
      </c>
      <c r="E15" s="254">
        <f>C15/$C$40</f>
        <v/>
      </c>
    </row>
    <row r="16">
      <c r="B16" s="252" t="inlineStr">
        <is>
          <t>Материалы основные</t>
        </is>
      </c>
      <c r="C16" s="253">
        <f>'Прил.5 Расчет СМР и ОБ'!J42</f>
        <v/>
      </c>
      <c r="D16" s="254">
        <f>C16/$C$24</f>
        <v/>
      </c>
      <c r="E16" s="254">
        <f>C16/$C$40</f>
        <v/>
      </c>
    </row>
    <row r="17">
      <c r="B17" s="252" t="inlineStr">
        <is>
          <t>Материалы прочие</t>
        </is>
      </c>
      <c r="C17" s="253">
        <f>'Прил.5 Расчет СМР и ОБ'!J54</f>
        <v/>
      </c>
      <c r="D17" s="254">
        <f>C17/$C$24</f>
        <v/>
      </c>
      <c r="E17" s="254">
        <f>C17/$C$40</f>
        <v/>
      </c>
      <c r="G17" s="258" t="n"/>
    </row>
    <row r="18">
      <c r="B18" s="252" t="inlineStr">
        <is>
          <t>МАТЕРИАЛЫ, ВСЕГО:</t>
        </is>
      </c>
      <c r="C18" s="253">
        <f>C17+C16</f>
        <v/>
      </c>
      <c r="D18" s="254">
        <f>C18/$C$24</f>
        <v/>
      </c>
      <c r="E18" s="254">
        <f>C18/$C$40</f>
        <v/>
      </c>
    </row>
    <row r="19">
      <c r="B19" s="252" t="inlineStr">
        <is>
          <t>ИТОГО</t>
        </is>
      </c>
      <c r="C19" s="253">
        <f>C18+C14+C11</f>
        <v/>
      </c>
      <c r="D19" s="254" t="n"/>
      <c r="E19" s="252" t="n"/>
    </row>
    <row r="20">
      <c r="B20" s="252" t="inlineStr">
        <is>
          <t>Сметная прибыль, руб.</t>
        </is>
      </c>
      <c r="C20" s="253">
        <f>ROUND(C21*(C11+C15),2)</f>
        <v/>
      </c>
      <c r="D20" s="254">
        <f>C20/$C$24</f>
        <v/>
      </c>
      <c r="E20" s="254">
        <f>C20/$C$40</f>
        <v/>
      </c>
    </row>
    <row r="21">
      <c r="B21" s="252" t="inlineStr">
        <is>
          <t>Сметная прибыль, %</t>
        </is>
      </c>
      <c r="C21" s="257">
        <f>'Прил.5 Расчет СМР и ОБ'!D58</f>
        <v/>
      </c>
      <c r="D21" s="254" t="n"/>
      <c r="E21" s="252" t="n"/>
    </row>
    <row r="22">
      <c r="B22" s="252" t="inlineStr">
        <is>
          <t>Накладные расходы, руб.</t>
        </is>
      </c>
      <c r="C22" s="253">
        <f>ROUND(C23*(C11+C15),2)</f>
        <v/>
      </c>
      <c r="D22" s="254">
        <f>C22/$C$24</f>
        <v/>
      </c>
      <c r="E22" s="254">
        <f>C22/$C$40</f>
        <v/>
      </c>
    </row>
    <row r="23">
      <c r="B23" s="252" t="inlineStr">
        <is>
          <t>Накладные расходы, %</t>
        </is>
      </c>
      <c r="C23" s="257">
        <f>'Прил.5 Расчет СМР и ОБ'!D57</f>
        <v/>
      </c>
      <c r="D23" s="254" t="n"/>
      <c r="E23" s="252" t="n"/>
    </row>
    <row r="24">
      <c r="B24" s="252" t="inlineStr">
        <is>
          <t>ВСЕГО СМР с НР и СП</t>
        </is>
      </c>
      <c r="C24" s="253">
        <f>C19+C20+C22</f>
        <v/>
      </c>
      <c r="D24" s="254">
        <f>C24/$C$24</f>
        <v/>
      </c>
      <c r="E24" s="254">
        <f>C24/$C$40</f>
        <v/>
      </c>
    </row>
    <row r="25" ht="26.45" customHeight="1" s="293">
      <c r="B25" s="252" t="inlineStr">
        <is>
          <t>ВСЕГО стоимость оборудования, в том числе</t>
        </is>
      </c>
      <c r="C25" s="253">
        <f>'Прил.5 Расчет СМР и ОБ'!J34</f>
        <v/>
      </c>
      <c r="D25" s="254" t="n"/>
      <c r="E25" s="254">
        <f>C25/$C$40</f>
        <v/>
      </c>
    </row>
    <row r="26" ht="26.45" customHeight="1" s="293">
      <c r="B26" s="252" t="inlineStr">
        <is>
          <t>стоимость оборудования технологического</t>
        </is>
      </c>
      <c r="C26" s="253">
        <f>'Прил.5 Расчет СМР и ОБ'!J35</f>
        <v/>
      </c>
      <c r="D26" s="254" t="n"/>
      <c r="E26" s="254">
        <f>C26/$C$40</f>
        <v/>
      </c>
    </row>
    <row r="27">
      <c r="B27" s="252" t="inlineStr">
        <is>
          <t>ИТОГО (СМР + ОБОРУДОВАНИЕ)</t>
        </is>
      </c>
      <c r="C27" s="256">
        <f>C24+C25</f>
        <v/>
      </c>
      <c r="D27" s="254" t="n"/>
      <c r="E27" s="254">
        <f>C27/$C$40</f>
        <v/>
      </c>
      <c r="G27" s="255" t="n"/>
    </row>
    <row r="28" ht="33" customHeight="1" s="293">
      <c r="B28" s="252" t="inlineStr">
        <is>
          <t>ПРОЧ. ЗАТР., УЧТЕННЫЕ ПОКАЗАТЕЛЕМ,  в том числе</t>
        </is>
      </c>
      <c r="C28" s="252" t="n"/>
      <c r="D28" s="252" t="n"/>
      <c r="E28" s="252" t="n"/>
    </row>
    <row r="29" ht="26.45" customHeight="1" s="293">
      <c r="B29" s="252" t="inlineStr">
        <is>
          <t>Временные здания и сооружения - 2,5%</t>
        </is>
      </c>
      <c r="C29" s="256">
        <f>ROUND(C24*2.5%,2)</f>
        <v/>
      </c>
      <c r="D29" s="252" t="n"/>
      <c r="E29" s="254" t="n">
        <v>0.025</v>
      </c>
    </row>
    <row r="30" ht="39.6" customHeight="1" s="293">
      <c r="B30" s="252" t="inlineStr">
        <is>
          <t>Дополнительные затраты при производстве строительно-монтажных работ в зимнее время - 2,1%</t>
        </is>
      </c>
      <c r="C30" s="256">
        <f>ROUND((C24+C29)*2.1%,2)</f>
        <v/>
      </c>
      <c r="D30" s="252" t="n"/>
      <c r="E30" s="254" t="n">
        <v>0.021</v>
      </c>
    </row>
    <row r="31">
      <c r="B31" s="252" t="inlineStr">
        <is>
          <t>Пусконаладочные работы</t>
        </is>
      </c>
      <c r="C31" s="256" t="n">
        <v>279065.18</v>
      </c>
      <c r="D31" s="252" t="n"/>
      <c r="E31" s="254">
        <f>C31/$C$40</f>
        <v/>
      </c>
    </row>
    <row r="32" ht="26.45" customHeight="1" s="293">
      <c r="B32" s="252" t="inlineStr">
        <is>
          <t>Затраты по перевозке работников к месту работы и обратно</t>
        </is>
      </c>
      <c r="C32" s="256" t="n">
        <v>0</v>
      </c>
      <c r="D32" s="252" t="n"/>
      <c r="E32" s="254">
        <f>C32/$C$40</f>
        <v/>
      </c>
    </row>
    <row r="33" ht="39.6" customHeight="1" s="293">
      <c r="B33" s="252" t="inlineStr">
        <is>
          <t>Затраты, связанные с осуществлением работ вахтовым методом</t>
        </is>
      </c>
      <c r="C33" s="256">
        <f>ROUND(C27*0%,2)</f>
        <v/>
      </c>
      <c r="D33" s="252" t="n"/>
      <c r="E33" s="254">
        <f>C33/$C$40</f>
        <v/>
      </c>
    </row>
    <row r="34" ht="52.9" customHeight="1" s="293">
      <c r="B34" s="25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6" t="n">
        <v>0</v>
      </c>
      <c r="D34" s="252" t="n"/>
      <c r="E34" s="254">
        <f>C34/$C$40</f>
        <v/>
      </c>
    </row>
    <row r="35" ht="79.15000000000001" customHeight="1" s="293">
      <c r="B35" s="25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6">
        <f>ROUND(C27*0%,2)</f>
        <v/>
      </c>
      <c r="D35" s="252" t="n"/>
      <c r="E35" s="254">
        <f>C35/$C$40</f>
        <v/>
      </c>
    </row>
    <row r="36" ht="26.45" customHeight="1" s="293">
      <c r="B36" s="252" t="inlineStr">
        <is>
          <t>Строительный контроль и содержание службы заказчика - 2,14%</t>
        </is>
      </c>
      <c r="C36" s="256">
        <f>ROUND((C27+C32+C33+C34+C35+C29+C31+C30)*2.14%,2)</f>
        <v/>
      </c>
      <c r="D36" s="252" t="n"/>
      <c r="E36" s="254">
        <f>C36/$C$40</f>
        <v/>
      </c>
      <c r="L36" s="255" t="n"/>
    </row>
    <row r="37">
      <c r="B37" s="252" t="inlineStr">
        <is>
          <t>Авторский надзор - 0,2%</t>
        </is>
      </c>
      <c r="C37" s="256">
        <f>ROUND((C27+C32+C33+C34+C35+C29+C31+C30)*0.2%,2)</f>
        <v/>
      </c>
      <c r="D37" s="252" t="n"/>
      <c r="E37" s="254">
        <f>C37/$C$40</f>
        <v/>
      </c>
      <c r="L37" s="255" t="n"/>
    </row>
    <row r="38" ht="26.45" customHeight="1" s="293">
      <c r="B38" s="252" t="inlineStr">
        <is>
          <t>ИТОГО (СМР+ОБОРУДОВАНИЕ+ПРОЧ. ЗАТР., УЧТЕННЫЕ ПОКАЗАТЕЛЕМ)</t>
        </is>
      </c>
      <c r="C38" s="253">
        <f>C27+C32+C33+C34+C35+C29+C31+C30+C36+C37</f>
        <v/>
      </c>
      <c r="D38" s="252" t="n"/>
      <c r="E38" s="254">
        <f>C38/$C$40</f>
        <v/>
      </c>
    </row>
    <row r="39" ht="13.5" customHeight="1" s="293">
      <c r="B39" s="252" t="inlineStr">
        <is>
          <t>Непредвиденные расходы</t>
        </is>
      </c>
      <c r="C39" s="253">
        <f>ROUND(C38*3%,2)</f>
        <v/>
      </c>
      <c r="D39" s="252" t="n"/>
      <c r="E39" s="254">
        <f>C39/$C$38</f>
        <v/>
      </c>
    </row>
    <row r="40">
      <c r="B40" s="252" t="inlineStr">
        <is>
          <t>ВСЕГО:</t>
        </is>
      </c>
      <c r="C40" s="253">
        <f>C39+C38</f>
        <v/>
      </c>
      <c r="D40" s="252" t="n"/>
      <c r="E40" s="254">
        <f>C40/$C$40</f>
        <v/>
      </c>
    </row>
    <row r="41">
      <c r="B41" s="252" t="inlineStr">
        <is>
          <t>ИТОГО ПОКАЗАТЕЛЬ НА ЕД. ИЗМ.</t>
        </is>
      </c>
      <c r="C41" s="253">
        <f>C40/'Прил.5 Расчет СМР и ОБ'!E61</f>
        <v/>
      </c>
      <c r="D41" s="252" t="n"/>
      <c r="E41" s="252" t="n"/>
    </row>
    <row r="42">
      <c r="B42" s="251" t="n"/>
      <c r="C42" s="299" t="n"/>
      <c r="D42" s="299" t="n"/>
      <c r="E42" s="299" t="n"/>
    </row>
    <row r="43">
      <c r="B43" s="251" t="inlineStr">
        <is>
          <t>Составил ____________________________  Е. М. Добровольская</t>
        </is>
      </c>
      <c r="C43" s="299" t="n"/>
      <c r="D43" s="299" t="n"/>
      <c r="E43" s="299" t="n"/>
    </row>
    <row r="44">
      <c r="B44" s="251" t="inlineStr">
        <is>
          <t xml:space="preserve">(должность, подпись, инициалы, фамилия) </t>
        </is>
      </c>
      <c r="C44" s="299" t="n"/>
      <c r="D44" s="299" t="n"/>
      <c r="E44" s="299" t="n"/>
    </row>
    <row r="45">
      <c r="B45" s="251" t="n"/>
      <c r="C45" s="299" t="n"/>
      <c r="D45" s="299" t="n"/>
      <c r="E45" s="299" t="n"/>
    </row>
    <row r="46">
      <c r="B46" s="251" t="inlineStr">
        <is>
          <t>Проверил ____________________________ А.В. Костянецкая</t>
        </is>
      </c>
      <c r="C46" s="299" t="n"/>
      <c r="D46" s="299" t="n"/>
      <c r="E46" s="299" t="n"/>
    </row>
    <row r="47">
      <c r="B47" s="344" t="inlineStr">
        <is>
          <t>(должность, подпись, инициалы, фамилия)</t>
        </is>
      </c>
      <c r="D47" s="299" t="n"/>
      <c r="E47" s="299" t="n"/>
    </row>
    <row r="49">
      <c r="B49" s="299" t="n"/>
      <c r="C49" s="299" t="n"/>
      <c r="D49" s="299" t="n"/>
      <c r="E49" s="299" t="n"/>
    </row>
    <row r="50">
      <c r="B50" s="299" t="n"/>
      <c r="C50" s="299" t="n"/>
      <c r="D50" s="299" t="n"/>
      <c r="E50" s="2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7"/>
  <sheetViews>
    <sheetView tabSelected="1" view="pageBreakPreview" zoomScale="85" zoomScaleSheetLayoutView="85" workbookViewId="0">
      <selection activeCell="Q36" sqref="Q36:Q37"/>
    </sheetView>
  </sheetViews>
  <sheetFormatPr baseColWidth="8" defaultColWidth="9.140625" defaultRowHeight="15" outlineLevelRow="1"/>
  <cols>
    <col width="5.7109375" customWidth="1" style="300" min="1" max="1"/>
    <col width="22.5703125" customWidth="1" style="300" min="2" max="2"/>
    <col width="39.140625" customWidth="1" style="300" min="3" max="3"/>
    <col width="10.7109375" customWidth="1" style="300" min="4" max="4"/>
    <col width="12.7109375" customWidth="1" style="300" min="5" max="5"/>
    <col width="14.5703125" customWidth="1" style="300" min="6" max="6"/>
    <col width="13.42578125" customWidth="1" style="300" min="7" max="7"/>
    <col width="12.7109375" customWidth="1" style="300" min="8" max="8"/>
    <col width="13.85546875" customWidth="1" style="300" min="9" max="9"/>
    <col width="17.5703125" customWidth="1" style="300" min="10" max="10"/>
    <col width="10.85546875" customWidth="1" style="300" min="11" max="11"/>
    <col width="13.85546875" customWidth="1" style="300" min="12" max="12"/>
    <col width="9.140625" customWidth="1" style="293" min="13" max="13"/>
  </cols>
  <sheetData>
    <row r="1" s="293">
      <c r="A1" s="300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</row>
    <row r="2" ht="15.6" customHeight="1" s="293">
      <c r="A2" s="300" t="n"/>
      <c r="B2" s="300" t="n"/>
      <c r="C2" s="300" t="n"/>
      <c r="D2" s="300" t="n"/>
      <c r="E2" s="300" t="n"/>
      <c r="F2" s="300" t="n"/>
      <c r="G2" s="300" t="n"/>
      <c r="H2" s="360" t="inlineStr">
        <is>
          <t>Приложение №5</t>
        </is>
      </c>
      <c r="K2" s="300" t="n"/>
      <c r="L2" s="300" t="n"/>
      <c r="M2" s="300" t="n"/>
      <c r="N2" s="300" t="n"/>
    </row>
    <row r="3" s="293">
      <c r="A3" s="300" t="n"/>
      <c r="B3" s="300" t="n"/>
      <c r="C3" s="300" t="n"/>
      <c r="D3" s="300" t="n"/>
      <c r="E3" s="300" t="n"/>
      <c r="F3" s="300" t="n"/>
      <c r="G3" s="300" t="n"/>
      <c r="H3" s="300" t="n"/>
      <c r="I3" s="300" t="n"/>
      <c r="J3" s="300" t="n"/>
      <c r="K3" s="300" t="n"/>
      <c r="L3" s="300" t="n"/>
      <c r="M3" s="300" t="n"/>
      <c r="N3" s="300" t="n"/>
    </row>
    <row r="4" ht="13.15" customFormat="1" customHeight="1" s="299">
      <c r="A4" s="322" t="inlineStr">
        <is>
          <t>Расчет стоимости СМР и оборудования</t>
        </is>
      </c>
    </row>
    <row r="5" ht="13.15" customFormat="1" customHeight="1" s="299">
      <c r="A5" s="322" t="n"/>
      <c r="B5" s="322" t="n"/>
      <c r="C5" s="372" t="n"/>
      <c r="D5" s="322" t="n"/>
      <c r="E5" s="322" t="n"/>
      <c r="F5" s="322" t="n"/>
      <c r="G5" s="322" t="n"/>
      <c r="H5" s="322" t="n"/>
      <c r="I5" s="322" t="n"/>
      <c r="J5" s="322" t="n"/>
    </row>
    <row r="6" ht="12.75" customFormat="1" customHeight="1" s="299">
      <c r="A6" s="223" t="inlineStr">
        <is>
          <t>Наименование разрабатываемого показателя УНЦ</t>
        </is>
      </c>
      <c r="B6" s="222" t="n"/>
      <c r="C6" s="222" t="n"/>
      <c r="D6" s="325" t="inlineStr">
        <is>
          <t>КТП киоскового типа 6-20 кВ, мощность 1000 кВА, кол-во трансформаторов 2 шт.</t>
        </is>
      </c>
    </row>
    <row r="7" ht="13.15" customFormat="1" customHeight="1" s="299">
      <c r="A7" s="325" t="inlineStr">
        <is>
          <t>Единица измерения  — 1 единица</t>
        </is>
      </c>
      <c r="I7" s="343" t="n"/>
      <c r="J7" s="343" t="n"/>
    </row>
    <row r="8" ht="13.5" customFormat="1" customHeight="1" s="299">
      <c r="A8" s="325" t="n"/>
    </row>
    <row r="9" ht="27" customHeight="1" s="293">
      <c r="A9" s="352" t="inlineStr">
        <is>
          <t>№ пп.</t>
        </is>
      </c>
      <c r="B9" s="352" t="inlineStr">
        <is>
          <t>Код ресурса</t>
        </is>
      </c>
      <c r="C9" s="352" t="inlineStr">
        <is>
          <t>Наименование</t>
        </is>
      </c>
      <c r="D9" s="352" t="inlineStr">
        <is>
          <t>Ед. изм.</t>
        </is>
      </c>
      <c r="E9" s="352" t="inlineStr">
        <is>
          <t>Кол-во единиц по проектным данным</t>
        </is>
      </c>
      <c r="F9" s="352" t="inlineStr">
        <is>
          <t>Сметная стоимость в ценах на 01.01.2000 (руб.)</t>
        </is>
      </c>
      <c r="G9" s="417" t="n"/>
      <c r="H9" s="352" t="inlineStr">
        <is>
          <t>Удельный вес, %</t>
        </is>
      </c>
      <c r="I9" s="352" t="inlineStr">
        <is>
          <t>Сметная стоимость в ценах на 01.01.2023 (руб.)</t>
        </is>
      </c>
      <c r="J9" s="417" t="n"/>
      <c r="K9" s="300" t="n"/>
      <c r="L9" s="300" t="n"/>
      <c r="M9" s="300" t="n"/>
      <c r="N9" s="300" t="n"/>
    </row>
    <row r="10" ht="28.5" customHeight="1" s="293">
      <c r="A10" s="419" t="n"/>
      <c r="B10" s="419" t="n"/>
      <c r="C10" s="419" t="n"/>
      <c r="D10" s="419" t="n"/>
      <c r="E10" s="419" t="n"/>
      <c r="F10" s="352" t="inlineStr">
        <is>
          <t>на ед. изм.</t>
        </is>
      </c>
      <c r="G10" s="352" t="inlineStr">
        <is>
          <t>общая</t>
        </is>
      </c>
      <c r="H10" s="419" t="n"/>
      <c r="I10" s="352" t="inlineStr">
        <is>
          <t>на ед. изм.</t>
        </is>
      </c>
      <c r="J10" s="352" t="inlineStr">
        <is>
          <t>общая</t>
        </is>
      </c>
      <c r="K10" s="300" t="n"/>
      <c r="L10" s="300" t="n"/>
      <c r="M10" s="300" t="n"/>
      <c r="N10" s="300" t="n"/>
    </row>
    <row r="11" s="293">
      <c r="A11" s="352" t="n">
        <v>1</v>
      </c>
      <c r="B11" s="352" t="n">
        <v>2</v>
      </c>
      <c r="C11" s="352" t="n">
        <v>3</v>
      </c>
      <c r="D11" s="352" t="n">
        <v>4</v>
      </c>
      <c r="E11" s="352" t="n">
        <v>5</v>
      </c>
      <c r="F11" s="352" t="n">
        <v>6</v>
      </c>
      <c r="G11" s="352" t="n">
        <v>7</v>
      </c>
      <c r="H11" s="352" t="n">
        <v>8</v>
      </c>
      <c r="I11" s="346" t="n">
        <v>9</v>
      </c>
      <c r="J11" s="346" t="n">
        <v>10</v>
      </c>
      <c r="K11" s="300" t="n"/>
      <c r="L11" s="300" t="n"/>
      <c r="M11" s="300" t="n"/>
      <c r="N11" s="300" t="n"/>
    </row>
    <row r="12">
      <c r="A12" s="352" t="n"/>
      <c r="B12" s="350" t="inlineStr">
        <is>
          <t>Затраты труда рабочих-строителей</t>
        </is>
      </c>
      <c r="C12" s="416" t="n"/>
      <c r="D12" s="416" t="n"/>
      <c r="E12" s="416" t="n"/>
      <c r="F12" s="416" t="n"/>
      <c r="G12" s="416" t="n"/>
      <c r="H12" s="417" t="n"/>
      <c r="I12" s="211" t="n"/>
      <c r="J12" s="211" t="n"/>
    </row>
    <row r="13" ht="26.45" customHeight="1" s="293">
      <c r="A13" s="352" t="n">
        <v>1</v>
      </c>
      <c r="B13" s="282" t="inlineStr">
        <is>
          <t>1-3-2</t>
        </is>
      </c>
      <c r="C13" s="351" t="inlineStr">
        <is>
          <t>Затраты труда рабочих-строителей среднего разряда (3,2)</t>
        </is>
      </c>
      <c r="D13" s="352" t="inlineStr">
        <is>
          <t>чел.-ч.</t>
        </is>
      </c>
      <c r="E13" s="220">
        <f>G13/F13</f>
        <v/>
      </c>
      <c r="F13" s="218" t="n">
        <v>8.74</v>
      </c>
      <c r="G13" s="218">
        <f>Прил.3!H12</f>
        <v/>
      </c>
      <c r="H13" s="283">
        <f>G13/G14</f>
        <v/>
      </c>
      <c r="I13" s="218">
        <f>ФОТр.тек.!E13</f>
        <v/>
      </c>
      <c r="J13" s="218">
        <f>ROUND(I13*E13,2)</f>
        <v/>
      </c>
    </row>
    <row r="14" ht="26.45" customFormat="1" customHeight="1" s="300">
      <c r="A14" s="352" t="n"/>
      <c r="B14" s="352" t="n"/>
      <c r="C14" s="350" t="inlineStr">
        <is>
          <t>Итого по разделу "Затраты труда рабочих-строителей"</t>
        </is>
      </c>
      <c r="D14" s="352" t="inlineStr">
        <is>
          <t>чел.-ч.</t>
        </is>
      </c>
      <c r="E14" s="220">
        <f>SUM(E13:E13)</f>
        <v/>
      </c>
      <c r="F14" s="218" t="n"/>
      <c r="G14" s="218">
        <f>SUM(G13:G13)</f>
        <v/>
      </c>
      <c r="H14" s="355" t="n">
        <v>1</v>
      </c>
      <c r="I14" s="211" t="n"/>
      <c r="J14" s="218">
        <f>SUM(J13:J13)</f>
        <v/>
      </c>
    </row>
    <row r="15" ht="13.9" customFormat="1" customHeight="1" s="300">
      <c r="A15" s="352" t="n"/>
      <c r="B15" s="351" t="inlineStr">
        <is>
          <t>Затраты труда машинистов</t>
        </is>
      </c>
      <c r="C15" s="416" t="n"/>
      <c r="D15" s="416" t="n"/>
      <c r="E15" s="416" t="n"/>
      <c r="F15" s="416" t="n"/>
      <c r="G15" s="416" t="n"/>
      <c r="H15" s="417" t="n"/>
      <c r="I15" s="211" t="n"/>
      <c r="J15" s="211" t="n"/>
    </row>
    <row r="16" ht="13.9" customFormat="1" customHeight="1" s="300">
      <c r="A16" s="352" t="n">
        <v>2</v>
      </c>
      <c r="B16" s="352" t="n">
        <v>2</v>
      </c>
      <c r="C16" s="351" t="inlineStr">
        <is>
          <t>Затраты труда машинистов</t>
        </is>
      </c>
      <c r="D16" s="352" t="inlineStr">
        <is>
          <t>чел.-ч.</t>
        </is>
      </c>
      <c r="E16" s="220">
        <f>Прил.3!F23</f>
        <v/>
      </c>
      <c r="F16" s="218">
        <f>G16/E16</f>
        <v/>
      </c>
      <c r="G16" s="218">
        <f>Прил.3!H22</f>
        <v/>
      </c>
      <c r="H16" s="355" t="n">
        <v>1</v>
      </c>
      <c r="I16" s="218">
        <f>ROUND(F16*Прил.10!D11,2)</f>
        <v/>
      </c>
      <c r="J16" s="218">
        <f>ROUND(I16*E16,2)</f>
        <v/>
      </c>
    </row>
    <row r="17" ht="13.9" customFormat="1" customHeight="1" s="300">
      <c r="A17" s="352" t="n"/>
      <c r="B17" s="350" t="inlineStr">
        <is>
          <t>Машины и механизмы</t>
        </is>
      </c>
      <c r="C17" s="416" t="n"/>
      <c r="D17" s="416" t="n"/>
      <c r="E17" s="416" t="n"/>
      <c r="F17" s="416" t="n"/>
      <c r="G17" s="416" t="n"/>
      <c r="H17" s="417" t="n"/>
      <c r="I17" s="211" t="n"/>
      <c r="J17" s="211" t="n"/>
    </row>
    <row r="18" ht="13.9" customFormat="1" customHeight="1" s="300">
      <c r="A18" s="352" t="n"/>
      <c r="B18" s="351" t="inlineStr">
        <is>
          <t>Основные машины и механизмы</t>
        </is>
      </c>
      <c r="C18" s="416" t="n"/>
      <c r="D18" s="416" t="n"/>
      <c r="E18" s="416" t="n"/>
      <c r="F18" s="416" t="n"/>
      <c r="G18" s="416" t="n"/>
      <c r="H18" s="417" t="n"/>
      <c r="I18" s="211" t="n"/>
      <c r="J18" s="211" t="n"/>
    </row>
    <row r="19" ht="26.45" customFormat="1" customHeight="1" s="300">
      <c r="A19" s="352" t="n">
        <v>3</v>
      </c>
      <c r="B19" s="282" t="inlineStr">
        <is>
          <t>91.05.05-014</t>
        </is>
      </c>
      <c r="C19" s="267" t="inlineStr">
        <is>
          <t>Краны на автомобильном ходу, грузоподъемность 10 т</t>
        </is>
      </c>
      <c r="D19" s="352" t="inlineStr">
        <is>
          <t>маш.час</t>
        </is>
      </c>
      <c r="E19" s="220" t="n">
        <v>16.05</v>
      </c>
      <c r="F19" s="368" t="n">
        <v>111.99</v>
      </c>
      <c r="G19" s="218">
        <f>ROUND(E19*F19,2)</f>
        <v/>
      </c>
      <c r="H19" s="283">
        <f>G19/$G$28</f>
        <v/>
      </c>
      <c r="I19" s="218">
        <f>ROUND(F19*Прил.10!$D$12,2)</f>
        <v/>
      </c>
      <c r="J19" s="218">
        <f>ROUND(I19*E19,2)</f>
        <v/>
      </c>
    </row>
    <row r="20" ht="13.9" customFormat="1" customHeight="1" s="300">
      <c r="A20" s="352" t="n"/>
      <c r="B20" s="352" t="n"/>
      <c r="C20" s="351" t="inlineStr">
        <is>
          <t>Итого основные машины и механизмы</t>
        </is>
      </c>
      <c r="D20" s="352" t="n"/>
      <c r="E20" s="220" t="n"/>
      <c r="F20" s="218" t="n"/>
      <c r="G20" s="218">
        <f>SUM(G19:G19)</f>
        <v/>
      </c>
      <c r="H20" s="355">
        <f>G20/G28</f>
        <v/>
      </c>
      <c r="I20" s="284" t="n"/>
      <c r="J20" s="218">
        <f>SUM(J19:J19)</f>
        <v/>
      </c>
    </row>
    <row r="21" hidden="1" outlineLevel="1" ht="52.9" customFormat="1" customHeight="1" s="300">
      <c r="A21" s="352" t="n">
        <v>4</v>
      </c>
      <c r="B21" s="282" t="inlineStr">
        <is>
          <t>91.18.01-007</t>
        </is>
      </c>
      <c r="C21" s="35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352" t="inlineStr">
        <is>
          <t>маш.час</t>
        </is>
      </c>
      <c r="E21" s="220" t="n">
        <v>0.63</v>
      </c>
      <c r="F21" s="354" t="n">
        <v>90</v>
      </c>
      <c r="G21" s="218">
        <f>ROUND(E21*F21,2)</f>
        <v/>
      </c>
      <c r="H21" s="283">
        <f>G21/$G$28</f>
        <v/>
      </c>
      <c r="I21" s="218">
        <f>ROUND(F21*Прил.10!$D$12,2)</f>
        <v/>
      </c>
      <c r="J21" s="218">
        <f>ROUND(I21*E21,2)</f>
        <v/>
      </c>
    </row>
    <row r="22" hidden="1" outlineLevel="1" ht="13.9" customFormat="1" customHeight="1" s="300">
      <c r="A22" s="352" t="n">
        <v>5</v>
      </c>
      <c r="B22" s="282" t="inlineStr">
        <is>
          <t>91.08.04-021</t>
        </is>
      </c>
      <c r="C22" s="351" t="inlineStr">
        <is>
          <t>Котлы битумные: передвижные 400 л</t>
        </is>
      </c>
      <c r="D22" s="352" t="inlineStr">
        <is>
          <t>маш.час</t>
        </is>
      </c>
      <c r="E22" s="220" t="n">
        <v>0.9399999999999999</v>
      </c>
      <c r="F22" s="354" t="n">
        <v>30</v>
      </c>
      <c r="G22" s="218">
        <f>ROUND(E22*F22,2)</f>
        <v/>
      </c>
      <c r="H22" s="283">
        <f>G22/$G$28</f>
        <v/>
      </c>
      <c r="I22" s="218">
        <f>ROUND(F22*Прил.10!$D$12,2)</f>
        <v/>
      </c>
      <c r="J22" s="218">
        <f>ROUND(I22*E22,2)</f>
        <v/>
      </c>
    </row>
    <row r="23" hidden="1" outlineLevel="1" ht="26.45" customFormat="1" customHeight="1" s="300">
      <c r="A23" s="352" t="n">
        <v>6</v>
      </c>
      <c r="B23" s="282" t="inlineStr">
        <is>
          <t>91.17.04-233</t>
        </is>
      </c>
      <c r="C23" s="351" t="inlineStr">
        <is>
          <t>Установки для сварки: ручной дуговой (постоянного тока)</t>
        </is>
      </c>
      <c r="D23" s="352" t="inlineStr">
        <is>
          <t>маш.час</t>
        </is>
      </c>
      <c r="E23" s="220" t="n">
        <v>3.22</v>
      </c>
      <c r="F23" s="354" t="n">
        <v>8.1</v>
      </c>
      <c r="G23" s="218">
        <f>ROUND(E23*F23,2)</f>
        <v/>
      </c>
      <c r="H23" s="283">
        <f>G23/$G$28</f>
        <v/>
      </c>
      <c r="I23" s="218">
        <f>ROUND(F23*Прил.10!$D$12,2)</f>
        <v/>
      </c>
      <c r="J23" s="218">
        <f>ROUND(I23*E23,2)</f>
        <v/>
      </c>
    </row>
    <row r="24" hidden="1" outlineLevel="1" ht="39.6" customFormat="1" customHeight="1" s="300">
      <c r="A24" s="352" t="n">
        <v>7</v>
      </c>
      <c r="B24" s="282" t="inlineStr">
        <is>
          <t>91.06.05-057</t>
        </is>
      </c>
      <c r="C24" s="351" t="inlineStr">
        <is>
          <t>Погрузчики одноковшовые универсальные фронтальные пневмоколесные, грузоподъемность 3 т</t>
        </is>
      </c>
      <c r="D24" s="352" t="inlineStr">
        <is>
          <t>маш.час</t>
        </is>
      </c>
      <c r="E24" s="220" t="n">
        <v>0.24</v>
      </c>
      <c r="F24" s="354" t="n">
        <v>90.40000000000001</v>
      </c>
      <c r="G24" s="218">
        <f>ROUND(E24*F24,2)</f>
        <v/>
      </c>
      <c r="H24" s="283">
        <f>G24/$G$28</f>
        <v/>
      </c>
      <c r="I24" s="218">
        <f>ROUND(F24*Прил.10!$D$12,2)</f>
        <v/>
      </c>
      <c r="J24" s="218">
        <f>ROUND(I24*E24,2)</f>
        <v/>
      </c>
    </row>
    <row r="25" hidden="1" outlineLevel="1" ht="26.45" customFormat="1" customHeight="1" s="300">
      <c r="A25" s="352" t="n">
        <v>8</v>
      </c>
      <c r="B25" s="282" t="inlineStr">
        <is>
          <t>91.14.02-001</t>
        </is>
      </c>
      <c r="C25" s="351" t="inlineStr">
        <is>
          <t>Автомобили бортовые, грузоподъемность: до 5 т</t>
        </is>
      </c>
      <c r="D25" s="352" t="inlineStr">
        <is>
          <t>маш.час</t>
        </is>
      </c>
      <c r="E25" s="220" t="n">
        <v>0.29</v>
      </c>
      <c r="F25" s="368" t="n">
        <v>65.70999999999999</v>
      </c>
      <c r="G25" s="218">
        <f>ROUND(E25*F25,2)</f>
        <v/>
      </c>
      <c r="H25" s="283">
        <f>G25/$G$28</f>
        <v/>
      </c>
      <c r="I25" s="218">
        <f>ROUND(F25*Прил.10!$D$12,2)</f>
        <v/>
      </c>
      <c r="J25" s="218">
        <f>ROUND(I25*E25,2)</f>
        <v/>
      </c>
    </row>
    <row r="26" hidden="1" outlineLevel="1" ht="26.45" customFormat="1" customHeight="1" s="300">
      <c r="A26" s="352" t="n">
        <v>9</v>
      </c>
      <c r="B26" s="282" t="inlineStr">
        <is>
          <t>91.08.09-023</t>
        </is>
      </c>
      <c r="C26" s="351" t="inlineStr">
        <is>
          <t>Трамбовки пневматические при работе от: передвижных компрессорных станций</t>
        </is>
      </c>
      <c r="D26" s="352" t="inlineStr">
        <is>
          <t>маш.час</t>
        </is>
      </c>
      <c r="E26" s="220" t="n">
        <v>1.26</v>
      </c>
      <c r="F26" s="368" t="n">
        <v>0.55</v>
      </c>
      <c r="G26" s="218">
        <f>ROUND(E26*F26,2)</f>
        <v/>
      </c>
      <c r="H26" s="283">
        <f>G26/$G$28</f>
        <v/>
      </c>
      <c r="I26" s="218">
        <f>ROUND(F26*Прил.10!$D$12,2)</f>
        <v/>
      </c>
      <c r="J26" s="218">
        <f>ROUND(I26*E26,2)</f>
        <v/>
      </c>
    </row>
    <row r="27" collapsed="1" ht="13.9" customFormat="1" customHeight="1" s="300">
      <c r="A27" s="352" t="n"/>
      <c r="B27" s="352" t="n"/>
      <c r="C27" s="351" t="inlineStr">
        <is>
          <t>Итого прочие машины и механизмы</t>
        </is>
      </c>
      <c r="D27" s="352" t="n"/>
      <c r="E27" s="353" t="n"/>
      <c r="F27" s="218" t="n"/>
      <c r="G27" s="284">
        <f>SUM(G21:G26)</f>
        <v/>
      </c>
      <c r="H27" s="283">
        <f>G27/G28</f>
        <v/>
      </c>
      <c r="I27" s="218" t="n"/>
      <c r="J27" s="284">
        <f>SUM(J21:J26)</f>
        <v/>
      </c>
    </row>
    <row r="28" ht="26.45" customFormat="1" customHeight="1" s="300">
      <c r="A28" s="352" t="n"/>
      <c r="B28" s="352" t="n"/>
      <c r="C28" s="350" t="inlineStr">
        <is>
          <t>Итого по разделу «Машины и механизмы»</t>
        </is>
      </c>
      <c r="D28" s="352" t="n"/>
      <c r="E28" s="353" t="n"/>
      <c r="F28" s="218" t="n"/>
      <c r="G28" s="218">
        <f>G27+G20</f>
        <v/>
      </c>
      <c r="H28" s="206" t="n">
        <v>1</v>
      </c>
      <c r="I28" s="207" t="n"/>
      <c r="J28" s="232">
        <f>J27+J20</f>
        <v/>
      </c>
    </row>
    <row r="29" ht="13.9" customFormat="1" customHeight="1" s="300">
      <c r="A29" s="352" t="n"/>
      <c r="B29" s="350" t="inlineStr">
        <is>
          <t>Оборудование</t>
        </is>
      </c>
      <c r="C29" s="416" t="n"/>
      <c r="D29" s="416" t="n"/>
      <c r="E29" s="416" t="n"/>
      <c r="F29" s="416" t="n"/>
      <c r="G29" s="416" t="n"/>
      <c r="H29" s="417" t="n"/>
      <c r="I29" s="211" t="n"/>
      <c r="J29" s="211" t="n"/>
    </row>
    <row r="30">
      <c r="A30" s="352" t="n"/>
      <c r="B30" s="351" t="inlineStr">
        <is>
          <t>Основное оборудование</t>
        </is>
      </c>
      <c r="C30" s="416" t="n"/>
      <c r="D30" s="416" t="n"/>
      <c r="E30" s="416" t="n"/>
      <c r="F30" s="416" t="n"/>
      <c r="G30" s="416" t="n"/>
      <c r="H30" s="417" t="n"/>
      <c r="I30" s="211" t="n"/>
      <c r="J30" s="211" t="n"/>
      <c r="K30" s="300" t="n"/>
      <c r="L30" s="300" t="n"/>
    </row>
    <row r="31" ht="25.5" customHeight="1" s="293">
      <c r="A31" s="352" t="n">
        <v>10</v>
      </c>
      <c r="B31" s="286" t="inlineStr">
        <is>
          <t>БЦ.66.33</t>
        </is>
      </c>
      <c r="C31" s="267" t="inlineStr">
        <is>
          <t>КТП киоскового типа 6-20 кВ, мощность 1000 кВА, кол-во трансформаторов 2 шт.</t>
        </is>
      </c>
      <c r="D31" s="352" t="inlineStr">
        <is>
          <t>шт</t>
        </is>
      </c>
      <c r="E31" s="279" t="n">
        <v>1</v>
      </c>
      <c r="F31" s="218">
        <f>ROUND(I31/Прил.10!D14,2)</f>
        <v/>
      </c>
      <c r="G31" s="218">
        <f>ROUND(E31*F31,2)</f>
        <v/>
      </c>
      <c r="H31" s="283">
        <f>G31/$G$35</f>
        <v/>
      </c>
      <c r="I31" s="218" t="n">
        <v>5018867.92</v>
      </c>
      <c r="J31" s="218">
        <f>ROUND(I31*E31,2)</f>
        <v/>
      </c>
      <c r="K31" s="300" t="n"/>
      <c r="L31" s="300" t="n"/>
      <c r="M31" s="300" t="n"/>
      <c r="N31" s="300" t="n"/>
    </row>
    <row r="32">
      <c r="A32" s="352" t="n"/>
      <c r="B32" s="352" t="n"/>
      <c r="C32" s="351" t="inlineStr">
        <is>
          <t>Итого основное оборудование</t>
        </is>
      </c>
      <c r="D32" s="352" t="n"/>
      <c r="E32" s="220" t="n"/>
      <c r="F32" s="354" t="n"/>
      <c r="G32" s="218">
        <f>G31</f>
        <v/>
      </c>
      <c r="H32" s="355">
        <f>H31</f>
        <v/>
      </c>
      <c r="I32" s="284" t="n"/>
      <c r="J32" s="218">
        <f>J31</f>
        <v/>
      </c>
      <c r="K32" s="300" t="n"/>
      <c r="L32" s="300" t="n"/>
    </row>
    <row r="33">
      <c r="A33" s="352" t="n"/>
      <c r="B33" s="352" t="n"/>
      <c r="C33" s="351" t="inlineStr">
        <is>
          <t>Итого прочее оборудование</t>
        </is>
      </c>
      <c r="D33" s="352" t="n"/>
      <c r="E33" s="220" t="n"/>
      <c r="F33" s="354" t="n"/>
      <c r="G33" s="218" t="n">
        <v>0</v>
      </c>
      <c r="H33" s="355" t="n">
        <v>0</v>
      </c>
      <c r="I33" s="284" t="n"/>
      <c r="J33" s="218" t="n">
        <v>0</v>
      </c>
      <c r="K33" s="300" t="n"/>
      <c r="L33" s="300" t="n"/>
    </row>
    <row r="34">
      <c r="A34" s="352" t="n"/>
      <c r="B34" s="352" t="n"/>
      <c r="C34" s="350" t="inlineStr">
        <is>
          <t>Итого по разделу «Оборудование»</t>
        </is>
      </c>
      <c r="D34" s="352" t="n"/>
      <c r="E34" s="353" t="n"/>
      <c r="F34" s="354" t="n"/>
      <c r="G34" s="218">
        <f>G33+G32</f>
        <v/>
      </c>
      <c r="H34" s="355">
        <f>H33+H32</f>
        <v/>
      </c>
      <c r="I34" s="284" t="n"/>
      <c r="J34" s="218">
        <f>J33+J32</f>
        <v/>
      </c>
      <c r="K34" s="300" t="n"/>
      <c r="L34" s="300" t="n"/>
    </row>
    <row r="35" ht="26.45" customHeight="1" s="293">
      <c r="A35" s="352" t="n"/>
      <c r="B35" s="352" t="n"/>
      <c r="C35" s="351" t="inlineStr">
        <is>
          <t>в том числе технологическое оборудование</t>
        </is>
      </c>
      <c r="D35" s="352" t="n"/>
      <c r="E35" s="279" t="n"/>
      <c r="F35" s="354" t="n"/>
      <c r="G35" s="218">
        <f>G34</f>
        <v/>
      </c>
      <c r="H35" s="355" t="n"/>
      <c r="I35" s="284" t="n"/>
      <c r="J35" s="218">
        <f>J34</f>
        <v/>
      </c>
      <c r="K35" s="300" t="n"/>
      <c r="L35" s="300" t="n"/>
    </row>
    <row r="36" ht="13.9" customFormat="1" customHeight="1" s="300">
      <c r="A36" s="352" t="n"/>
      <c r="B36" s="350" t="inlineStr">
        <is>
          <t>Материалы</t>
        </is>
      </c>
      <c r="C36" s="416" t="n"/>
      <c r="D36" s="416" t="n"/>
      <c r="E36" s="416" t="n"/>
      <c r="F36" s="416" t="n"/>
      <c r="G36" s="416" t="n"/>
      <c r="H36" s="417" t="n"/>
      <c r="I36" s="211" t="n"/>
      <c r="J36" s="211" t="n"/>
    </row>
    <row r="37" ht="13.9" customFormat="1" customHeight="1" s="300">
      <c r="A37" s="346" t="n"/>
      <c r="B37" s="345" t="inlineStr">
        <is>
          <t>Основные материалы</t>
        </is>
      </c>
      <c r="C37" s="422" t="n"/>
      <c r="D37" s="422" t="n"/>
      <c r="E37" s="422" t="n"/>
      <c r="F37" s="422" t="n"/>
      <c r="G37" s="422" t="n"/>
      <c r="H37" s="423" t="n"/>
      <c r="I37" s="225" t="n"/>
      <c r="J37" s="225" t="n"/>
    </row>
    <row r="38" ht="26.45" customFormat="1" customHeight="1" s="300">
      <c r="A38" s="352" t="n">
        <v>11</v>
      </c>
      <c r="B38" s="282" t="inlineStr">
        <is>
          <t>24.3.03.13-0169</t>
        </is>
      </c>
      <c r="C38" s="351" t="inlineStr">
        <is>
          <t>Труба ПЭ 80 SDR 13,6, наружный диаметр 160 мм (ГОСТ 18599-2001)</t>
        </is>
      </c>
      <c r="D38" s="352" t="inlineStr">
        <is>
          <t>м</t>
        </is>
      </c>
      <c r="E38" s="220" t="n">
        <v>40</v>
      </c>
      <c r="F38" s="368" t="n">
        <v>106.25</v>
      </c>
      <c r="G38" s="218">
        <f>ROUND(E38*F38,2)</f>
        <v/>
      </c>
      <c r="H38" s="283">
        <f>G38/$G$55</f>
        <v/>
      </c>
      <c r="I38" s="218">
        <f>ROUND(F38*Прил.10!$D$13,2)</f>
        <v/>
      </c>
      <c r="J38" s="218">
        <f>ROUND(I38*E38,2)</f>
        <v/>
      </c>
    </row>
    <row r="39" ht="52.9" customFormat="1" customHeight="1" s="300">
      <c r="A39" s="352" t="n">
        <v>12</v>
      </c>
      <c r="B39" s="282" t="inlineStr">
        <is>
          <t>05.2.02.01-0055</t>
        </is>
      </c>
      <c r="C39" s="351" t="inlineStr">
        <is>
          <t>Блоки бетонные стен подвалов сплошные (ГОСТ13579-78): ФБС24-5-6-Т /бетон В7,5 (М100), объем 0,679 м3, расход арматуры 2,36 кг/</t>
        </is>
      </c>
      <c r="D39" s="352" t="inlineStr">
        <is>
          <t>шт</t>
        </is>
      </c>
      <c r="E39" s="220" t="n">
        <v>6</v>
      </c>
      <c r="F39" s="368" t="n">
        <v>393.82</v>
      </c>
      <c r="G39" s="218">
        <f>ROUND(E39*F39,2)</f>
        <v/>
      </c>
      <c r="H39" s="283">
        <f>G39/$G$55</f>
        <v/>
      </c>
      <c r="I39" s="218">
        <f>ROUND(F39*Прил.10!$D$13,2)</f>
        <v/>
      </c>
      <c r="J39" s="218">
        <f>ROUND(I39*E39,2)</f>
        <v/>
      </c>
    </row>
    <row r="40" ht="52.9" customFormat="1" customHeight="1" s="300">
      <c r="A40" s="352" t="n">
        <v>13</v>
      </c>
      <c r="B40" s="282" t="inlineStr">
        <is>
          <t>05.2.02.01-0045</t>
        </is>
      </c>
      <c r="C40" s="351" t="inlineStr">
        <is>
          <t>Блоки бетонные стен подвалов сплошные (ГОСТ13579-78): ФБС12-5-6-П /бетон В7,5 (М100), объем 0,331 м3, расход арматуры 1,46 кг/</t>
        </is>
      </c>
      <c r="D40" s="352" t="inlineStr">
        <is>
          <t>шт</t>
        </is>
      </c>
      <c r="E40" s="220" t="n">
        <v>6</v>
      </c>
      <c r="F40" s="368" t="n">
        <v>354.56</v>
      </c>
      <c r="G40" s="218">
        <f>ROUND(E40*F40,2)</f>
        <v/>
      </c>
      <c r="H40" s="283">
        <f>G40/$G$55</f>
        <v/>
      </c>
      <c r="I40" s="218">
        <f>ROUND(F40*Прил.10!$D$13,2)</f>
        <v/>
      </c>
      <c r="J40" s="218">
        <f>ROUND(I40*E40,2)</f>
        <v/>
      </c>
    </row>
    <row r="41" ht="52.9" customFormat="1" customHeight="1" s="300">
      <c r="A41" s="352" t="n">
        <v>14</v>
      </c>
      <c r="B41" s="282" t="inlineStr">
        <is>
          <t>05.2.02.01-0060</t>
        </is>
      </c>
      <c r="C41" s="351" t="inlineStr">
        <is>
          <t>Блоки бетонные стен подвалов сплошные (ГОСТ13579-78): ФБС 9-5-6-П /бетон В7,5 (М100), объем 0,244 м3, расход арматуры 0,76 кг/</t>
        </is>
      </c>
      <c r="D41" s="352" t="inlineStr">
        <is>
          <t>шт</t>
        </is>
      </c>
      <c r="E41" s="220" t="n">
        <v>6</v>
      </c>
      <c r="F41" s="368" t="n">
        <v>264.02</v>
      </c>
      <c r="G41" s="218">
        <f>ROUND(E41*F41,2)</f>
        <v/>
      </c>
      <c r="H41" s="283">
        <f>G41/$G$55</f>
        <v/>
      </c>
      <c r="I41" s="218">
        <f>ROUND(F41*Прил.10!$D$13,2)</f>
        <v/>
      </c>
      <c r="J41" s="218">
        <f>ROUND(I41*E41,2)</f>
        <v/>
      </c>
    </row>
    <row r="42" ht="13.9" customFormat="1" customHeight="1" s="300">
      <c r="A42" s="363" t="n"/>
      <c r="B42" s="227" t="n"/>
      <c r="C42" s="228" t="inlineStr">
        <is>
          <t>Итого основные материалы</t>
        </is>
      </c>
      <c r="D42" s="363" t="n"/>
      <c r="E42" s="230" t="n"/>
      <c r="F42" s="232" t="n"/>
      <c r="G42" s="232">
        <f>SUM(G38:G41)</f>
        <v/>
      </c>
      <c r="H42" s="283">
        <f>G42/$G$55</f>
        <v/>
      </c>
      <c r="I42" s="218" t="n"/>
      <c r="J42" s="232">
        <f>SUM(J38:J41)</f>
        <v/>
      </c>
    </row>
    <row r="43" hidden="1" outlineLevel="1" ht="13.9" customFormat="1" customHeight="1" s="300">
      <c r="A43" s="352" t="n">
        <v>15</v>
      </c>
      <c r="B43" s="282" t="inlineStr">
        <is>
          <t>14.4.02.09-0301</t>
        </is>
      </c>
      <c r="C43" s="351" t="inlineStr">
        <is>
          <t>Краска "Цинол"</t>
        </is>
      </c>
      <c r="D43" s="352" t="inlineStr">
        <is>
          <t>кг</t>
        </is>
      </c>
      <c r="E43" s="220" t="n">
        <v>3.006</v>
      </c>
      <c r="F43" s="368" t="n">
        <v>238.48</v>
      </c>
      <c r="G43" s="218">
        <f>ROUND(E43*F43,2)</f>
        <v/>
      </c>
      <c r="H43" s="283">
        <f>G43/$G$55</f>
        <v/>
      </c>
      <c r="I43" s="218">
        <f>ROUND(F43*Прил.10!$D$13,2)</f>
        <v/>
      </c>
      <c r="J43" s="218">
        <f>ROUND(I43*E43,2)</f>
        <v/>
      </c>
    </row>
    <row r="44" hidden="1" outlineLevel="1" ht="13.9" customFormat="1" customHeight="1" s="300">
      <c r="A44" s="352" t="n">
        <v>16</v>
      </c>
      <c r="B44" s="282" t="inlineStr">
        <is>
          <t>01.2.03.03-0013</t>
        </is>
      </c>
      <c r="C44" s="351" t="inlineStr">
        <is>
          <t>Мастика битумная кровельная горячая</t>
        </is>
      </c>
      <c r="D44" s="352" t="inlineStr">
        <is>
          <t>т</t>
        </is>
      </c>
      <c r="E44" s="220" t="n">
        <v>0.1152</v>
      </c>
      <c r="F44" s="354" t="n">
        <v>3390</v>
      </c>
      <c r="G44" s="218">
        <f>ROUND(E44*F44,2)</f>
        <v/>
      </c>
      <c r="H44" s="283">
        <f>G44/$G$55</f>
        <v/>
      </c>
      <c r="I44" s="218">
        <f>ROUND(F44*Прил.10!$D$13,2)</f>
        <v/>
      </c>
      <c r="J44" s="218">
        <f>ROUND(I44*E44,2)</f>
        <v/>
      </c>
    </row>
    <row r="45" hidden="1" outlineLevel="1" ht="39.6" customFormat="1" customHeight="1" s="300">
      <c r="A45" s="352" t="n">
        <v>17</v>
      </c>
      <c r="B45" s="282" t="inlineStr">
        <is>
          <t>08.3.04.02-0095</t>
        </is>
      </c>
      <c r="C45" s="351" t="inlineStr">
        <is>
          <t>Сталь круглая углеродистая обыкновенного качества марки ВСт3пс5-1 диаметром 16 мм</t>
        </is>
      </c>
      <c r="D45" s="352" t="inlineStr">
        <is>
          <t>т</t>
        </is>
      </c>
      <c r="E45" s="220" t="n">
        <v>0.065</v>
      </c>
      <c r="F45" s="368" t="n">
        <v>5230.01</v>
      </c>
      <c r="G45" s="218">
        <f>ROUND(E45*F45,2)</f>
        <v/>
      </c>
      <c r="H45" s="283">
        <f>G45/$G$55</f>
        <v/>
      </c>
      <c r="I45" s="218">
        <f>ROUND(F45*Прил.10!$D$13,2)</f>
        <v/>
      </c>
      <c r="J45" s="218">
        <f>ROUND(I45*E45,2)</f>
        <v/>
      </c>
    </row>
    <row r="46" hidden="1" outlineLevel="1" ht="13.9" customFormat="1" customHeight="1" s="300">
      <c r="A46" s="352" t="n">
        <v>18</v>
      </c>
      <c r="B46" s="282" t="inlineStr">
        <is>
          <t>08.3.07.01-0041</t>
        </is>
      </c>
      <c r="C46" s="351" t="inlineStr">
        <is>
          <t>Сталь полосовая 40х4 мм</t>
        </is>
      </c>
      <c r="D46" s="352" t="inlineStr">
        <is>
          <t>т</t>
        </is>
      </c>
      <c r="E46" s="220" t="n">
        <v>0.049</v>
      </c>
      <c r="F46" s="354" t="n">
        <v>6100</v>
      </c>
      <c r="G46" s="218">
        <f>ROUND(E46*F46,2)</f>
        <v/>
      </c>
      <c r="H46" s="283">
        <f>G46/$G$55</f>
        <v/>
      </c>
      <c r="I46" s="218">
        <f>ROUND(F46*Прил.10!$D$13,2)</f>
        <v/>
      </c>
      <c r="J46" s="218">
        <f>ROUND(I46*E46,2)</f>
        <v/>
      </c>
    </row>
    <row r="47" hidden="1" outlineLevel="1" ht="26.45" customFormat="1" customHeight="1" s="300">
      <c r="A47" s="352" t="n">
        <v>19</v>
      </c>
      <c r="B47" s="282" t="inlineStr">
        <is>
          <t>01.3.01.03-0002</t>
        </is>
      </c>
      <c r="C47" s="351" t="inlineStr">
        <is>
          <t>Керосин для технических целей марок КТ-1, КТ-2</t>
        </is>
      </c>
      <c r="D47" s="352" t="inlineStr">
        <is>
          <t>т</t>
        </is>
      </c>
      <c r="E47" s="220" t="n">
        <v>0.0115</v>
      </c>
      <c r="F47" s="354" t="n">
        <v>2606.9</v>
      </c>
      <c r="G47" s="218">
        <f>ROUND(E47*F47,2)</f>
        <v/>
      </c>
      <c r="H47" s="283">
        <f>G47/$G$55</f>
        <v/>
      </c>
      <c r="I47" s="218">
        <f>ROUND(F47*Прил.10!$D$13,2)</f>
        <v/>
      </c>
      <c r="J47" s="218">
        <f>ROUND(I47*E47,2)</f>
        <v/>
      </c>
    </row>
    <row r="48" hidden="1" outlineLevel="1" ht="26.45" customFormat="1" customHeight="1" s="300">
      <c r="A48" s="352" t="n">
        <v>20</v>
      </c>
      <c r="B48" s="282" t="inlineStr">
        <is>
          <t>01.2.01.02-0054</t>
        </is>
      </c>
      <c r="C48" s="351" t="inlineStr">
        <is>
          <t>Битумы нефтяные строительные марки: БН-90/10</t>
        </is>
      </c>
      <c r="D48" s="352" t="inlineStr">
        <is>
          <t>т</t>
        </is>
      </c>
      <c r="E48" s="220" t="n">
        <v>0.0077</v>
      </c>
      <c r="F48" s="354" t="n">
        <v>1383.1</v>
      </c>
      <c r="G48" s="218">
        <f>ROUND(E48*F48,2)</f>
        <v/>
      </c>
      <c r="H48" s="283">
        <f>G48/$G$55</f>
        <v/>
      </c>
      <c r="I48" s="218">
        <f>ROUND(F48*Прил.10!$D$13,2)</f>
        <v/>
      </c>
      <c r="J48" s="218">
        <f>ROUND(I48*E48,2)</f>
        <v/>
      </c>
    </row>
    <row r="49" hidden="1" outlineLevel="1" ht="13.9" customFormat="1" customHeight="1" s="300">
      <c r="A49" s="352" t="n">
        <v>21</v>
      </c>
      <c r="B49" s="282" t="inlineStr">
        <is>
          <t>01.7.11.07-0034</t>
        </is>
      </c>
      <c r="C49" s="351" t="inlineStr">
        <is>
          <t>Электроды диаметром: 4 мм Э42А</t>
        </is>
      </c>
      <c r="D49" s="352" t="inlineStr">
        <is>
          <t>кг</t>
        </is>
      </c>
      <c r="E49" s="220" t="n">
        <v>0.966</v>
      </c>
      <c r="F49" s="368" t="n">
        <v>10.57</v>
      </c>
      <c r="G49" s="218">
        <f>ROUND(E49*F49,2)</f>
        <v/>
      </c>
      <c r="H49" s="283">
        <f>G49/$G$55</f>
        <v/>
      </c>
      <c r="I49" s="218">
        <f>ROUND(F49*Прил.10!$D$13,2)</f>
        <v/>
      </c>
      <c r="J49" s="218">
        <f>ROUND(I49*E49,2)</f>
        <v/>
      </c>
    </row>
    <row r="50" hidden="1" outlineLevel="1" ht="39.6" customFormat="1" customHeight="1" s="300">
      <c r="A50" s="352" t="n">
        <v>22</v>
      </c>
      <c r="B50" s="282" t="inlineStr">
        <is>
          <t>11.1.03.03-0003</t>
        </is>
      </c>
      <c r="C50" s="351" t="inlineStr">
        <is>
          <t>Брусья необрезные хвойных пород длиной: 2-3,75 м, все ширины, толщиной 100-125 мм, III сорта</t>
        </is>
      </c>
      <c r="D50" s="352" t="inlineStr">
        <is>
          <t>м3</t>
        </is>
      </c>
      <c r="E50" s="220" t="n">
        <v>0.0032</v>
      </c>
      <c r="F50" s="368" t="n">
        <v>802.46</v>
      </c>
      <c r="G50" s="218">
        <f>ROUND(E50*F50,2)</f>
        <v/>
      </c>
      <c r="H50" s="283">
        <f>G50/$G$55</f>
        <v/>
      </c>
      <c r="I50" s="218">
        <f>ROUND(F50*Прил.10!$D$13,2)</f>
        <v/>
      </c>
      <c r="J50" s="218">
        <f>ROUND(I50*E50,2)</f>
        <v/>
      </c>
    </row>
    <row r="51" hidden="1" outlineLevel="1" ht="26.45" customFormat="1" customHeight="1" s="300">
      <c r="A51" s="352" t="n">
        <v>23</v>
      </c>
      <c r="B51" s="282" t="inlineStr">
        <is>
          <t>999-9950</t>
        </is>
      </c>
      <c r="C51" s="351" t="inlineStr">
        <is>
          <t>Вспомогательные ненормируемые ресурсы (2% от Оплаты труда рабочих)</t>
        </is>
      </c>
      <c r="D51" s="352" t="inlineStr">
        <is>
          <t>руб.</t>
        </is>
      </c>
      <c r="E51" s="220" t="n">
        <v>2.434</v>
      </c>
      <c r="F51" s="354" t="n">
        <v>1</v>
      </c>
      <c r="G51" s="218">
        <f>ROUND(E51*F51,2)</f>
        <v/>
      </c>
      <c r="H51" s="283">
        <f>G51/$G$55</f>
        <v/>
      </c>
      <c r="I51" s="218">
        <f>ROUND(F51*Прил.10!$D$13,2)</f>
        <v/>
      </c>
      <c r="J51" s="218">
        <f>ROUND(I51*E51,2)</f>
        <v/>
      </c>
    </row>
    <row r="52" hidden="1" outlineLevel="1" ht="13.9" customFormat="1" customHeight="1" s="300">
      <c r="A52" s="352" t="n">
        <v>24</v>
      </c>
      <c r="B52" s="282" t="inlineStr">
        <is>
          <t>01.7.03.01-0001</t>
        </is>
      </c>
      <c r="C52" s="351" t="inlineStr">
        <is>
          <t>Вода</t>
        </is>
      </c>
      <c r="D52" s="352" t="inlineStr">
        <is>
          <t>м3</t>
        </is>
      </c>
      <c r="E52" s="220" t="n">
        <v>0.45</v>
      </c>
      <c r="F52" s="368" t="n">
        <v>2.44</v>
      </c>
      <c r="G52" s="218">
        <f>ROUND(E52*F52,2)</f>
        <v/>
      </c>
      <c r="H52" s="283">
        <f>G52/$G$55</f>
        <v/>
      </c>
      <c r="I52" s="218">
        <f>ROUND(F52*Прил.10!$D$13,2)</f>
        <v/>
      </c>
      <c r="J52" s="218">
        <f>ROUND(I52*E52,2)</f>
        <v/>
      </c>
    </row>
    <row r="53" hidden="1" outlineLevel="1" ht="13.9" customFormat="1" customHeight="1" s="300">
      <c r="A53" s="352" t="n">
        <v>25</v>
      </c>
      <c r="B53" s="282" t="inlineStr">
        <is>
          <t>01.7.20.08-0051</t>
        </is>
      </c>
      <c r="C53" s="351" t="inlineStr">
        <is>
          <t>Ветошь</t>
        </is>
      </c>
      <c r="D53" s="352" t="inlineStr">
        <is>
          <t>кг</t>
        </is>
      </c>
      <c r="E53" s="220" t="n">
        <v>0.048</v>
      </c>
      <c r="F53" s="368" t="n">
        <v>1.82</v>
      </c>
      <c r="G53" s="218">
        <f>ROUND(E53*F53,2)</f>
        <v/>
      </c>
      <c r="H53" s="283">
        <f>G53/$G$55</f>
        <v/>
      </c>
      <c r="I53" s="218">
        <f>ROUND(F53*Прил.10!$D$13,2)</f>
        <v/>
      </c>
      <c r="J53" s="218">
        <f>ROUND(I53*E53,2)</f>
        <v/>
      </c>
    </row>
    <row r="54" collapsed="1" ht="13.9" customFormat="1" customHeight="1" s="300">
      <c r="A54" s="352" t="n"/>
      <c r="B54" s="352" t="n"/>
      <c r="C54" s="351" t="inlineStr">
        <is>
          <t>Итого прочие материалы</t>
        </is>
      </c>
      <c r="D54" s="352" t="n"/>
      <c r="E54" s="353" t="n"/>
      <c r="F54" s="354" t="n"/>
      <c r="G54" s="232">
        <f>SUM(G43:G53)</f>
        <v/>
      </c>
      <c r="H54" s="283">
        <f>G54/$G$55</f>
        <v/>
      </c>
      <c r="I54" s="218" t="n"/>
      <c r="J54" s="232">
        <f>SUM(J43:J53)</f>
        <v/>
      </c>
    </row>
    <row r="55" ht="13.9" customFormat="1" customHeight="1" s="300">
      <c r="A55" s="352" t="n"/>
      <c r="B55" s="352" t="n"/>
      <c r="C55" s="350" t="inlineStr">
        <is>
          <t>Итого по разделу «Материалы»</t>
        </is>
      </c>
      <c r="D55" s="352" t="n"/>
      <c r="E55" s="353" t="n"/>
      <c r="F55" s="354" t="n"/>
      <c r="G55" s="218">
        <f>G42+G54</f>
        <v/>
      </c>
      <c r="H55" s="283">
        <f>G55/$G$55</f>
        <v/>
      </c>
      <c r="I55" s="218" t="n"/>
      <c r="J55" s="218">
        <f>J42+J54</f>
        <v/>
      </c>
    </row>
    <row r="56" ht="13.9" customFormat="1" customHeight="1" s="300">
      <c r="A56" s="352" t="n"/>
      <c r="B56" s="352" t="n"/>
      <c r="C56" s="351" t="inlineStr">
        <is>
          <t>ИТОГО ПО РМ</t>
        </is>
      </c>
      <c r="D56" s="352" t="n"/>
      <c r="E56" s="353" t="n"/>
      <c r="F56" s="354" t="n"/>
      <c r="G56" s="218">
        <f>G14+G28+G55</f>
        <v/>
      </c>
      <c r="H56" s="355" t="n"/>
      <c r="I56" s="218" t="n"/>
      <c r="J56" s="218">
        <f>J14+J28+J55</f>
        <v/>
      </c>
    </row>
    <row r="57" ht="13.9" customFormat="1" customHeight="1" s="300">
      <c r="A57" s="352" t="n"/>
      <c r="B57" s="352" t="n"/>
      <c r="C57" s="351" t="inlineStr">
        <is>
          <t>Накладные расходы</t>
        </is>
      </c>
      <c r="D57" s="213">
        <f>ROUND(G57/(G$16+$G$14),2)</f>
        <v/>
      </c>
      <c r="E57" s="353" t="n"/>
      <c r="F57" s="354" t="n"/>
      <c r="G57" s="218" t="n">
        <v>1470.7</v>
      </c>
      <c r="H57" s="355" t="n"/>
      <c r="I57" s="218" t="n"/>
      <c r="J57" s="218">
        <f>ROUND(D57*(J14+J16),2)</f>
        <v/>
      </c>
    </row>
    <row r="58" ht="13.9" customFormat="1" customHeight="1" s="300">
      <c r="A58" s="352" t="n"/>
      <c r="B58" s="352" t="n"/>
      <c r="C58" s="351" t="inlineStr">
        <is>
          <t>Сметная прибыль</t>
        </is>
      </c>
      <c r="D58" s="213">
        <f>ROUND(G58/(G$14+G$16),2)</f>
        <v/>
      </c>
      <c r="E58" s="353" t="n"/>
      <c r="F58" s="354" t="n"/>
      <c r="G58" s="218" t="n">
        <v>874.9299999999999</v>
      </c>
      <c r="H58" s="355" t="n"/>
      <c r="I58" s="218" t="n"/>
      <c r="J58" s="218">
        <f>ROUND(D58*(J14+J16),2)</f>
        <v/>
      </c>
    </row>
    <row r="59" ht="13.9" customFormat="1" customHeight="1" s="300">
      <c r="A59" s="352" t="n"/>
      <c r="B59" s="352" t="n"/>
      <c r="C59" s="351" t="inlineStr">
        <is>
          <t>Итого СМР (с НР и СП)</t>
        </is>
      </c>
      <c r="D59" s="352" t="n"/>
      <c r="E59" s="353" t="n"/>
      <c r="F59" s="354" t="n"/>
      <c r="G59" s="218">
        <f>G14+G28+G55+G57+G58</f>
        <v/>
      </c>
      <c r="H59" s="355" t="n"/>
      <c r="I59" s="218" t="n"/>
      <c r="J59" s="218">
        <f>J14+J28+J55+J57+J58</f>
        <v/>
      </c>
    </row>
    <row r="60" ht="13.9" customFormat="1" customHeight="1" s="300">
      <c r="A60" s="352" t="n"/>
      <c r="B60" s="352" t="n"/>
      <c r="C60" s="351" t="inlineStr">
        <is>
          <t>ВСЕГО СМР + ОБОРУДОВАНИЕ</t>
        </is>
      </c>
      <c r="D60" s="352" t="n"/>
      <c r="E60" s="353" t="n"/>
      <c r="F60" s="354" t="n"/>
      <c r="G60" s="218">
        <f>G59+G34</f>
        <v/>
      </c>
      <c r="H60" s="355" t="n"/>
      <c r="I60" s="218" t="n"/>
      <c r="J60" s="218">
        <f>J59+J34</f>
        <v/>
      </c>
    </row>
    <row r="61" ht="34.5" customFormat="1" customHeight="1" s="300">
      <c r="A61" s="352" t="n"/>
      <c r="B61" s="352" t="n"/>
      <c r="C61" s="351" t="inlineStr">
        <is>
          <t>ИТОГО ПОКАЗАТЕЛЬ НА ЕД. ИЗМ.</t>
        </is>
      </c>
      <c r="D61" s="352" t="inlineStr">
        <is>
          <t>ед.</t>
        </is>
      </c>
      <c r="E61" s="353" t="n">
        <v>1</v>
      </c>
      <c r="F61" s="354" t="n"/>
      <c r="G61" s="218">
        <f>G60/E61</f>
        <v/>
      </c>
      <c r="H61" s="355" t="n"/>
      <c r="I61" s="218" t="n"/>
      <c r="J61" s="218">
        <f>J60/E61</f>
        <v/>
      </c>
    </row>
    <row r="63" ht="13.9" customFormat="1" customHeight="1" s="300">
      <c r="A63" s="299" t="inlineStr">
        <is>
          <t>Составил ______________________     Е. М. Добровольская</t>
        </is>
      </c>
    </row>
    <row r="64" ht="13.9" customFormat="1" customHeight="1" s="300">
      <c r="A64" s="302" t="inlineStr">
        <is>
          <t xml:space="preserve">                         (подпись, инициалы, фамилия)</t>
        </is>
      </c>
    </row>
    <row r="65" ht="13.9" customFormat="1" customHeight="1" s="300">
      <c r="A65" s="299" t="n"/>
    </row>
    <row r="66" ht="13.9" customFormat="1" customHeight="1" s="300">
      <c r="A66" s="299" t="inlineStr">
        <is>
          <t>Проверил ______________________        А.В. Костянецкая</t>
        </is>
      </c>
    </row>
    <row r="67" ht="13.9" customFormat="1" customHeight="1" s="300">
      <c r="A67" s="302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C9:C10"/>
    <mergeCell ref="B36:H36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6" workbookViewId="0">
      <selection activeCell="D22" sqref="D22"/>
    </sheetView>
  </sheetViews>
  <sheetFormatPr baseColWidth="8" defaultRowHeight="15"/>
  <cols>
    <col width="5.7109375" customWidth="1" style="293" min="1" max="1"/>
    <col width="17.5703125" customWidth="1" style="293" min="2" max="2"/>
    <col width="39.140625" customWidth="1" style="293" min="3" max="3"/>
    <col width="10.7109375" customWidth="1" style="293" min="4" max="4"/>
    <col width="13.85546875" customWidth="1" style="293" min="5" max="5"/>
    <col width="15" customWidth="1" style="293" min="6" max="6"/>
    <col width="16.5703125" customWidth="1" style="293" min="7" max="7"/>
  </cols>
  <sheetData>
    <row r="1">
      <c r="A1" s="364" t="inlineStr">
        <is>
          <t>Приложение №6</t>
        </is>
      </c>
    </row>
    <row r="2" ht="21.75" customHeight="1" s="293">
      <c r="A2" s="364" t="n"/>
      <c r="B2" s="364" t="n"/>
      <c r="C2" s="364" t="n"/>
      <c r="D2" s="364" t="n"/>
      <c r="E2" s="364" t="n"/>
      <c r="F2" s="364" t="n"/>
      <c r="G2" s="364" t="n"/>
    </row>
    <row r="3">
      <c r="A3" s="322" t="inlineStr">
        <is>
          <t>Расчет стоимости оборудования</t>
        </is>
      </c>
    </row>
    <row r="4">
      <c r="A4" s="325" t="inlineStr">
        <is>
          <t>Наименование разрабатываемого показателя УНЦ — КТП киоскового типа 6-20 кВ, мощность 1000 кВА, кол-во трансформаторов 2 шт.</t>
        </is>
      </c>
    </row>
    <row r="5">
      <c r="A5" s="299" t="n"/>
      <c r="B5" s="299" t="n"/>
      <c r="C5" s="299" t="n"/>
      <c r="D5" s="299" t="n"/>
      <c r="E5" s="299" t="n"/>
      <c r="F5" s="299" t="n"/>
      <c r="G5" s="299" t="n"/>
    </row>
    <row r="6" ht="30" customHeight="1" s="293">
      <c r="A6" s="352" t="inlineStr">
        <is>
          <t>№ пп.</t>
        </is>
      </c>
      <c r="B6" s="352" t="inlineStr">
        <is>
          <t>Код ресурса</t>
        </is>
      </c>
      <c r="C6" s="352" t="inlineStr">
        <is>
          <t>Наименование</t>
        </is>
      </c>
      <c r="D6" s="352" t="inlineStr">
        <is>
          <t>Ед. изм.</t>
        </is>
      </c>
      <c r="E6" s="352" t="inlineStr">
        <is>
          <t>Кол-во единиц по проектным данным</t>
        </is>
      </c>
      <c r="F6" s="369" t="inlineStr">
        <is>
          <t>Сметная стоимость в ценах на 01.01.2000 (руб.)</t>
        </is>
      </c>
      <c r="G6" s="417" t="n"/>
    </row>
    <row r="7">
      <c r="A7" s="419" t="n"/>
      <c r="B7" s="419" t="n"/>
      <c r="C7" s="419" t="n"/>
      <c r="D7" s="419" t="n"/>
      <c r="E7" s="419" t="n"/>
      <c r="F7" s="352" t="inlineStr">
        <is>
          <t>на ед. изм.</t>
        </is>
      </c>
      <c r="G7" s="352" t="inlineStr">
        <is>
          <t>общая</t>
        </is>
      </c>
    </row>
    <row r="8">
      <c r="A8" s="352" t="n">
        <v>1</v>
      </c>
      <c r="B8" s="352" t="n">
        <v>2</v>
      </c>
      <c r="C8" s="352" t="n">
        <v>3</v>
      </c>
      <c r="D8" s="352" t="n">
        <v>4</v>
      </c>
      <c r="E8" s="352" t="n">
        <v>5</v>
      </c>
      <c r="F8" s="352" t="n">
        <v>6</v>
      </c>
      <c r="G8" s="352" t="n">
        <v>7</v>
      </c>
    </row>
    <row r="9" ht="15" customHeight="1" s="293">
      <c r="A9" s="252" t="n"/>
      <c r="B9" s="351" t="inlineStr">
        <is>
          <t>ИНЖЕНЕРНОЕ ОБОРУДОВАНИЕ</t>
        </is>
      </c>
      <c r="C9" s="416" t="n"/>
      <c r="D9" s="416" t="n"/>
      <c r="E9" s="416" t="n"/>
      <c r="F9" s="416" t="n"/>
      <c r="G9" s="417" t="n"/>
    </row>
    <row r="10" ht="27" customHeight="1" s="293">
      <c r="A10" s="352" t="n"/>
      <c r="B10" s="350" t="n"/>
      <c r="C10" s="351" t="inlineStr">
        <is>
          <t>ИТОГО ИНЖЕНЕРНОЕ ОБОРУДОВАНИЕ</t>
        </is>
      </c>
      <c r="D10" s="350" t="n"/>
      <c r="E10" s="142" t="n"/>
      <c r="F10" s="354" t="n"/>
      <c r="G10" s="354" t="n">
        <v>0</v>
      </c>
    </row>
    <row r="11">
      <c r="A11" s="352" t="n"/>
      <c r="B11" s="351" t="inlineStr">
        <is>
          <t>ТЕХНОЛОГИЧЕСКОЕ ОБОРУДОВАНИЕ</t>
        </is>
      </c>
      <c r="C11" s="416" t="n"/>
      <c r="D11" s="416" t="n"/>
      <c r="E11" s="416" t="n"/>
      <c r="F11" s="416" t="n"/>
      <c r="G11" s="417" t="n"/>
    </row>
    <row r="12" ht="25.5" customHeight="1" s="293">
      <c r="A12" s="352" t="n">
        <v>1</v>
      </c>
      <c r="B12" s="352">
        <f>'Прил.5 Расчет СМР и ОБ'!B31</f>
        <v/>
      </c>
      <c r="C12" s="351">
        <f>'Прил.5 Расчет СМР и ОБ'!C31</f>
        <v/>
      </c>
      <c r="D12" s="352">
        <f>'Прил.5 Расчет СМР и ОБ'!D31</f>
        <v/>
      </c>
      <c r="E12" s="305">
        <f>'Прил.5 Расчет СМР и ОБ'!E31</f>
        <v/>
      </c>
      <c r="F12" s="218">
        <f>'Прил.5 Расчет СМР и ОБ'!F31</f>
        <v/>
      </c>
      <c r="G12" s="218">
        <f>ROUND(E12*F12,2)</f>
        <v/>
      </c>
    </row>
    <row r="13" ht="25.5" customHeight="1" s="293">
      <c r="A13" s="352" t="n"/>
      <c r="B13" s="351" t="n"/>
      <c r="C13" s="351" t="inlineStr">
        <is>
          <t>ИТОГО ТЕХНОЛОГИЧЕСКОЕ ОБОРУДОВАНИЕ</t>
        </is>
      </c>
      <c r="D13" s="351" t="n"/>
      <c r="E13" s="368" t="n"/>
      <c r="F13" s="218" t="n"/>
      <c r="G13" s="218">
        <f>SUM(G12:G12)</f>
        <v/>
      </c>
    </row>
    <row r="14" ht="19.5" customHeight="1" s="293">
      <c r="A14" s="352" t="n"/>
      <c r="B14" s="351" t="n"/>
      <c r="C14" s="351" t="inlineStr">
        <is>
          <t>Всего по разделу «Оборудование»</t>
        </is>
      </c>
      <c r="D14" s="351" t="n"/>
      <c r="E14" s="368" t="n"/>
      <c r="F14" s="218" t="n"/>
      <c r="G14" s="218">
        <f>G10+G13</f>
        <v/>
      </c>
    </row>
    <row r="15">
      <c r="A15" s="301" t="n"/>
      <c r="B15" s="145" t="n"/>
      <c r="C15" s="301" t="n"/>
      <c r="D15" s="301" t="n"/>
      <c r="E15" s="301" t="n"/>
      <c r="F15" s="301" t="n"/>
      <c r="G15" s="301" t="n"/>
    </row>
    <row r="16">
      <c r="A16" s="299" t="inlineStr">
        <is>
          <t>Составил ______________________    Е. М. Добровольская</t>
        </is>
      </c>
      <c r="B16" s="300" t="n"/>
      <c r="C16" s="300" t="n"/>
      <c r="D16" s="301" t="n"/>
      <c r="E16" s="301" t="n"/>
      <c r="F16" s="301" t="n"/>
      <c r="G16" s="301" t="n"/>
    </row>
    <row r="17">
      <c r="A17" s="302" t="inlineStr">
        <is>
          <t xml:space="preserve">                         (подпись, инициалы, фамилия)</t>
        </is>
      </c>
      <c r="B17" s="300" t="n"/>
      <c r="C17" s="300" t="n"/>
      <c r="D17" s="301" t="n"/>
      <c r="E17" s="301" t="n"/>
      <c r="F17" s="301" t="n"/>
      <c r="G17" s="301" t="n"/>
    </row>
    <row r="18">
      <c r="A18" s="299" t="n"/>
      <c r="B18" s="300" t="n"/>
      <c r="C18" s="300" t="n"/>
      <c r="D18" s="301" t="n"/>
      <c r="E18" s="301" t="n"/>
      <c r="F18" s="301" t="n"/>
      <c r="G18" s="301" t="n"/>
    </row>
    <row r="19">
      <c r="A19" s="299" t="inlineStr">
        <is>
          <t>Проверил ______________________        А.В. Костянецкая</t>
        </is>
      </c>
      <c r="B19" s="300" t="n"/>
      <c r="C19" s="300" t="n"/>
      <c r="D19" s="301" t="n"/>
      <c r="E19" s="301" t="n"/>
      <c r="F19" s="301" t="n"/>
      <c r="G19" s="301" t="n"/>
    </row>
    <row r="20">
      <c r="A20" s="302" t="inlineStr">
        <is>
          <t xml:space="preserve">                        (подпись, инициалы, фамилия)</t>
        </is>
      </c>
      <c r="B20" s="300" t="n"/>
      <c r="C20" s="300" t="n"/>
      <c r="D20" s="301" t="n"/>
      <c r="E20" s="301" t="n"/>
      <c r="F20" s="301" t="n"/>
      <c r="G20" s="3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8" sqref="D18"/>
    </sheetView>
  </sheetViews>
  <sheetFormatPr baseColWidth="8" defaultRowHeight="15"/>
  <cols>
    <col width="12.7109375" customWidth="1" style="293" min="1" max="1"/>
    <col width="16.42578125" customWidth="1" style="293" min="2" max="2"/>
    <col width="37.140625" customWidth="1" style="293" min="3" max="3"/>
    <col width="49" customWidth="1" style="293" min="4" max="4"/>
    <col width="9.140625" customWidth="1" style="293" min="5" max="5"/>
  </cols>
  <sheetData>
    <row r="1" ht="15.75" customHeight="1" s="293">
      <c r="A1" s="296" t="n"/>
      <c r="B1" s="296" t="n"/>
      <c r="C1" s="296" t="n"/>
      <c r="D1" s="296" t="inlineStr">
        <is>
          <t>Приложение №7</t>
        </is>
      </c>
    </row>
    <row r="2" ht="15.75" customHeight="1" s="293">
      <c r="A2" s="296" t="n"/>
      <c r="B2" s="296" t="n"/>
      <c r="C2" s="296" t="n"/>
      <c r="D2" s="296" t="n"/>
    </row>
    <row r="3" ht="15.75" customHeight="1" s="293">
      <c r="A3" s="296" t="n"/>
      <c r="B3" s="294" t="inlineStr">
        <is>
          <t>Расчет показателя УНЦ</t>
        </is>
      </c>
      <c r="C3" s="296" t="n"/>
      <c r="D3" s="296" t="n"/>
    </row>
    <row r="4" ht="15.75" customHeight="1" s="293">
      <c r="A4" s="296" t="n"/>
      <c r="B4" s="296" t="n"/>
      <c r="C4" s="296" t="n"/>
      <c r="D4" s="296" t="n"/>
    </row>
    <row r="5" ht="31.5" customHeight="1" s="293">
      <c r="A5" s="370" t="inlineStr">
        <is>
          <t xml:space="preserve">Наименование разрабатываемого показателя УНЦ - </t>
        </is>
      </c>
      <c r="D5" s="370">
        <f>'Прил.5 Расчет СМР и ОБ'!D6:J6</f>
        <v/>
      </c>
    </row>
    <row r="6" ht="15.75" customHeight="1" s="293">
      <c r="A6" s="296" t="inlineStr">
        <is>
          <t>Единица измерения  — 1 ед</t>
        </is>
      </c>
      <c r="B6" s="296" t="n"/>
      <c r="C6" s="296" t="n"/>
      <c r="D6" s="296" t="n"/>
    </row>
    <row r="7" ht="15.75" customHeight="1" s="293">
      <c r="A7" s="296" t="n"/>
      <c r="B7" s="296" t="n"/>
      <c r="C7" s="296" t="n"/>
      <c r="D7" s="296" t="n"/>
    </row>
    <row r="8">
      <c r="A8" s="335" t="inlineStr">
        <is>
          <t>Код показателя</t>
        </is>
      </c>
      <c r="B8" s="335" t="inlineStr">
        <is>
          <t>Наименование показателя</t>
        </is>
      </c>
      <c r="C8" s="335" t="inlineStr">
        <is>
          <t>Наименование РМ, входящих в состав показателя</t>
        </is>
      </c>
      <c r="D8" s="335" t="inlineStr">
        <is>
          <t>Норматив цены на 01.01.2023, тыс.руб.</t>
        </is>
      </c>
    </row>
    <row r="9">
      <c r="A9" s="419" t="n"/>
      <c r="B9" s="419" t="n"/>
      <c r="C9" s="419" t="n"/>
      <c r="D9" s="419" t="n"/>
    </row>
    <row r="10" ht="15.75" customHeight="1" s="293">
      <c r="A10" s="335" t="n">
        <v>1</v>
      </c>
      <c r="B10" s="335" t="n">
        <v>2</v>
      </c>
      <c r="C10" s="335" t="n">
        <v>3</v>
      </c>
      <c r="D10" s="335" t="n">
        <v>4</v>
      </c>
    </row>
    <row r="11" ht="47.25" customHeight="1" s="293">
      <c r="A11" s="335" t="inlineStr">
        <is>
          <t>Э1-09-2</t>
        </is>
      </c>
      <c r="B11" s="335" t="inlineStr">
        <is>
          <t xml:space="preserve">УНЦ КТП киоскового типа 6 - 20 кВ </t>
        </is>
      </c>
      <c r="C11" s="318">
        <f>D5</f>
        <v/>
      </c>
      <c r="D11" s="298">
        <f>'Прил.4 РМ'!C41/1000</f>
        <v/>
      </c>
    </row>
    <row r="13">
      <c r="A13" s="299" t="inlineStr">
        <is>
          <t>Составил ______________________     Е. М. Добровольская</t>
        </is>
      </c>
      <c r="B13" s="300" t="n"/>
      <c r="C13" s="300" t="n"/>
      <c r="D13" s="301" t="n"/>
    </row>
    <row r="14">
      <c r="A14" s="302" t="inlineStr">
        <is>
          <t xml:space="preserve">                         (подпись, инициалы, фамилия)</t>
        </is>
      </c>
      <c r="B14" s="300" t="n"/>
      <c r="C14" s="300" t="n"/>
      <c r="D14" s="301" t="n"/>
    </row>
    <row r="15">
      <c r="A15" s="299" t="n"/>
      <c r="B15" s="300" t="n"/>
      <c r="C15" s="300" t="n"/>
      <c r="D15" s="301" t="n"/>
    </row>
    <row r="16">
      <c r="A16" s="299" t="inlineStr">
        <is>
          <t>Проверил ______________________        А.В. Костянецкая</t>
        </is>
      </c>
      <c r="B16" s="300" t="n"/>
      <c r="C16" s="300" t="n"/>
      <c r="D16" s="301" t="n"/>
    </row>
    <row r="17" ht="20.25" customHeight="1" s="293">
      <c r="A17" s="302" t="inlineStr">
        <is>
          <t xml:space="preserve">                        (подпись, инициалы, фамилия)</t>
        </is>
      </c>
      <c r="B17" s="300" t="n"/>
      <c r="C17" s="300" t="n"/>
      <c r="D17" s="30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6" zoomScale="60" zoomScaleNormal="85" workbookViewId="0">
      <selection activeCell="D30" sqref="D30"/>
    </sheetView>
  </sheetViews>
  <sheetFormatPr baseColWidth="8" defaultColWidth="9.140625" defaultRowHeight="15"/>
  <cols>
    <col width="9.140625" customWidth="1" style="293" min="1" max="1"/>
    <col width="40.7109375" customWidth="1" style="293" min="2" max="2"/>
    <col width="38.85546875" customWidth="1" style="293" min="3" max="3"/>
    <col width="32" customWidth="1" style="293" min="4" max="4"/>
    <col width="9.140625" customWidth="1" style="293" min="5" max="5"/>
  </cols>
  <sheetData>
    <row r="4" ht="15.6" customHeight="1" s="293">
      <c r="B4" s="329" t="inlineStr">
        <is>
          <t>Приложение № 10</t>
        </is>
      </c>
    </row>
    <row r="5" ht="18" customHeight="1" s="293">
      <c r="B5" s="184" t="n"/>
    </row>
    <row r="6" ht="15.6" customHeight="1" s="293">
      <c r="B6" s="330" t="inlineStr">
        <is>
          <t>Используемые индексы изменений сметной стоимости и нормы сопутствующих затрат</t>
        </is>
      </c>
    </row>
    <row r="7">
      <c r="B7" s="371" t="n"/>
    </row>
    <row r="8">
      <c r="B8" s="371" t="n"/>
      <c r="C8" s="371" t="n"/>
      <c r="D8" s="371" t="n"/>
      <c r="E8" s="371" t="n"/>
    </row>
    <row r="9" ht="46.9" customHeight="1" s="293">
      <c r="B9" s="335" t="inlineStr">
        <is>
          <t>Наименование индекса / норм сопутствующих затрат</t>
        </is>
      </c>
      <c r="C9" s="335" t="inlineStr">
        <is>
          <t>Дата применения и обоснование индекса / норм сопутствующих затрат</t>
        </is>
      </c>
      <c r="D9" s="335" t="inlineStr">
        <is>
          <t>Размер индекса / норма сопутствующих затрат</t>
        </is>
      </c>
    </row>
    <row r="10" ht="15.6" customHeight="1" s="293">
      <c r="B10" s="335" t="n">
        <v>1</v>
      </c>
      <c r="C10" s="335" t="n">
        <v>2</v>
      </c>
      <c r="D10" s="335" t="n">
        <v>3</v>
      </c>
    </row>
    <row r="11" ht="31.5" customHeight="1" s="293">
      <c r="B11" s="335" t="inlineStr">
        <is>
          <t xml:space="preserve">Индекс изменения сметной стоимости на 1 квартал 2023 года. ОЗП </t>
        </is>
      </c>
      <c r="C11" s="335" t="inlineStr">
        <is>
          <t>Письмо Минстроя России от 30.03.2023г. №17106-ИФ/09  прил.1</t>
        </is>
      </c>
      <c r="D11" s="335" t="n">
        <v>44.29</v>
      </c>
    </row>
    <row r="12" ht="31.5" customHeight="1" s="293">
      <c r="B12" s="335" t="inlineStr">
        <is>
          <t>Индекс изменения сметной стоимости на 1 квартал 2023 года. ЭМ</t>
        </is>
      </c>
      <c r="C12" s="335" t="inlineStr">
        <is>
          <t>Письмо Минстроя России от 30.03.2023г. №17106-ИФ/09  прил.1</t>
        </is>
      </c>
      <c r="D12" s="335" t="n">
        <v>13.47</v>
      </c>
    </row>
    <row r="13" ht="31.5" customHeight="1" s="293">
      <c r="B13" s="335" t="inlineStr">
        <is>
          <t>Индекс изменения сметной стоимости на 1 квартал 2023 года. МАТ</t>
        </is>
      </c>
      <c r="C13" s="335" t="inlineStr">
        <is>
          <t>Письмо Минстроя России от 30.03.2023г. №17106-ИФ/09  прил.1</t>
        </is>
      </c>
      <c r="D13" s="335" t="n">
        <v>8.039999999999999</v>
      </c>
    </row>
    <row r="14" ht="31.5" customHeight="1" s="293">
      <c r="B14" s="335" t="inlineStr">
        <is>
          <t>Индекс изменения сметной стоимости на 1 квартал 2023 года. ОБ</t>
        </is>
      </c>
      <c r="C14" s="335" t="inlineStr">
        <is>
          <t>Письмо Минстроя России от 23.02.2023г. №9791-ИФ/09 прил.6</t>
        </is>
      </c>
      <c r="D14" s="335" t="n">
        <v>6.26</v>
      </c>
    </row>
    <row r="15" ht="89.25" customHeight="1" s="293">
      <c r="B15" s="335" t="inlineStr">
        <is>
          <t>Временные здания и сооружения</t>
        </is>
      </c>
      <c r="C15" s="33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7" t="n">
        <v>0.025</v>
      </c>
    </row>
    <row r="16" ht="78" customHeight="1" s="293">
      <c r="B16" s="335" t="inlineStr">
        <is>
          <t>Дополнительные затраты при производстве строительно-монтажных работ в зимнее время</t>
        </is>
      </c>
      <c r="C16" s="3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7" t="n">
        <v>0.021</v>
      </c>
    </row>
    <row r="17" ht="15.75" customHeight="1" s="293">
      <c r="B17" s="335" t="inlineStr">
        <is>
          <t>Пусконаладочные работы*</t>
        </is>
      </c>
      <c r="C17" s="335" t="n"/>
      <c r="D17" s="335" t="inlineStr">
        <is>
          <t>Расчет</t>
        </is>
      </c>
    </row>
    <row r="18" ht="31.5" customHeight="1" s="293">
      <c r="B18" s="335" t="inlineStr">
        <is>
          <t>Строительный контроль</t>
        </is>
      </c>
      <c r="C18" s="335" t="inlineStr">
        <is>
          <t>Постановление Правительства РФ от 21.06.10 г. № 468</t>
        </is>
      </c>
      <c r="D18" s="187" t="n">
        <v>0.0214</v>
      </c>
    </row>
    <row r="19" ht="31.5" customHeight="1" s="293">
      <c r="B19" s="335" t="inlineStr">
        <is>
          <t>Авторский надзор - 0,2%</t>
        </is>
      </c>
      <c r="C19" s="335" t="inlineStr">
        <is>
          <t>Приказ от 4.08.2020 № 421/пр п.173</t>
        </is>
      </c>
      <c r="D19" s="187" t="n">
        <v>0.002</v>
      </c>
    </row>
    <row r="20" ht="24" customHeight="1" s="293">
      <c r="B20" s="335" t="inlineStr">
        <is>
          <t>Непредвиденные расходы</t>
        </is>
      </c>
      <c r="C20" s="335" t="inlineStr">
        <is>
          <t>Приказ от 4.08.2020 № 421/пр п.179</t>
        </is>
      </c>
      <c r="D20" s="187" t="n">
        <v>0.03</v>
      </c>
    </row>
    <row r="21" ht="18" customHeight="1" s="293">
      <c r="B21" s="264" t="n"/>
    </row>
    <row r="22" ht="18" customHeight="1" s="293">
      <c r="B22" s="264" t="n"/>
    </row>
    <row r="23" ht="18" customHeight="1" s="293">
      <c r="B23" s="264" t="n"/>
    </row>
    <row r="24" ht="18" customHeight="1" s="293">
      <c r="B24" s="264" t="n"/>
    </row>
    <row r="27">
      <c r="B27" s="299" t="inlineStr">
        <is>
          <t>Составил ______________________        Е.А. Князева</t>
        </is>
      </c>
      <c r="C27" s="300" t="n"/>
    </row>
    <row r="28">
      <c r="B28" s="302" t="inlineStr">
        <is>
          <t xml:space="preserve">                         (подпись, инициалы, фамилия)</t>
        </is>
      </c>
      <c r="C28" s="300" t="n"/>
    </row>
    <row r="29">
      <c r="B29" s="299" t="n"/>
      <c r="C29" s="300" t="n"/>
    </row>
    <row r="30">
      <c r="B30" s="299" t="inlineStr">
        <is>
          <t>Проверил ______________________        А.В. Костянецкая</t>
        </is>
      </c>
      <c r="C30" s="300" t="n"/>
    </row>
    <row r="31">
      <c r="B31" s="302" t="inlineStr">
        <is>
          <t xml:space="preserve">                        (подпись, инициалы, фамилия)</t>
        </is>
      </c>
      <c r="C31" s="3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19" sqref="D19"/>
    </sheetView>
  </sheetViews>
  <sheetFormatPr baseColWidth="8" defaultColWidth="9.140625" defaultRowHeight="15"/>
  <cols>
    <col width="9.140625" customWidth="1" style="293" min="1" max="1"/>
    <col width="44.85546875" customWidth="1" style="293" min="2" max="2"/>
    <col width="13" customWidth="1" style="293" min="3" max="3"/>
    <col width="22.85546875" customWidth="1" style="293" min="4" max="4"/>
    <col width="21.5703125" customWidth="1" style="293" min="5" max="5"/>
    <col width="43.85546875" customWidth="1" style="293" min="6" max="6"/>
    <col width="9.140625" customWidth="1" style="293" min="7" max="7"/>
  </cols>
  <sheetData>
    <row r="2" ht="18" customHeight="1" s="293">
      <c r="A2" s="33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93">
      <c r="A4" s="167" t="inlineStr">
        <is>
          <t>Составлен в уровне цен на 01.01.2023 г.</t>
        </is>
      </c>
      <c r="B4" s="296" t="n"/>
      <c r="C4" s="296" t="n"/>
      <c r="D4" s="296" t="n"/>
      <c r="E4" s="296" t="n"/>
      <c r="F4" s="296" t="n"/>
      <c r="G4" s="296" t="n"/>
    </row>
    <row r="5" ht="15.6" customHeight="1" s="293">
      <c r="A5" s="169" t="inlineStr">
        <is>
          <t>№ пп.</t>
        </is>
      </c>
      <c r="B5" s="169" t="inlineStr">
        <is>
          <t>Наименование элемента</t>
        </is>
      </c>
      <c r="C5" s="169" t="inlineStr">
        <is>
          <t>Обозначение</t>
        </is>
      </c>
      <c r="D5" s="169" t="inlineStr">
        <is>
          <t>Формула</t>
        </is>
      </c>
      <c r="E5" s="169" t="inlineStr">
        <is>
          <t>Величина элемента</t>
        </is>
      </c>
      <c r="F5" s="169" t="inlineStr">
        <is>
          <t>Наименования обосновывающих документов</t>
        </is>
      </c>
      <c r="G5" s="296" t="n"/>
    </row>
    <row r="6" ht="15.6" customHeight="1" s="293">
      <c r="A6" s="169" t="n">
        <v>1</v>
      </c>
      <c r="B6" s="169" t="n">
        <v>2</v>
      </c>
      <c r="C6" s="169" t="n">
        <v>3</v>
      </c>
      <c r="D6" s="169" t="n">
        <v>4</v>
      </c>
      <c r="E6" s="169" t="n">
        <v>5</v>
      </c>
      <c r="F6" s="169" t="n">
        <v>6</v>
      </c>
      <c r="G6" s="296" t="n"/>
    </row>
    <row r="7" ht="109.15" customHeight="1" s="293">
      <c r="A7" s="170" t="inlineStr">
        <is>
          <t>1.1</t>
        </is>
      </c>
      <c r="B7" s="17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5" t="inlineStr">
        <is>
          <t>С1ср</t>
        </is>
      </c>
      <c r="D7" s="335" t="inlineStr">
        <is>
          <t>-</t>
        </is>
      </c>
      <c r="E7" s="298" t="n">
        <v>47872.94</v>
      </c>
      <c r="F7" s="17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6" t="n"/>
    </row>
    <row r="8" ht="31.15" customHeight="1" s="293">
      <c r="A8" s="170" t="inlineStr">
        <is>
          <t>1.2</t>
        </is>
      </c>
      <c r="B8" s="174" t="inlineStr">
        <is>
          <t>Среднегодовое нормативное число часов работы одного рабочего в месяц, часы (ч.)</t>
        </is>
      </c>
      <c r="C8" s="335" t="inlineStr">
        <is>
          <t>tср</t>
        </is>
      </c>
      <c r="D8" s="335" t="inlineStr">
        <is>
          <t>1973ч/12мес.</t>
        </is>
      </c>
      <c r="E8" s="298">
        <f>1973/12</f>
        <v/>
      </c>
      <c r="F8" s="174" t="inlineStr">
        <is>
          <t>Производственный календарь 2023 год
(40-часов.неделя)</t>
        </is>
      </c>
      <c r="G8" s="176" t="n"/>
    </row>
    <row r="9" ht="15.6" customHeight="1" s="293">
      <c r="A9" s="170" t="inlineStr">
        <is>
          <t>1.3</t>
        </is>
      </c>
      <c r="B9" s="174" t="inlineStr">
        <is>
          <t>Коэффициент увеличения</t>
        </is>
      </c>
      <c r="C9" s="335" t="inlineStr">
        <is>
          <t>Кув</t>
        </is>
      </c>
      <c r="D9" s="335" t="inlineStr">
        <is>
          <t>-</t>
        </is>
      </c>
      <c r="E9" s="298" t="n">
        <v>1</v>
      </c>
      <c r="F9" s="174" t="n"/>
      <c r="G9" s="176" t="n"/>
    </row>
    <row r="10" ht="15.6" customHeight="1" s="293">
      <c r="A10" s="170" t="inlineStr">
        <is>
          <t>1.4</t>
        </is>
      </c>
      <c r="B10" s="174" t="inlineStr">
        <is>
          <t>Средний разряд работ</t>
        </is>
      </c>
      <c r="C10" s="335" t="n"/>
      <c r="D10" s="335" t="n"/>
      <c r="E10" s="177" t="n">
        <v>3.2</v>
      </c>
      <c r="F10" s="174" t="inlineStr">
        <is>
          <t>РТМ</t>
        </is>
      </c>
      <c r="G10" s="176" t="n"/>
    </row>
    <row r="11" ht="78" customHeight="1" s="293">
      <c r="A11" s="170" t="inlineStr">
        <is>
          <t>1.5</t>
        </is>
      </c>
      <c r="B11" s="174" t="inlineStr">
        <is>
          <t>Тарифный коэффициент среднего разряда работ</t>
        </is>
      </c>
      <c r="C11" s="335" t="inlineStr">
        <is>
          <t>КТ</t>
        </is>
      </c>
      <c r="D11" s="335" t="inlineStr">
        <is>
          <t>-</t>
        </is>
      </c>
      <c r="E11" s="178" t="n">
        <v>1.217</v>
      </c>
      <c r="F11" s="17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6" t="n"/>
    </row>
    <row r="12" ht="78" customHeight="1" s="293">
      <c r="A12" s="170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35" t="inlineStr">
        <is>
          <t>Кинф</t>
        </is>
      </c>
      <c r="D12" s="335" t="inlineStr">
        <is>
          <t>-</t>
        </is>
      </c>
      <c r="E12" s="180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6" t="n"/>
    </row>
    <row r="13" ht="62.45" customHeight="1" s="293">
      <c r="A13" s="170" t="inlineStr">
        <is>
          <t>1.7</t>
        </is>
      </c>
      <c r="B13" s="182" t="inlineStr">
        <is>
          <t>Размер средств на оплату труда рабочих-строителей в текущем уровне цен (ФОТр.тек.), руб/чел.-ч</t>
        </is>
      </c>
      <c r="C13" s="335" t="inlineStr">
        <is>
          <t>ФОТр.тек.</t>
        </is>
      </c>
      <c r="D13" s="335" t="inlineStr">
        <is>
          <t>(С1ср/tср*КТ*Т*Кув)*Кинф</t>
        </is>
      </c>
      <c r="E13" s="183">
        <f>((E7*E9/E8)*E11)*E12</f>
        <v/>
      </c>
      <c r="F13" s="1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2025-01-24T12:19:19Z</dcterms:modified>
  <cp:lastModifiedBy>REDMIBOOK</cp:lastModifiedBy>
  <cp:lastPrinted>2023-11-30T12:22:38Z</cp:lastPrinted>
</cp:coreProperties>
</file>