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19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8" t="n"/>
      <c r="C6" s="168" t="n"/>
      <c r="D6" s="168" t="n"/>
    </row>
    <row r="7" ht="64.5" customHeight="1" s="194">
      <c r="B7" s="23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 кВА</t>
        </is>
      </c>
    </row>
    <row r="8" ht="31.5" customHeight="1" s="194">
      <c r="B8" s="237" t="inlineStr">
        <is>
          <t>Сопоставимый уровень цен: 3 квартал 2017 г</t>
        </is>
      </c>
    </row>
    <row r="9" ht="15.75" customHeight="1" s="194">
      <c r="B9" s="237" t="inlineStr">
        <is>
          <t>Единица измерения  — 1 единица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8" t="n"/>
    </row>
    <row r="12" ht="96.75" customHeight="1" s="194">
      <c r="B12" s="240" t="n">
        <v>1</v>
      </c>
      <c r="C12" s="222" t="inlineStr">
        <is>
          <t>Наименование объекта-представителя</t>
        </is>
      </c>
      <c r="D12" s="240" t="inlineStr">
        <is>
          <t>ВЛ 10 ТехПодкл(Новоаннинский РЭС) (МРСК Юга ВолгоградЭнерго)</t>
        </is>
      </c>
    </row>
    <row r="13">
      <c r="B13" s="240" t="n">
        <v>2</v>
      </c>
      <c r="C13" s="222" t="inlineStr">
        <is>
          <t>Наименование субъекта Российской Федерации</t>
        </is>
      </c>
      <c r="D13" s="240" t="inlineStr">
        <is>
          <t>Волгоградская область</t>
        </is>
      </c>
    </row>
    <row r="14">
      <c r="B14" s="240" t="n">
        <v>3</v>
      </c>
      <c r="C14" s="222" t="inlineStr">
        <is>
          <t>Климатический район и подрайон</t>
        </is>
      </c>
      <c r="D14" s="240" t="inlineStr">
        <is>
          <t>IIIВ</t>
        </is>
      </c>
    </row>
    <row r="15">
      <c r="B15" s="240" t="n">
        <v>4</v>
      </c>
      <c r="C15" s="222" t="inlineStr">
        <is>
          <t>Мощность объекта</t>
        </is>
      </c>
      <c r="D15" s="240" t="n">
        <v>1</v>
      </c>
    </row>
    <row r="16" ht="116.25" customHeight="1" s="194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КТП-(КК)-25 10/0,4-УХЛ1 (в комплекте трансформатор силовой ТМГ-25/10/0,4-11УХЛ1)</t>
        </is>
      </c>
    </row>
    <row r="17" ht="79.5" customHeight="1" s="194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'Прил.2 Расч стоим'!J12</f>
        <v/>
      </c>
      <c r="E17" s="167" t="n"/>
    </row>
    <row r="18">
      <c r="B18" s="147" t="inlineStr">
        <is>
          <t>6.1</t>
        </is>
      </c>
      <c r="C18" s="222" t="inlineStr">
        <is>
          <t>строительно-монтажные работы</t>
        </is>
      </c>
      <c r="D18" s="157">
        <f>'Прил.2 Расч стоим'!F12+'Прил.2 Расч стоим'!G12</f>
        <v/>
      </c>
    </row>
    <row r="19" ht="15.75" customHeight="1" s="194">
      <c r="B19" s="147" t="inlineStr">
        <is>
          <t>6.2</t>
        </is>
      </c>
      <c r="C19" s="222" t="inlineStr">
        <is>
          <t>оборудование и инвентарь</t>
        </is>
      </c>
      <c r="D19" s="157">
        <f>'Прил.2 Расч стоим'!H12</f>
        <v/>
      </c>
    </row>
    <row r="20" ht="16.5" customHeight="1" s="194">
      <c r="B20" s="147" t="inlineStr">
        <is>
          <t>6.3</t>
        </is>
      </c>
      <c r="C20" s="222" t="inlineStr">
        <is>
          <t>пусконаладочные работы</t>
        </is>
      </c>
      <c r="D20" s="157" t="n"/>
    </row>
    <row r="21" ht="35.25" customHeight="1" s="194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>
        <f>'Прил.2 Расч стоим'!I12</f>
        <v/>
      </c>
    </row>
    <row r="22">
      <c r="B22" s="240" t="n">
        <v>7</v>
      </c>
      <c r="C22" s="146" t="inlineStr">
        <is>
          <t>Сопоставимый уровень цен</t>
        </is>
      </c>
      <c r="D22" s="180" t="inlineStr">
        <is>
          <t>3 квартал 2017 г</t>
        </is>
      </c>
      <c r="E22" s="144" t="n"/>
    </row>
    <row r="23" ht="123" customHeight="1" s="194">
      <c r="B23" s="240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7" t="n"/>
    </row>
    <row r="24" ht="60.75" customHeight="1" s="194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44" t="n"/>
    </row>
    <row r="25" ht="48" customHeight="1" s="194">
      <c r="B25" s="240" t="n">
        <v>10</v>
      </c>
      <c r="C25" s="222" t="inlineStr">
        <is>
          <t>Примечание</t>
        </is>
      </c>
      <c r="D25" s="240" t="n"/>
    </row>
    <row r="26">
      <c r="B26" s="143" t="n"/>
      <c r="C26" s="142" t="n"/>
      <c r="D26" s="142" t="n"/>
    </row>
    <row r="27" ht="37.5" customHeight="1" s="194">
      <c r="B27" s="141" t="n"/>
    </row>
    <row r="28">
      <c r="B28" s="220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0">
      <c r="C30" s="220" t="n"/>
    </row>
    <row r="31">
      <c r="B31" s="22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4">
      <c r="B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 кВА</t>
        </is>
      </c>
      <c r="K6" s="141" t="n"/>
    </row>
    <row r="7">
      <c r="B7" s="237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 xml:space="preserve">Объект-представитель 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4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21" t="n"/>
      <c r="H10" s="321" t="n"/>
      <c r="I10" s="321" t="n"/>
      <c r="J10" s="322" t="n"/>
    </row>
    <row r="11" ht="31.5" customHeight="1" s="194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9.75" customHeight="1" s="194">
      <c r="A12" s="220" t="n"/>
      <c r="B12" s="221" t="n">
        <v>1</v>
      </c>
      <c r="C12" s="222" t="inlineStr">
        <is>
          <t>КТП-(КК)-25 10/0,4-УХЛ1 (в комплекте трансформатор силовой ТМГ-25/10/0,4-11УХЛ1)</t>
        </is>
      </c>
      <c r="D12" s="223" t="inlineStr">
        <is>
          <t>02-02</t>
        </is>
      </c>
      <c r="E12" s="222" t="inlineStr">
        <is>
          <t>Отпайка ВЛ-10 кВ от ВЛ-10 кВ № 2 ПС 35/10 кВ "Чайка", КТП 10/0,4 кВ</t>
        </is>
      </c>
      <c r="F12" s="224">
        <f>3770*5.23/1000</f>
        <v/>
      </c>
      <c r="G12" s="224">
        <f>25*5.23/1000</f>
        <v/>
      </c>
      <c r="H12" s="224">
        <f>38538*4.37/1000</f>
        <v/>
      </c>
      <c r="I12" s="225">
        <f>(F12+G12)*2.5%+((F12+G12)*2.5%+F12+G12)*1.7955%</f>
        <v/>
      </c>
      <c r="J12" s="226">
        <f>SUM(F12:I12)</f>
        <v/>
      </c>
    </row>
    <row r="13" ht="15.75" customHeight="1" s="194">
      <c r="B13" s="239" t="inlineStr">
        <is>
          <t>Всего по объекту:</t>
        </is>
      </c>
      <c r="C13" s="321" t="n"/>
      <c r="D13" s="321" t="n"/>
      <c r="E13" s="322" t="n"/>
      <c r="F13" s="227">
        <f>F12</f>
        <v/>
      </c>
      <c r="G13" s="227">
        <f>G12</f>
        <v/>
      </c>
      <c r="H13" s="227">
        <f>H12</f>
        <v/>
      </c>
      <c r="I13" s="227">
        <f>I12</f>
        <v/>
      </c>
      <c r="J13" s="227">
        <f>J12</f>
        <v/>
      </c>
    </row>
    <row r="14">
      <c r="B14" s="239" t="inlineStr">
        <is>
          <t>Всего по объекту в сопоставимом уровне цен 3 кв. 2017г:</t>
        </is>
      </c>
      <c r="C14" s="321" t="n"/>
      <c r="D14" s="321" t="n"/>
      <c r="E14" s="322" t="n"/>
      <c r="F14" s="227">
        <f>F13</f>
        <v/>
      </c>
      <c r="G14" s="227">
        <f>G13</f>
        <v/>
      </c>
      <c r="H14" s="227">
        <f>H13</f>
        <v/>
      </c>
      <c r="I14" s="227">
        <f>I13</f>
        <v/>
      </c>
      <c r="J14" s="227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2"/>
  <sheetViews>
    <sheetView view="pageBreakPreview" topLeftCell="A14" zoomScale="55" zoomScaleSheetLayoutView="55" workbookViewId="0">
      <selection activeCell="G66" sqref="G66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7" customWidth="1" style="220" min="8" max="8"/>
    <col hidden="1" width="9.140625" customWidth="1" style="220" min="9" max="10"/>
    <col hidden="1" width="15" customWidth="1" style="220" min="11" max="11"/>
    <col hidden="1" width="9.140625" customWidth="1" style="220" min="12" max="12"/>
    <col hidden="1" width="2.42578125" customWidth="1" style="220" min="13" max="13"/>
    <col width="9.140625" customWidth="1" style="220" min="14" max="14"/>
  </cols>
  <sheetData>
    <row r="2" s="194">
      <c r="A2" s="220" t="n"/>
      <c r="B2" s="220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194">
      <c r="A5" s="177" t="n"/>
      <c r="B5" s="177" t="n"/>
      <c r="C5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>
      <c r="A7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 кВА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194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194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85">
      <c r="A12" s="243" t="inlineStr">
        <is>
          <t>Затраты труда рабочих</t>
        </is>
      </c>
      <c r="B12" s="321" t="n"/>
      <c r="C12" s="321" t="n"/>
      <c r="D12" s="321" t="n"/>
      <c r="E12" s="322" t="n"/>
      <c r="F12" s="173">
        <f>SUM(F13:F19)</f>
        <v/>
      </c>
      <c r="G12" s="10" t="n"/>
      <c r="H12" s="173">
        <f>SUM(H13:H19)</f>
        <v/>
      </c>
    </row>
    <row r="13">
      <c r="A13" s="169" t="n">
        <v>1</v>
      </c>
      <c r="B13" s="155" t="n"/>
      <c r="C13" s="169" t="inlineStr">
        <is>
          <t>1-4-1</t>
        </is>
      </c>
      <c r="D13" s="170" t="inlineStr">
        <is>
          <t>Затраты труда рабочих (средний разряд работы 4,1)</t>
        </is>
      </c>
      <c r="E13" s="272" t="inlineStr">
        <is>
          <t>чел.-ч</t>
        </is>
      </c>
      <c r="F13" s="169" t="n">
        <v>26.89</v>
      </c>
      <c r="G13" s="175" t="n">
        <v>9.76</v>
      </c>
      <c r="H13" s="172">
        <f>ROUND(F13*G13,2)</f>
        <v/>
      </c>
      <c r="I13" s="220" t="n">
        <v>4.1</v>
      </c>
      <c r="J13" s="220">
        <f>I13*F13</f>
        <v/>
      </c>
    </row>
    <row r="14">
      <c r="A14" s="176" t="n">
        <v>2</v>
      </c>
      <c r="B14" s="155" t="n"/>
      <c r="C14" s="169" t="inlineStr">
        <is>
          <t>1-2-9</t>
        </is>
      </c>
      <c r="D14" s="170" t="inlineStr">
        <is>
          <t>Затраты труда рабочих (средний разряд работы 2,9)</t>
        </is>
      </c>
      <c r="E14" s="272" t="inlineStr">
        <is>
          <t>чел.-ч</t>
        </is>
      </c>
      <c r="F14" s="169" t="n">
        <v>11.79</v>
      </c>
      <c r="G14" s="175" t="n">
        <v>8.460000000000001</v>
      </c>
      <c r="H14" s="172">
        <f>ROUND(F14*G14,2)</f>
        <v/>
      </c>
      <c r="I14" s="220" t="n">
        <v>2.9</v>
      </c>
      <c r="J14" s="220">
        <f>I14*F14</f>
        <v/>
      </c>
    </row>
    <row r="15">
      <c r="A15" s="272" t="n">
        <v>3</v>
      </c>
      <c r="B15" s="155" t="n"/>
      <c r="C15" s="169" t="inlineStr">
        <is>
          <t>1-2-8</t>
        </is>
      </c>
      <c r="D15" s="170" t="inlineStr">
        <is>
          <t>Затраты труда рабочих (средний разряд работы 2,8)</t>
        </is>
      </c>
      <c r="E15" s="272" t="inlineStr">
        <is>
          <t>чел.-ч</t>
        </is>
      </c>
      <c r="F15" s="169" t="n">
        <v>9.07</v>
      </c>
      <c r="G15" s="175" t="n">
        <v>8.380000000000001</v>
      </c>
      <c r="H15" s="172">
        <f>ROUND(F15*G15,2)</f>
        <v/>
      </c>
      <c r="I15" s="220" t="n">
        <v>2.8</v>
      </c>
      <c r="J15" s="220">
        <f>I15*F15</f>
        <v/>
      </c>
    </row>
    <row r="16">
      <c r="A16" s="176" t="n">
        <v>4</v>
      </c>
      <c r="B16" s="155" t="n"/>
      <c r="C16" s="169" t="inlineStr">
        <is>
          <t>1-3-4</t>
        </is>
      </c>
      <c r="D16" s="170" t="inlineStr">
        <is>
          <t>Затраты труда рабочих (средний разряд работы 3,4)</t>
        </is>
      </c>
      <c r="E16" s="272" t="inlineStr">
        <is>
          <t>чел.-ч</t>
        </is>
      </c>
      <c r="F16" s="169" t="n">
        <v>4.02</v>
      </c>
      <c r="G16" s="175" t="n">
        <v>8.970000000000001</v>
      </c>
      <c r="H16" s="172">
        <f>ROUND(F16*G16,2)</f>
        <v/>
      </c>
      <c r="I16" s="220" t="n">
        <v>3.4</v>
      </c>
      <c r="J16" s="220">
        <f>I16*F16</f>
        <v/>
      </c>
    </row>
    <row r="17">
      <c r="A17" s="272" t="n">
        <v>5</v>
      </c>
      <c r="B17" s="155" t="n"/>
      <c r="C17" s="169" t="inlineStr">
        <is>
          <t>1-1-5</t>
        </is>
      </c>
      <c r="D17" s="170" t="inlineStr">
        <is>
          <t>Затраты труда рабочих (средний разряд работы 1,5)</t>
        </is>
      </c>
      <c r="E17" s="272" t="inlineStr">
        <is>
          <t>чел.-ч</t>
        </is>
      </c>
      <c r="F17" s="169" t="n">
        <v>4.67</v>
      </c>
      <c r="G17" s="175" t="n">
        <v>7.5</v>
      </c>
      <c r="H17" s="172">
        <f>ROUND(F17*G17,2)</f>
        <v/>
      </c>
      <c r="I17" s="220" t="n">
        <v>1.5</v>
      </c>
      <c r="J17" s="220">
        <f>I17*F17</f>
        <v/>
      </c>
    </row>
    <row r="18">
      <c r="A18" s="176" t="n">
        <v>6</v>
      </c>
      <c r="B18" s="155" t="n"/>
      <c r="C18" s="169" t="inlineStr">
        <is>
          <t>1-4-0</t>
        </is>
      </c>
      <c r="D18" s="170" t="inlineStr">
        <is>
          <t>Затраты труда рабочих (средний разряд работы 4)</t>
        </is>
      </c>
      <c r="E18" s="272" t="inlineStr">
        <is>
          <t>чел.-ч</t>
        </is>
      </c>
      <c r="F18" s="169" t="n">
        <v>1.32</v>
      </c>
      <c r="G18" s="175" t="n">
        <v>9.619999999999999</v>
      </c>
      <c r="H18" s="172">
        <f>ROUND(F18*G18,2)</f>
        <v/>
      </c>
      <c r="I18" s="220" t="n">
        <v>4</v>
      </c>
      <c r="J18" s="220">
        <f>I18*F18</f>
        <v/>
      </c>
    </row>
    <row r="19">
      <c r="A19" s="169" t="inlineStr">
        <is>
          <t>7</t>
        </is>
      </c>
      <c r="B19" s="155" t="n"/>
      <c r="C19" s="169" t="inlineStr">
        <is>
          <t>1-2-5</t>
        </is>
      </c>
      <c r="D19" s="170" t="inlineStr">
        <is>
          <t>Затраты труда рабочих (средний разряд работы 2,5)</t>
        </is>
      </c>
      <c r="E19" s="272" t="inlineStr">
        <is>
          <t>чел.-ч</t>
        </is>
      </c>
      <c r="F19" s="169" t="n">
        <v>0.26</v>
      </c>
      <c r="G19" s="175" t="n">
        <v>8.17</v>
      </c>
      <c r="H19" s="172">
        <f>ROUND(F19*G19,2)</f>
        <v/>
      </c>
      <c r="I19" s="220" t="n">
        <v>2.5</v>
      </c>
      <c r="J19" s="220">
        <f>I19*F19</f>
        <v/>
      </c>
    </row>
    <row r="20">
      <c r="A20" s="242" t="inlineStr">
        <is>
          <t>Затраты труда машинистов</t>
        </is>
      </c>
      <c r="B20" s="321" t="n"/>
      <c r="C20" s="321" t="n"/>
      <c r="D20" s="321" t="n"/>
      <c r="E20" s="322" t="n"/>
      <c r="F20" s="243" t="n"/>
      <c r="G20" s="153" t="n"/>
      <c r="H20" s="173">
        <f>H21</f>
        <v/>
      </c>
    </row>
    <row r="21">
      <c r="A21" s="272" t="n">
        <v>8</v>
      </c>
      <c r="B21" s="244" t="n"/>
      <c r="C21" s="169" t="n">
        <v>2</v>
      </c>
      <c r="D21" s="170" t="inlineStr">
        <is>
          <t>Затраты труда машинистов</t>
        </is>
      </c>
      <c r="E21" s="272" t="inlineStr">
        <is>
          <t>чел.-ч</t>
        </is>
      </c>
      <c r="F21" s="181" t="n">
        <v>9.25</v>
      </c>
      <c r="G21" s="172" t="n">
        <v>0</v>
      </c>
      <c r="H21" s="174" t="n">
        <v>111.36</v>
      </c>
      <c r="J21" s="220">
        <f>SUM(J13:J19)</f>
        <v/>
      </c>
    </row>
    <row r="22" customFormat="1" s="185">
      <c r="A22" s="243" t="inlineStr">
        <is>
          <t>Машины и механизмы</t>
        </is>
      </c>
      <c r="B22" s="321" t="n"/>
      <c r="C22" s="321" t="n"/>
      <c r="D22" s="321" t="n"/>
      <c r="E22" s="322" t="n"/>
      <c r="F22" s="243" t="n"/>
      <c r="G22" s="153" t="n"/>
      <c r="H22" s="173">
        <f>SUM(H23:H35)</f>
        <v/>
      </c>
    </row>
    <row r="23" ht="25.5" customHeight="1" s="194">
      <c r="A23" s="272" t="n">
        <v>9</v>
      </c>
      <c r="B23" s="244" t="n"/>
      <c r="C23" s="169" t="inlineStr">
        <is>
          <t>91.05.05-014</t>
        </is>
      </c>
      <c r="D23" s="170" t="inlineStr">
        <is>
          <t>Краны на автомобильном ходу, грузоподъемность 10 т</t>
        </is>
      </c>
      <c r="E23" s="272" t="inlineStr">
        <is>
          <t>маш.час</t>
        </is>
      </c>
      <c r="F23" s="272" t="n">
        <v>4.65</v>
      </c>
      <c r="G23" s="175" t="n">
        <v>111.99</v>
      </c>
      <c r="H23" s="172">
        <f>ROUND(F23*G23,2)</f>
        <v/>
      </c>
      <c r="I23" s="158">
        <f>H23/$H$22</f>
        <v/>
      </c>
      <c r="J23" s="178">
        <f>J21/F12</f>
        <v/>
      </c>
      <c r="L23" s="158">
        <f>H23/$H$22</f>
        <v/>
      </c>
    </row>
    <row r="24" ht="38.25" customHeight="1" s="194">
      <c r="A24" s="272" t="n">
        <v>10</v>
      </c>
      <c r="B24" s="244" t="n"/>
      <c r="C24" s="169" t="inlineStr">
        <is>
          <t>91.18.01-007</t>
        </is>
      </c>
      <c r="D24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272" t="inlineStr">
        <is>
          <t>маш.час</t>
        </is>
      </c>
      <c r="F24" s="272" t="n">
        <v>3.1</v>
      </c>
      <c r="G24" s="175" t="n">
        <v>90</v>
      </c>
      <c r="H24" s="172">
        <f>ROUND(F24*G24,2)</f>
        <v/>
      </c>
      <c r="I24" s="158" t="n"/>
      <c r="J24" s="178" t="n"/>
      <c r="L24" s="158" t="n"/>
    </row>
    <row r="25" ht="51" customHeight="1" s="194">
      <c r="A25" s="272" t="n">
        <v>11</v>
      </c>
      <c r="B25" s="244" t="n"/>
      <c r="C25" s="169" t="inlineStr">
        <is>
          <t>91.21.22-195</t>
        </is>
      </c>
      <c r="D25" s="170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5" s="272" t="inlineStr">
        <is>
          <t>маш.час</t>
        </is>
      </c>
      <c r="F25" s="272" t="n">
        <v>3.05</v>
      </c>
      <c r="G25" s="175" t="n">
        <v>91.13</v>
      </c>
      <c r="H25" s="172">
        <f>ROUND(F25*G25,2)</f>
        <v/>
      </c>
      <c r="I25" s="158" t="n"/>
      <c r="J25" s="178" t="n"/>
      <c r="L25" s="158" t="n"/>
    </row>
    <row r="26" ht="25.5" customHeight="1" s="194">
      <c r="A26" s="272" t="n">
        <v>12</v>
      </c>
      <c r="B26" s="244" t="n"/>
      <c r="C26" s="169" t="inlineStr">
        <is>
          <t>91.04.01-031</t>
        </is>
      </c>
      <c r="D26" s="170" t="inlineStr">
        <is>
          <t>Машины бурильно-крановые: на автомобиле, глубина бурения 3,5 м</t>
        </is>
      </c>
      <c r="E26" s="272" t="inlineStr">
        <is>
          <t>маш.час</t>
        </is>
      </c>
      <c r="F26" s="272" t="n">
        <v>1.04</v>
      </c>
      <c r="G26" s="175" t="n">
        <v>138.54</v>
      </c>
      <c r="H26" s="172">
        <f>ROUND(F26*G26,2)</f>
        <v/>
      </c>
      <c r="I26" s="158" t="n"/>
      <c r="J26" s="178" t="n"/>
      <c r="L26" s="158" t="n"/>
    </row>
    <row r="27" ht="25.5" customHeight="1" s="194">
      <c r="A27" s="272" t="n">
        <v>13</v>
      </c>
      <c r="B27" s="244" t="n"/>
      <c r="C27" s="169" t="inlineStr">
        <is>
          <t>91.17.04-036</t>
        </is>
      </c>
      <c r="D27" s="170" t="inlineStr">
        <is>
          <t>Агрегаты сварочные передвижные с дизельным двигателем, номинальный сварочный ток 250-400 А</t>
        </is>
      </c>
      <c r="E27" s="272" t="inlineStr">
        <is>
          <t>маш.час</t>
        </is>
      </c>
      <c r="F27" s="272" t="n">
        <v>3.1</v>
      </c>
      <c r="G27" s="175" t="n">
        <v>14</v>
      </c>
      <c r="H27" s="172">
        <f>ROUND(F27*G27,2)</f>
        <v/>
      </c>
      <c r="I27" s="158" t="n"/>
      <c r="J27" s="178" t="n"/>
      <c r="L27" s="158" t="n"/>
    </row>
    <row r="28">
      <c r="A28" s="272" t="n">
        <v>14</v>
      </c>
      <c r="B28" s="244" t="n"/>
      <c r="C28" s="169" t="inlineStr">
        <is>
          <t>91.14.02-001</t>
        </is>
      </c>
      <c r="D28" s="170" t="inlineStr">
        <is>
          <t>Автомобили бортовые, грузоподъемность: до 5 т</t>
        </is>
      </c>
      <c r="E28" s="272" t="inlineStr">
        <is>
          <t>маш.час</t>
        </is>
      </c>
      <c r="F28" s="272" t="n">
        <v>0.43</v>
      </c>
      <c r="G28" s="175" t="n">
        <v>65.70999999999999</v>
      </c>
      <c r="H28" s="172">
        <f>ROUND(F28*G28,2)</f>
        <v/>
      </c>
      <c r="I28" s="158" t="n"/>
      <c r="J28" s="178" t="n"/>
      <c r="L28" s="158" t="n"/>
    </row>
    <row r="29" ht="25.5" customHeight="1" s="194">
      <c r="A29" s="272" t="n">
        <v>15</v>
      </c>
      <c r="B29" s="244" t="n"/>
      <c r="C29" s="169" t="inlineStr">
        <is>
          <t>91.17.04-233</t>
        </is>
      </c>
      <c r="D29" s="170" t="inlineStr">
        <is>
          <t>Установки для сварки: ручной дуговой (постоянного тока)</t>
        </is>
      </c>
      <c r="E29" s="272" t="inlineStr">
        <is>
          <t>маш.час</t>
        </is>
      </c>
      <c r="F29" s="272" t="n">
        <v>0.33</v>
      </c>
      <c r="G29" s="175" t="n">
        <v>8.1</v>
      </c>
      <c r="H29" s="172">
        <f>ROUND(F29*G29,2)</f>
        <v/>
      </c>
      <c r="I29" s="158" t="n"/>
      <c r="J29" s="178" t="n"/>
      <c r="L29" s="158" t="n"/>
    </row>
    <row r="30" ht="25.5" customHeight="1" s="194">
      <c r="A30" s="272" t="n">
        <v>16</v>
      </c>
      <c r="B30" s="244" t="n"/>
      <c r="C30" s="169" t="inlineStr">
        <is>
          <t>91.06.05-057</t>
        </is>
      </c>
      <c r="D30" s="170" t="inlineStr">
        <is>
          <t>Погрузчики одноковшовые универсальные фронтальные пневмоколесные, грузоподъемность 3 т</t>
        </is>
      </c>
      <c r="E30" s="272" t="inlineStr">
        <is>
          <t>маш.час</t>
        </is>
      </c>
      <c r="F30" s="272" t="n">
        <v>0.01</v>
      </c>
      <c r="G30" s="175" t="n">
        <v>90.40000000000001</v>
      </c>
      <c r="H30" s="172">
        <f>ROUND(F30*G30,2)</f>
        <v/>
      </c>
      <c r="I30" s="158" t="n"/>
      <c r="J30" s="178" t="n"/>
      <c r="L30" s="158" t="n"/>
    </row>
    <row r="31">
      <c r="A31" s="272" t="n">
        <v>17</v>
      </c>
      <c r="B31" s="244" t="n"/>
      <c r="C31" s="169" t="inlineStr">
        <is>
          <t>91.14.02-002</t>
        </is>
      </c>
      <c r="D31" s="170" t="inlineStr">
        <is>
          <t>Автомобили бортовые, грузоподъемность: до 8 т</t>
        </is>
      </c>
      <c r="E31" s="272" t="inlineStr">
        <is>
          <t>маш.час</t>
        </is>
      </c>
      <c r="F31" s="272" t="n">
        <v>0.01</v>
      </c>
      <c r="G31" s="175" t="n">
        <v>85.84</v>
      </c>
      <c r="H31" s="172">
        <f>ROUND(F31*G31,2)</f>
        <v/>
      </c>
      <c r="I31" s="158" t="n"/>
      <c r="J31" s="178" t="n"/>
      <c r="L31" s="158" t="n"/>
    </row>
    <row r="32">
      <c r="A32" s="272" t="n">
        <v>18</v>
      </c>
      <c r="B32" s="244" t="n"/>
      <c r="C32" s="169" t="inlineStr">
        <is>
          <t>91.21.16-001</t>
        </is>
      </c>
      <c r="D32" s="170" t="inlineStr">
        <is>
          <t>Пресс-ножницы комбинированные</t>
        </is>
      </c>
      <c r="E32" s="272" t="inlineStr">
        <is>
          <t>маш.час</t>
        </is>
      </c>
      <c r="F32" s="272" t="n">
        <v>0.01</v>
      </c>
      <c r="G32" s="175" t="n">
        <v>15.4</v>
      </c>
      <c r="H32" s="172">
        <f>ROUND(F32*G32,2)</f>
        <v/>
      </c>
      <c r="I32" s="158" t="n"/>
      <c r="J32" s="178" t="n"/>
      <c r="L32" s="158" t="n"/>
    </row>
    <row r="33" ht="25.5" customHeight="1" s="194">
      <c r="A33" s="272" t="n">
        <v>19</v>
      </c>
      <c r="B33" s="244" t="n"/>
      <c r="C33" s="169" t="inlineStr">
        <is>
          <t>91.06.03-062</t>
        </is>
      </c>
      <c r="D33" s="170" t="inlineStr">
        <is>
          <t>Лебедки электрические тяговым усилием: до 31,39 кН (3,2 т)</t>
        </is>
      </c>
      <c r="E33" s="272" t="inlineStr">
        <is>
          <t>маш.час</t>
        </is>
      </c>
      <c r="F33" s="272" t="n">
        <v>0.02</v>
      </c>
      <c r="G33" s="175" t="n">
        <v>6.9</v>
      </c>
      <c r="H33" s="172">
        <f>ROUND(F33*G33,2)</f>
        <v/>
      </c>
      <c r="I33" s="158" t="n"/>
      <c r="J33" s="178" t="n"/>
      <c r="L33" s="158" t="n"/>
    </row>
    <row r="34" ht="25.5" customFormat="1" customHeight="1" s="185">
      <c r="A34" s="272" t="n">
        <v>20</v>
      </c>
      <c r="B34" s="244" t="n"/>
      <c r="C34" s="169" t="inlineStr">
        <is>
          <t>91.08.09-023</t>
        </is>
      </c>
      <c r="D34" s="170" t="inlineStr">
        <is>
          <t>Трамбовки пневматические при работе от: передвижных компрессорных станций</t>
        </is>
      </c>
      <c r="E34" s="272" t="inlineStr">
        <is>
          <t>маш.час</t>
        </is>
      </c>
      <c r="F34" s="272" t="n">
        <v>0.1</v>
      </c>
      <c r="G34" s="175" t="n">
        <v>0.55</v>
      </c>
      <c r="H34" s="172">
        <f>ROUND(F34*G34,2)</f>
        <v/>
      </c>
      <c r="I34" s="158">
        <f>H34/$H$22</f>
        <v/>
      </c>
      <c r="L34" s="158">
        <f>H34/$H$22</f>
        <v/>
      </c>
    </row>
    <row r="35">
      <c r="A35" s="272" t="n">
        <v>21</v>
      </c>
      <c r="B35" s="244" t="n"/>
      <c r="C35" s="169" t="inlineStr">
        <is>
          <t>91.17.04-042</t>
        </is>
      </c>
      <c r="D35" s="170" t="inlineStr">
        <is>
          <t>Аппарат для газовой сварки и резки</t>
        </is>
      </c>
      <c r="E35" s="272" t="inlineStr">
        <is>
          <t>маш.час</t>
        </is>
      </c>
      <c r="F35" s="272" t="n">
        <v>0.01</v>
      </c>
      <c r="G35" s="175" t="n">
        <v>1.2</v>
      </c>
      <c r="H35" s="172">
        <f>ROUND(F35*G35,2)</f>
        <v/>
      </c>
      <c r="I35" s="158">
        <f>H35/$H$22</f>
        <v/>
      </c>
      <c r="L35" s="158" t="n"/>
    </row>
    <row r="36" ht="15" customHeight="1" s="194">
      <c r="A36" s="242" t="inlineStr">
        <is>
          <t>Оборудование</t>
        </is>
      </c>
      <c r="B36" s="321" t="n"/>
      <c r="C36" s="321" t="n"/>
      <c r="D36" s="321" t="n"/>
      <c r="E36" s="322" t="n"/>
      <c r="F36" s="10" t="n"/>
      <c r="G36" s="10" t="n"/>
      <c r="H36" s="173">
        <f>SUM(H37:H37)</f>
        <v/>
      </c>
    </row>
    <row r="37" ht="25.5" customHeight="1" s="194">
      <c r="A37" s="176" t="n">
        <v>22</v>
      </c>
      <c r="B37" s="242" t="n"/>
      <c r="C37" s="169" t="inlineStr">
        <is>
          <t>Прайс из СД ОП</t>
        </is>
      </c>
      <c r="D37" s="170" t="inlineStr">
        <is>
          <t>КТП-(КК)-25 10/0,4-УХЛ1 ( в комплекте трансформатор силовой ТМГ-25/10/0,4-11УХЛ1 - 1 шт.)</t>
        </is>
      </c>
      <c r="E37" s="272" t="inlineStr">
        <is>
          <t>шт</t>
        </is>
      </c>
      <c r="F37" s="272" t="n">
        <v>1</v>
      </c>
      <c r="G37" s="172" t="n">
        <v>135782.75</v>
      </c>
      <c r="H37" s="172">
        <f>G37*F37</f>
        <v/>
      </c>
      <c r="I37" s="179">
        <f>H37/H36</f>
        <v/>
      </c>
      <c r="K37" t="n">
        <v>5842962.7438</v>
      </c>
    </row>
    <row r="38">
      <c r="A38" s="243" t="inlineStr">
        <is>
          <t>Материалы</t>
        </is>
      </c>
      <c r="B38" s="321" t="n"/>
      <c r="C38" s="321" t="n"/>
      <c r="D38" s="321" t="n"/>
      <c r="E38" s="322" t="n"/>
      <c r="F38" s="243" t="n"/>
      <c r="G38" s="153" t="n"/>
      <c r="H38" s="173">
        <f>SUM(H39:H55)</f>
        <v/>
      </c>
    </row>
    <row r="39">
      <c r="A39" s="176" t="n">
        <v>23</v>
      </c>
      <c r="B39" s="244" t="n"/>
      <c r="C39" s="169" t="inlineStr">
        <is>
          <t>01.7.15.03-0042</t>
        </is>
      </c>
      <c r="D39" s="170" t="inlineStr">
        <is>
          <t>Болты с гайками и шайбами строительные</t>
        </is>
      </c>
      <c r="E39" s="272" t="inlineStr">
        <is>
          <t>кг</t>
        </is>
      </c>
      <c r="F39" s="272" t="n">
        <v>35.094</v>
      </c>
      <c r="G39" s="172" t="n">
        <v>9.039999999999999</v>
      </c>
      <c r="H39" s="172">
        <f>ROUND(F39*G39,2)</f>
        <v/>
      </c>
      <c r="I39" s="179">
        <f>H39/$H$38</f>
        <v/>
      </c>
      <c r="K39" s="158">
        <f>H39/$H$38</f>
        <v/>
      </c>
    </row>
    <row r="40" ht="25.5" customHeight="1" s="194">
      <c r="A40" s="176" t="n">
        <v>24</v>
      </c>
      <c r="B40" s="244" t="n"/>
      <c r="C40" s="169" t="inlineStr">
        <is>
          <t>08.3.04.02-0096</t>
        </is>
      </c>
      <c r="D40" s="170" t="inlineStr">
        <is>
          <t>Сталь круглая углеродистая обыкновенного качества марки ВСт3пс5-1 диаметром 18 мм</t>
        </is>
      </c>
      <c r="E40" s="272" t="inlineStr">
        <is>
          <t>т</t>
        </is>
      </c>
      <c r="F40" s="272" t="n">
        <v>0.052</v>
      </c>
      <c r="G40" s="172" t="n">
        <v>5230.01</v>
      </c>
      <c r="H40" s="172">
        <f>ROUND(F40*G40,2)</f>
        <v/>
      </c>
      <c r="I40" s="179">
        <f>H40/$H$38</f>
        <v/>
      </c>
      <c r="K40" s="158">
        <f>H40/$H$38</f>
        <v/>
      </c>
    </row>
    <row r="41" ht="25.5" customHeight="1" s="194">
      <c r="A41" s="176" t="n">
        <v>25</v>
      </c>
      <c r="B41" s="244" t="n"/>
      <c r="C41" s="169" t="inlineStr">
        <is>
          <t>08.3.04.02-0093</t>
        </is>
      </c>
      <c r="D41" s="170" t="inlineStr">
        <is>
          <t>Сталь круглая углеродистая обыкновенного качества марки ВСт3пс5-1 диаметром 12 мм</t>
        </is>
      </c>
      <c r="E41" s="272" t="inlineStr">
        <is>
          <t>т</t>
        </is>
      </c>
      <c r="F41" s="272" t="n">
        <v>0.03827</v>
      </c>
      <c r="G41" s="172" t="n">
        <v>5230.01</v>
      </c>
      <c r="H41" s="172">
        <f>ROUND(F41*G41,2)</f>
        <v/>
      </c>
      <c r="I41" s="179">
        <f>H41/$H$38</f>
        <v/>
      </c>
      <c r="K41" s="158">
        <f>H41/$H$38</f>
        <v/>
      </c>
    </row>
    <row r="42" ht="25.5" customHeight="1" s="194">
      <c r="A42" s="176" t="n">
        <v>26</v>
      </c>
      <c r="B42" s="244" t="n"/>
      <c r="C42" s="169" t="inlineStr">
        <is>
          <t>08.4.03.02-0004</t>
        </is>
      </c>
      <c r="D42" s="170" t="inlineStr">
        <is>
          <t>Горячекатаная арматурная сталь гладкая класса А-I, диаметром: 12 мм</t>
        </is>
      </c>
      <c r="E42" s="272" t="inlineStr">
        <is>
          <t>т</t>
        </is>
      </c>
      <c r="F42" s="272" t="n">
        <v>0.025</v>
      </c>
      <c r="G42" s="172" t="n">
        <v>6508.75</v>
      </c>
      <c r="H42" s="172">
        <f>ROUND(F42*G42,2)</f>
        <v/>
      </c>
      <c r="I42" s="179">
        <f>H42/$H$38</f>
        <v/>
      </c>
    </row>
    <row r="43" ht="25.5" customHeight="1" s="194">
      <c r="A43" s="176" t="n">
        <v>27</v>
      </c>
      <c r="B43" s="244" t="n"/>
      <c r="C43" s="169" t="inlineStr">
        <is>
          <t>08.3.08.02-0064</t>
        </is>
      </c>
      <c r="D43" s="170" t="inlineStr">
        <is>
          <t>Сталь угловая равнополочная, марка стали Ст3пс, размером 70х70 мм</t>
        </is>
      </c>
      <c r="E43" s="272" t="inlineStr">
        <is>
          <t>т</t>
        </is>
      </c>
      <c r="F43" s="272" t="n">
        <v>0.01101</v>
      </c>
      <c r="G43" s="172" t="n">
        <v>6630.54</v>
      </c>
      <c r="H43" s="172">
        <f>ROUND(F43*G43,2)</f>
        <v/>
      </c>
      <c r="I43" s="179">
        <f>H43/$H$38</f>
        <v/>
      </c>
    </row>
    <row r="44">
      <c r="A44" s="176" t="n">
        <v>28</v>
      </c>
      <c r="B44" s="244" t="n"/>
      <c r="C44" s="169" t="inlineStr">
        <is>
          <t>02.2.04.03-0003</t>
        </is>
      </c>
      <c r="D44" s="170" t="inlineStr">
        <is>
          <t>Смесь песчано-гравийная природная</t>
        </is>
      </c>
      <c r="E44" s="272" t="inlineStr">
        <is>
          <t>м3</t>
        </is>
      </c>
      <c r="F44" s="272" t="n">
        <v>1.1</v>
      </c>
      <c r="G44" s="172" t="n">
        <v>60</v>
      </c>
      <c r="H44" s="172">
        <f>ROUND(F44*G44,2)</f>
        <v/>
      </c>
      <c r="I44" s="179" t="n"/>
    </row>
    <row r="45">
      <c r="A45" s="176" t="n">
        <v>29</v>
      </c>
      <c r="B45" s="244" t="n"/>
      <c r="C45" s="169" t="inlineStr">
        <is>
          <t>02.2.01.05-0012</t>
        </is>
      </c>
      <c r="D45" s="170" t="inlineStr">
        <is>
          <t>Гравий шунгизитовый, фракция 20-40 мм</t>
        </is>
      </c>
      <c r="E45" s="272" t="inlineStr">
        <is>
          <t>м3</t>
        </is>
      </c>
      <c r="F45" s="272" t="n">
        <v>0.11</v>
      </c>
      <c r="G45" s="172" t="n">
        <v>177.6</v>
      </c>
      <c r="H45" s="172">
        <f>ROUND(F45*G45,2)</f>
        <v/>
      </c>
      <c r="I45" s="179" t="n"/>
    </row>
    <row r="46" ht="25.5" customHeight="1" s="194">
      <c r="A46" s="176" t="n">
        <v>30</v>
      </c>
      <c r="B46" s="244" t="n"/>
      <c r="C46" s="169" t="inlineStr">
        <is>
          <t>08.3.07.01-0076</t>
        </is>
      </c>
      <c r="D46" s="170" t="inlineStr">
        <is>
          <t>Сталь полосовая, марка стали Ст3сп шириной 50-200 мм толщиной 4-5 мм</t>
        </is>
      </c>
      <c r="E46" s="272" t="inlineStr">
        <is>
          <t>т</t>
        </is>
      </c>
      <c r="F46" s="272" t="n">
        <v>0.00301</v>
      </c>
      <c r="G46" s="172" t="n">
        <v>5000</v>
      </c>
      <c r="H46" s="172">
        <f>ROUND(F46*G46,2)</f>
        <v/>
      </c>
      <c r="I46" s="179" t="n"/>
    </row>
    <row r="47" ht="25.5" customHeight="1" s="194">
      <c r="A47" s="176" t="n">
        <v>31</v>
      </c>
      <c r="B47" s="244" t="n"/>
      <c r="C47" s="169" t="inlineStr">
        <is>
          <t>08.3.04.02-0095</t>
        </is>
      </c>
      <c r="D47" s="170" t="inlineStr">
        <is>
          <t>Сталь круглая углеродистая обыкновенного качества марки ВСт3пс5-1 диаметром 16 мм</t>
        </is>
      </c>
      <c r="E47" s="272" t="inlineStr">
        <is>
          <t>т</t>
        </is>
      </c>
      <c r="F47" s="272" t="n">
        <v>0.00282</v>
      </c>
      <c r="G47" s="172" t="n">
        <v>5230.01</v>
      </c>
      <c r="H47" s="172">
        <f>ROUND(F47*G47,2)</f>
        <v/>
      </c>
      <c r="I47" s="179" t="n"/>
    </row>
    <row r="48">
      <c r="A48" s="176" t="n">
        <v>32</v>
      </c>
      <c r="B48" s="244" t="n"/>
      <c r="C48" s="169" t="inlineStr">
        <is>
          <t>01.7.11.07-0032</t>
        </is>
      </c>
      <c r="D48" s="170" t="inlineStr">
        <is>
          <t>Электроды диаметром: 4 мм Э42</t>
        </is>
      </c>
      <c r="E48" s="272" t="inlineStr">
        <is>
          <t>т</t>
        </is>
      </c>
      <c r="F48" s="272" t="n">
        <v>0.0007</v>
      </c>
      <c r="G48" s="172" t="n">
        <v>10315.01</v>
      </c>
      <c r="H48" s="172">
        <f>ROUND(F48*G48,2)</f>
        <v/>
      </c>
      <c r="I48" s="179" t="n"/>
    </row>
    <row r="49">
      <c r="A49" s="176" t="n">
        <v>33</v>
      </c>
      <c r="B49" s="244" t="n"/>
      <c r="C49" s="169" t="inlineStr">
        <is>
          <t>01.7.11.07-0044</t>
        </is>
      </c>
      <c r="D49" s="170" t="inlineStr">
        <is>
          <t>Электроды диаметром: 5 мм Э42</t>
        </is>
      </c>
      <c r="E49" s="272" t="inlineStr">
        <is>
          <t>т</t>
        </is>
      </c>
      <c r="F49" s="272" t="n">
        <v>0.0002</v>
      </c>
      <c r="G49" s="172" t="n">
        <v>9765</v>
      </c>
      <c r="H49" s="172">
        <f>ROUND(F49*G49,2)</f>
        <v/>
      </c>
      <c r="I49" s="179" t="n"/>
    </row>
    <row r="50">
      <c r="A50" s="176" t="n">
        <v>34</v>
      </c>
      <c r="B50" s="244" t="n"/>
      <c r="C50" s="169" t="inlineStr">
        <is>
          <t>01.3.01.06-0046</t>
        </is>
      </c>
      <c r="D50" s="170" t="inlineStr">
        <is>
          <t>Смазка солидол жировой марки «Ж»</t>
        </is>
      </c>
      <c r="E50" s="272" t="inlineStr">
        <is>
          <t>т</t>
        </is>
      </c>
      <c r="F50" s="272" t="n">
        <v>0.0001</v>
      </c>
      <c r="G50" s="172" t="n">
        <v>9661.5</v>
      </c>
      <c r="H50" s="172">
        <f>ROUND(F50*G50,2)</f>
        <v/>
      </c>
      <c r="I50" s="179" t="n"/>
    </row>
    <row r="51">
      <c r="A51" s="176" t="n">
        <v>35</v>
      </c>
      <c r="B51" s="244" t="n"/>
      <c r="C51" s="169" t="inlineStr">
        <is>
          <t>14.4.03.03-0102</t>
        </is>
      </c>
      <c r="D51" s="170" t="inlineStr">
        <is>
          <t>Лак БТ-577</t>
        </is>
      </c>
      <c r="E51" s="272" t="inlineStr">
        <is>
          <t>т</t>
        </is>
      </c>
      <c r="F51" s="272" t="n">
        <v>0.0001</v>
      </c>
      <c r="G51" s="172" t="n">
        <v>9550.01</v>
      </c>
      <c r="H51" s="172">
        <f>ROUND(F51*G51,2)</f>
        <v/>
      </c>
      <c r="I51" s="179">
        <f>H51/$H$38</f>
        <v/>
      </c>
    </row>
    <row r="52">
      <c r="A52" s="176" t="n">
        <v>36</v>
      </c>
      <c r="B52" s="244" t="n"/>
      <c r="C52" s="169" t="inlineStr">
        <is>
          <t>01.3.02.08-0001</t>
        </is>
      </c>
      <c r="D52" s="170" t="inlineStr">
        <is>
          <t>Кислород технический: газообразный</t>
        </is>
      </c>
      <c r="E52" s="272" t="inlineStr">
        <is>
          <t>м3</t>
        </is>
      </c>
      <c r="F52" s="272" t="n">
        <v>0.0286</v>
      </c>
      <c r="G52" s="172" t="n">
        <v>6.22</v>
      </c>
      <c r="H52" s="172">
        <f>ROUND(F52*G52,2)</f>
        <v/>
      </c>
      <c r="I52" s="179">
        <f>H52/$H$38</f>
        <v/>
      </c>
    </row>
    <row r="53">
      <c r="A53" s="176" t="n">
        <v>37</v>
      </c>
      <c r="B53" s="244" t="n"/>
      <c r="C53" s="169" t="inlineStr">
        <is>
          <t>01.7.20.08-0051</t>
        </is>
      </c>
      <c r="D53" s="170" t="inlineStr">
        <is>
          <t>Ветошь</t>
        </is>
      </c>
      <c r="E53" s="272" t="inlineStr">
        <is>
          <t>кг</t>
        </is>
      </c>
      <c r="F53" s="272" t="n">
        <v>0.02</v>
      </c>
      <c r="G53" s="172" t="n">
        <v>1.82</v>
      </c>
      <c r="H53" s="172">
        <f>ROUND(F53*G53,2)</f>
        <v/>
      </c>
      <c r="I53" s="179">
        <f>H53/$H$38</f>
        <v/>
      </c>
    </row>
    <row r="54">
      <c r="A54" s="176" t="n">
        <v>38</v>
      </c>
      <c r="B54" s="244" t="n"/>
      <c r="C54" s="169" t="inlineStr">
        <is>
          <t>01.7.03.01-0001</t>
        </is>
      </c>
      <c r="D54" s="170" t="inlineStr">
        <is>
          <t>Вода</t>
        </is>
      </c>
      <c r="E54" s="272" t="inlineStr">
        <is>
          <t>м3</t>
        </is>
      </c>
      <c r="F54" s="272" t="n">
        <v>0.0165</v>
      </c>
      <c r="G54" s="172" t="n">
        <v>2.44</v>
      </c>
      <c r="H54" s="172">
        <f>ROUND(F54*G54,2)</f>
        <v/>
      </c>
      <c r="I54" s="179">
        <f>H54/$H$38</f>
        <v/>
      </c>
    </row>
    <row r="55">
      <c r="A55" s="176" t="n">
        <v>39</v>
      </c>
      <c r="B55" s="244" t="n"/>
      <c r="C55" s="169" t="inlineStr">
        <is>
          <t>01.3.02.09-0022</t>
        </is>
      </c>
      <c r="D55" s="170" t="inlineStr">
        <is>
          <t>Пропан-бутан, смесь техническая</t>
        </is>
      </c>
      <c r="E55" s="272" t="inlineStr">
        <is>
          <t>кг</t>
        </is>
      </c>
      <c r="F55" s="272" t="n">
        <v>0.0055</v>
      </c>
      <c r="G55" s="172" t="n">
        <v>6.09</v>
      </c>
      <c r="H55" s="172">
        <f>ROUND(F55*G55,2)</f>
        <v/>
      </c>
      <c r="I55" s="179">
        <f>H55/$H$38</f>
        <v/>
      </c>
    </row>
    <row r="58">
      <c r="B58" s="220" t="inlineStr">
        <is>
          <t>Составил ______________________     Е. М. Добровольская</t>
        </is>
      </c>
    </row>
    <row r="59">
      <c r="B59" s="141" t="inlineStr">
        <is>
          <t xml:space="preserve">                         (подпись, инициалы, фамилия)</t>
        </is>
      </c>
    </row>
    <row r="61">
      <c r="B61" s="220" t="inlineStr">
        <is>
          <t>Проверил ______________________        А.В. Костянецкая</t>
        </is>
      </c>
    </row>
    <row r="62">
      <c r="B62" s="14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A38:E38"/>
    <mergeCell ref="A7:H7"/>
    <mergeCell ref="A9:A10"/>
    <mergeCell ref="D9:D10"/>
    <mergeCell ref="E9:E10"/>
    <mergeCell ref="F9:F10"/>
    <mergeCell ref="C5:H5"/>
    <mergeCell ref="A36:E36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6" sqref="E46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8" t="inlineStr">
        <is>
          <t>Ресурсная модель</t>
        </is>
      </c>
    </row>
    <row r="6">
      <c r="B6" s="166" t="n"/>
      <c r="C6" s="190" t="n"/>
      <c r="D6" s="190" t="n"/>
      <c r="E6" s="190" t="n"/>
    </row>
    <row r="7" ht="25.5" customHeight="1" s="194">
      <c r="B7" s="24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 кВА</t>
        </is>
      </c>
    </row>
    <row r="8">
      <c r="B8" s="248" t="inlineStr">
        <is>
          <t>Единица измерения  — 1 единица</t>
        </is>
      </c>
    </row>
    <row r="9">
      <c r="B9" s="166" t="n"/>
      <c r="C9" s="190" t="n"/>
      <c r="D9" s="190" t="n"/>
      <c r="E9" s="190" t="n"/>
    </row>
    <row r="10" ht="51" customHeight="1" s="194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0">
        <f>'Прил.5 Расчет СМР и ОБ'!J14</f>
        <v/>
      </c>
      <c r="D11" s="161">
        <f>C11/$C$24</f>
        <v/>
      </c>
      <c r="E11" s="161">
        <f>C11/$C$40</f>
        <v/>
      </c>
    </row>
    <row r="12">
      <c r="B12" s="99" t="inlineStr">
        <is>
          <t>Эксплуатация машин основных</t>
        </is>
      </c>
      <c r="C12" s="160">
        <f>'Прил.5 Расчет СМР и ОБ'!J23</f>
        <v/>
      </c>
      <c r="D12" s="161">
        <f>C12/$C$24</f>
        <v/>
      </c>
      <c r="E12" s="161">
        <f>C12/$C$40</f>
        <v/>
      </c>
    </row>
    <row r="13">
      <c r="B13" s="99" t="inlineStr">
        <is>
          <t>Эксплуатация машин прочих</t>
        </is>
      </c>
      <c r="C13" s="160">
        <f>'Прил.5 Расчет СМР и ОБ'!J33</f>
        <v/>
      </c>
      <c r="D13" s="161">
        <f>C13/$C$24</f>
        <v/>
      </c>
      <c r="E13" s="161">
        <f>C13/$C$40</f>
        <v/>
      </c>
    </row>
    <row r="14">
      <c r="B14" s="99" t="inlineStr">
        <is>
          <t>ЭКСПЛУАТАЦИЯ МАШИН, ВСЕГО:</t>
        </is>
      </c>
      <c r="C14" s="160">
        <f>C13+C12</f>
        <v/>
      </c>
      <c r="D14" s="161">
        <f>C14/$C$24</f>
        <v/>
      </c>
      <c r="E14" s="161">
        <f>C14/$C$40</f>
        <v/>
      </c>
    </row>
    <row r="15">
      <c r="B15" s="99" t="inlineStr">
        <is>
          <t>в том числе зарплата машинистов</t>
        </is>
      </c>
      <c r="C15" s="160">
        <f>'Прил.5 Расчет СМР и ОБ'!J16</f>
        <v/>
      </c>
      <c r="D15" s="161">
        <f>C15/$C$24</f>
        <v/>
      </c>
      <c r="E15" s="161">
        <f>C15/$C$40</f>
        <v/>
      </c>
    </row>
    <row r="16">
      <c r="B16" s="99" t="inlineStr">
        <is>
          <t>Материалы основные</t>
        </is>
      </c>
      <c r="C16" s="160">
        <f>'Прил.5 Расчет СМР и ОБ'!J49</f>
        <v/>
      </c>
      <c r="D16" s="161">
        <f>C16/$C$24</f>
        <v/>
      </c>
      <c r="E16" s="161">
        <f>C16/$C$40</f>
        <v/>
      </c>
    </row>
    <row r="17">
      <c r="B17" s="99" t="inlineStr">
        <is>
          <t>Материалы прочие</t>
        </is>
      </c>
      <c r="C17" s="160">
        <f>'Прил.5 Расчет СМР и ОБ'!J62</f>
        <v/>
      </c>
      <c r="D17" s="161">
        <f>C17/$C$24</f>
        <v/>
      </c>
      <c r="E17" s="161">
        <f>C17/$C$40</f>
        <v/>
      </c>
      <c r="G17" s="165" t="n"/>
    </row>
    <row r="18">
      <c r="B18" s="99" t="inlineStr">
        <is>
          <t>МАТЕРИАЛЫ, ВСЕГО:</t>
        </is>
      </c>
      <c r="C18" s="160">
        <f>C17+C16</f>
        <v/>
      </c>
      <c r="D18" s="161">
        <f>C18/$C$24</f>
        <v/>
      </c>
      <c r="E18" s="161">
        <f>C18/$C$40</f>
        <v/>
      </c>
    </row>
    <row r="19">
      <c r="B19" s="99" t="inlineStr">
        <is>
          <t>ИТОГО</t>
        </is>
      </c>
      <c r="C19" s="160">
        <f>C18+C14+C11</f>
        <v/>
      </c>
      <c r="D19" s="161" t="n"/>
      <c r="E19" s="99" t="n"/>
    </row>
    <row r="20">
      <c r="B20" s="99" t="inlineStr">
        <is>
          <t>Сметная прибыль, руб.</t>
        </is>
      </c>
      <c r="C20" s="160">
        <f>ROUND(C21*(C11+C15),2)</f>
        <v/>
      </c>
      <c r="D20" s="161">
        <f>C20/$C$24</f>
        <v/>
      </c>
      <c r="E20" s="161">
        <f>C20/$C$40</f>
        <v/>
      </c>
    </row>
    <row r="21">
      <c r="B21" s="99" t="inlineStr">
        <is>
          <t>Сметная прибыль, %</t>
        </is>
      </c>
      <c r="C21" s="164">
        <f>'Прил.5 Расчет СМР и ОБ'!D66</f>
        <v/>
      </c>
      <c r="D21" s="161" t="n"/>
      <c r="E21" s="99" t="n"/>
    </row>
    <row r="22">
      <c r="B22" s="99" t="inlineStr">
        <is>
          <t>Накладные расходы, руб.</t>
        </is>
      </c>
      <c r="C22" s="160">
        <f>ROUND(C23*(C11+C15),2)</f>
        <v/>
      </c>
      <c r="D22" s="161">
        <f>C22/$C$24</f>
        <v/>
      </c>
      <c r="E22" s="161">
        <f>C22/$C$40</f>
        <v/>
      </c>
    </row>
    <row r="23">
      <c r="B23" s="99" t="inlineStr">
        <is>
          <t>Накладные расходы, %</t>
        </is>
      </c>
      <c r="C23" s="164">
        <f>'Прил.5 Расчет СМР и ОБ'!D65</f>
        <v/>
      </c>
      <c r="D23" s="161" t="n"/>
      <c r="E23" s="99" t="n"/>
    </row>
    <row r="24">
      <c r="B24" s="99" t="inlineStr">
        <is>
          <t>ВСЕГО СМР с НР и СП</t>
        </is>
      </c>
      <c r="C24" s="160">
        <f>C19+C20+C22</f>
        <v/>
      </c>
      <c r="D24" s="161">
        <f>C24/$C$24</f>
        <v/>
      </c>
      <c r="E24" s="161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60">
        <f>'Прил.5 Расчет СМР и ОБ'!J40</f>
        <v/>
      </c>
      <c r="D25" s="161" t="n"/>
      <c r="E25" s="161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60">
        <f>'Прил.5 Расчет СМР и ОБ'!J41</f>
        <v/>
      </c>
      <c r="D26" s="161" t="n"/>
      <c r="E26" s="161">
        <f>C26/$C$40</f>
        <v/>
      </c>
    </row>
    <row r="27">
      <c r="B27" s="99" t="inlineStr">
        <is>
          <t>ИТОГО (СМР + ОБОРУДОВАНИЕ)</t>
        </is>
      </c>
      <c r="C27" s="163">
        <f>C24+C25</f>
        <v/>
      </c>
      <c r="D27" s="161" t="n"/>
      <c r="E27" s="161">
        <f>C27/$C$40</f>
        <v/>
      </c>
      <c r="G27" s="162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3">
        <f>ROUND(C24*2.5%,2)</f>
        <v/>
      </c>
      <c r="D29" s="99" t="n"/>
      <c r="E29" s="161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3">
        <f>ROUND((C24+C29)*2.1%,2)</f>
        <v/>
      </c>
      <c r="D30" s="99" t="n"/>
      <c r="E30" s="161" t="n">
        <v>0.021</v>
      </c>
    </row>
    <row r="31">
      <c r="B31" s="99" t="inlineStr">
        <is>
          <t>Пусконаладочные работы</t>
        </is>
      </c>
      <c r="C31" s="163" t="n">
        <v>25840.67</v>
      </c>
      <c r="D31" s="99" t="n"/>
      <c r="E31" s="161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3" t="n">
        <v>0</v>
      </c>
      <c r="D32" s="99" t="n"/>
      <c r="E32" s="161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3">
        <f>ROUND(C27*0%,2)</f>
        <v/>
      </c>
      <c r="D33" s="99" t="n"/>
      <c r="E33" s="161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 t="n">
        <v>0</v>
      </c>
      <c r="D34" s="99" t="n"/>
      <c r="E34" s="161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ROUND(C27*0%,2)</f>
        <v/>
      </c>
      <c r="D35" s="99" t="n"/>
      <c r="E35" s="161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99" t="n"/>
      <c r="E36" s="161">
        <f>C36/$C$40</f>
        <v/>
      </c>
      <c r="L36" s="162" t="n"/>
    </row>
    <row r="37">
      <c r="B37" s="99" t="inlineStr">
        <is>
          <t>Авторский надзор - 0,2%</t>
        </is>
      </c>
      <c r="C37" s="163">
        <f>ROUND((C27+C32+C33+C34+C35+C29+C31+C30)*0.2%,2)</f>
        <v/>
      </c>
      <c r="D37" s="99" t="n"/>
      <c r="E37" s="161">
        <f>C37/$C$40</f>
        <v/>
      </c>
      <c r="L37" s="162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99" t="n"/>
      <c r="E38" s="161">
        <f>C38/$C$40</f>
        <v/>
      </c>
    </row>
    <row r="39" ht="13.5" customHeight="1" s="194">
      <c r="B39" s="99" t="inlineStr">
        <is>
          <t>Непредвиденные расходы</t>
        </is>
      </c>
      <c r="C39" s="160">
        <f>ROUND(C38*3%,2)</f>
        <v/>
      </c>
      <c r="D39" s="99" t="n"/>
      <c r="E39" s="161">
        <f>C39/$C$38</f>
        <v/>
      </c>
    </row>
    <row r="40">
      <c r="B40" s="99" t="inlineStr">
        <is>
          <t>ВСЕГО:</t>
        </is>
      </c>
      <c r="C40" s="160">
        <f>C39+C38</f>
        <v/>
      </c>
      <c r="D40" s="99" t="n"/>
      <c r="E40" s="161">
        <f>C40/$C$40</f>
        <v/>
      </c>
    </row>
    <row r="41">
      <c r="B41" s="99" t="inlineStr">
        <is>
          <t>ИТОГО ПОКАЗАТЕЛЬ НА ЕД. ИЗМ.</t>
        </is>
      </c>
      <c r="C41" s="160">
        <f>C40/'Прил.5 Расчет СМР и ОБ'!E69</f>
        <v/>
      </c>
      <c r="D41" s="99" t="n"/>
      <c r="E41" s="99" t="n"/>
    </row>
    <row r="42">
      <c r="B42" s="159" t="n"/>
      <c r="C42" s="190" t="n"/>
      <c r="D42" s="190" t="n"/>
      <c r="E42" s="190" t="n"/>
    </row>
    <row r="43">
      <c r="B43" s="159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9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9" t="n"/>
      <c r="C45" s="190" t="n"/>
      <c r="D45" s="190" t="n"/>
      <c r="E45" s="190" t="n"/>
    </row>
    <row r="46">
      <c r="B46" s="159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8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tabSelected="1" view="pageBreakPreview" zoomScaleSheetLayoutView="100" workbookViewId="0">
      <selection activeCell="M22" sqref="M22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9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8" t="inlineStr">
        <is>
          <t>Расчет стоимости СМР и оборудования</t>
        </is>
      </c>
    </row>
    <row r="5" ht="12.75" customFormat="1" customHeight="1" s="190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0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КТП мачтового (шкафного, столбового) типа с одним трансформатором 6-20 кВ, мощность 25 кВА</t>
        </is>
      </c>
    </row>
    <row r="7" ht="12.75" customFormat="1" customHeight="1" s="190">
      <c r="A7" s="231" t="inlineStr">
        <is>
          <t>Единица измерения  — 1 единица</t>
        </is>
      </c>
      <c r="I7" s="247" t="n"/>
      <c r="J7" s="247" t="n"/>
    </row>
    <row r="8" ht="13.5" customFormat="1" customHeight="1" s="190">
      <c r="A8" s="231" t="n"/>
    </row>
    <row r="9" ht="27" customHeight="1" s="194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22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22" t="n"/>
      <c r="M9" s="191" t="n"/>
      <c r="N9" s="191" t="n"/>
    </row>
    <row r="10" ht="28.5" customHeight="1" s="194">
      <c r="A10" s="324" t="n"/>
      <c r="B10" s="324" t="n"/>
      <c r="C10" s="324" t="n"/>
      <c r="D10" s="324" t="n"/>
      <c r="E10" s="324" t="n"/>
      <c r="F10" s="252" t="inlineStr">
        <is>
          <t>на ед. изм.</t>
        </is>
      </c>
      <c r="G10" s="252" t="inlineStr">
        <is>
          <t>общая</t>
        </is>
      </c>
      <c r="H10" s="324" t="n"/>
      <c r="I10" s="252" t="inlineStr">
        <is>
          <t>на ед. изм.</t>
        </is>
      </c>
      <c r="J10" s="252" t="inlineStr">
        <is>
          <t>общая</t>
        </is>
      </c>
      <c r="M10" s="191" t="n"/>
      <c r="N10" s="191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53" t="n">
        <v>9</v>
      </c>
      <c r="J11" s="253" t="n">
        <v>10</v>
      </c>
      <c r="M11" s="191" t="n"/>
      <c r="N11" s="191" t="n"/>
    </row>
    <row r="12">
      <c r="A12" s="252" t="n"/>
      <c r="B12" s="242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2" t="n"/>
      <c r="J12" s="122" t="n"/>
    </row>
    <row r="13" ht="25.5" customHeight="1" s="194">
      <c r="A13" s="252" t="n">
        <v>1</v>
      </c>
      <c r="B13" s="132" t="inlineStr">
        <is>
          <t>1-3-4</t>
        </is>
      </c>
      <c r="C13" s="259" t="inlineStr">
        <is>
          <t>Затраты труда рабочих-строителей среднего разряда (3,4)</t>
        </is>
      </c>
      <c r="D13" s="252" t="inlineStr">
        <is>
          <t>чел.-ч.</t>
        </is>
      </c>
      <c r="E13" s="123">
        <f>G13/F13</f>
        <v/>
      </c>
      <c r="F13" s="26" t="n">
        <v>8.970000000000001</v>
      </c>
      <c r="G13" s="26">
        <f>Прил.3!H12</f>
        <v/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2" t="n"/>
      <c r="B14" s="252" t="n"/>
      <c r="C14" s="242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62" t="n">
        <v>1</v>
      </c>
      <c r="I14" s="122" t="n"/>
      <c r="J14" s="26">
        <f>SUM(J13:J13)</f>
        <v/>
      </c>
    </row>
    <row r="15" ht="14.25" customFormat="1" customHeight="1" s="191">
      <c r="A15" s="252" t="n"/>
      <c r="B15" s="259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2" t="n"/>
      <c r="J15" s="122" t="n"/>
    </row>
    <row r="16" ht="14.25" customFormat="1" customHeight="1" s="191">
      <c r="A16" s="252" t="n">
        <v>2</v>
      </c>
      <c r="B16" s="252" t="n">
        <v>2</v>
      </c>
      <c r="C16" s="259" t="inlineStr">
        <is>
          <t>Затраты труда машинистов</t>
        </is>
      </c>
      <c r="D16" s="252" t="inlineStr">
        <is>
          <t>чел.-ч.</t>
        </is>
      </c>
      <c r="E16" s="123">
        <f>Прил.3!F21</f>
        <v/>
      </c>
      <c r="F16" s="26">
        <f>G16/E16</f>
        <v/>
      </c>
      <c r="G16" s="26">
        <f>Прил.3!H20</f>
        <v/>
      </c>
      <c r="H16" s="262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1">
      <c r="A17" s="252" t="n"/>
      <c r="B17" s="242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2" t="n"/>
      <c r="J17" s="122" t="n"/>
    </row>
    <row r="18" ht="14.25" customFormat="1" customHeight="1" s="191">
      <c r="A18" s="252" t="n"/>
      <c r="B18" s="259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2" t="n"/>
      <c r="J18" s="122" t="n"/>
    </row>
    <row r="19" ht="25.5" customFormat="1" customHeight="1" s="191">
      <c r="A19" s="252" t="n">
        <v>3</v>
      </c>
      <c r="B19" s="132" t="inlineStr">
        <is>
          <t>91.05.05-014</t>
        </is>
      </c>
      <c r="C19" s="259" t="inlineStr">
        <is>
          <t>Краны на автомобильном ходу, грузоподъемность 10 т</t>
        </is>
      </c>
      <c r="D19" s="252" t="inlineStr">
        <is>
          <t>маш.час</t>
        </is>
      </c>
      <c r="E19" s="123" t="n">
        <v>4.65</v>
      </c>
      <c r="F19" s="261" t="n">
        <v>111.99</v>
      </c>
      <c r="G19" s="26">
        <f>ROUND(E19*F19,2)</f>
        <v/>
      </c>
      <c r="H19" s="125">
        <f>G19/G34</f>
        <v/>
      </c>
      <c r="I19" s="26">
        <f>ROUND(F19*Прил.10!$D$12,2)</f>
        <v/>
      </c>
      <c r="J19" s="26">
        <f>ROUND(I19*E19,2)</f>
        <v/>
      </c>
    </row>
    <row r="20" ht="51" customFormat="1" customHeight="1" s="191">
      <c r="A20" s="252" t="n">
        <v>4</v>
      </c>
      <c r="B20" s="132" t="inlineStr">
        <is>
          <t>91.18.01-007</t>
        </is>
      </c>
      <c r="C20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2" t="inlineStr">
        <is>
          <t>маш.час</t>
        </is>
      </c>
      <c r="E20" s="123" t="n">
        <v>3.1</v>
      </c>
      <c r="F20" s="261" t="n">
        <v>90</v>
      </c>
      <c r="G20" s="26">
        <f>ROUND(E20*F20,2)</f>
        <v/>
      </c>
      <c r="H20" s="125">
        <f>G20/G34</f>
        <v/>
      </c>
      <c r="I20" s="26">
        <f>ROUND(F20*Прил.10!$D$12,2)</f>
        <v/>
      </c>
      <c r="J20" s="26">
        <f>ROUND(I20*E20,2)</f>
        <v/>
      </c>
    </row>
    <row r="21" ht="63.75" customFormat="1" customHeight="1" s="191">
      <c r="A21" s="252" t="n">
        <v>5</v>
      </c>
      <c r="B21" s="132" t="inlineStr">
        <is>
          <t>91.21.22-195</t>
        </is>
      </c>
      <c r="C21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1" s="252" t="inlineStr">
        <is>
          <t>маш.час</t>
        </is>
      </c>
      <c r="E21" s="123" t="n">
        <v>3.05</v>
      </c>
      <c r="F21" s="261" t="n">
        <v>91.13</v>
      </c>
      <c r="G21" s="26">
        <f>ROUND(E21*F21,2)</f>
        <v/>
      </c>
      <c r="H21" s="125">
        <f>G21/G34</f>
        <v/>
      </c>
      <c r="I21" s="26">
        <f>ROUND(F21*Прил.10!$D$12,2)</f>
        <v/>
      </c>
      <c r="J21" s="26">
        <f>ROUND(I21*E21,2)</f>
        <v/>
      </c>
    </row>
    <row r="22" ht="25.5" customFormat="1" customHeight="1" s="191">
      <c r="A22" s="252" t="n">
        <v>6</v>
      </c>
      <c r="B22" s="132" t="inlineStr">
        <is>
          <t>91.04.01-031</t>
        </is>
      </c>
      <c r="C22" s="259" t="inlineStr">
        <is>
          <t>Машины бурильно-крановые: на автомобиле, глубина бурения 3,5 м</t>
        </is>
      </c>
      <c r="D22" s="252" t="inlineStr">
        <is>
          <t>маш.час</t>
        </is>
      </c>
      <c r="E22" s="123" t="n">
        <v>1.04</v>
      </c>
      <c r="F22" s="261" t="n">
        <v>138.54</v>
      </c>
      <c r="G22" s="26">
        <f>ROUND(E22*F22,2)</f>
        <v/>
      </c>
      <c r="H22" s="125">
        <f>G22/G34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191">
      <c r="A23" s="252" t="n"/>
      <c r="B23" s="252" t="n"/>
      <c r="C23" s="259" t="inlineStr">
        <is>
          <t>Итого основные машины и механизмы</t>
        </is>
      </c>
      <c r="D23" s="252" t="n"/>
      <c r="E23" s="123" t="n"/>
      <c r="F23" s="26" t="n"/>
      <c r="G23" s="26">
        <f>SUM(G19:G22)</f>
        <v/>
      </c>
      <c r="H23" s="262">
        <f>G23/G34</f>
        <v/>
      </c>
      <c r="I23" s="124" t="n"/>
      <c r="J23" s="26">
        <f>SUM(J19:J22)</f>
        <v/>
      </c>
    </row>
    <row r="24" hidden="1" outlineLevel="1" ht="38.25" customFormat="1" customHeight="1" s="191">
      <c r="A24" s="252" t="n">
        <v>7</v>
      </c>
      <c r="B24" s="132" t="inlineStr">
        <is>
          <t>91.17.04-036</t>
        </is>
      </c>
      <c r="C24" s="259" t="inlineStr">
        <is>
          <t>Агрегаты сварочные передвижные номинальным сварочным током 250-400 А: с дизельным двигателем</t>
        </is>
      </c>
      <c r="D24" s="252" t="inlineStr">
        <is>
          <t>маш.час</t>
        </is>
      </c>
      <c r="E24" s="123" t="n">
        <v>3.1</v>
      </c>
      <c r="F24" s="261" t="n">
        <v>14</v>
      </c>
      <c r="G24" s="26">
        <f>ROUND(E24*F24,2)</f>
        <v/>
      </c>
      <c r="H24" s="125">
        <f>G24/$G$34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1">
      <c r="A25" s="252" t="n">
        <v>8</v>
      </c>
      <c r="B25" s="132" t="inlineStr">
        <is>
          <t>91.14.02-001</t>
        </is>
      </c>
      <c r="C25" s="259" t="inlineStr">
        <is>
          <t>Автомобили бортовые, грузоподъемность: до 5 т</t>
        </is>
      </c>
      <c r="D25" s="252" t="inlineStr">
        <is>
          <t>маш.час</t>
        </is>
      </c>
      <c r="E25" s="123" t="n">
        <v>0.43</v>
      </c>
      <c r="F25" s="261" t="n">
        <v>65.70999999999999</v>
      </c>
      <c r="G25" s="26">
        <f>ROUND(E25*F25,2)</f>
        <v/>
      </c>
      <c r="H25" s="125">
        <f>G25/$G$34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1">
      <c r="A26" s="252" t="n">
        <v>9</v>
      </c>
      <c r="B26" s="132" t="inlineStr">
        <is>
          <t>91.17.04-233</t>
        </is>
      </c>
      <c r="C26" s="259" t="inlineStr">
        <is>
          <t>Установки для сварки: ручной дуговой (постоянного тока)</t>
        </is>
      </c>
      <c r="D26" s="252" t="inlineStr">
        <is>
          <t>маш.час</t>
        </is>
      </c>
      <c r="E26" s="123" t="n">
        <v>0.33</v>
      </c>
      <c r="F26" s="261" t="n">
        <v>8.1</v>
      </c>
      <c r="G26" s="26">
        <f>ROUND(E26*F26,2)</f>
        <v/>
      </c>
      <c r="H26" s="125">
        <f>G26/$G$34</f>
        <v/>
      </c>
      <c r="I26" s="26">
        <f>ROUND(F26*Прил.10!$D$12,2)</f>
        <v/>
      </c>
      <c r="J26" s="26">
        <f>ROUND(I26*E26,2)</f>
        <v/>
      </c>
    </row>
    <row r="27" hidden="1" outlineLevel="1" ht="38.25" customFormat="1" customHeight="1" s="191">
      <c r="A27" s="252" t="n">
        <v>10</v>
      </c>
      <c r="B27" s="132" t="inlineStr">
        <is>
          <t>91.06.05-057</t>
        </is>
      </c>
      <c r="C27" s="259" t="inlineStr">
        <is>
          <t>Погрузчики одноковшовые универсальные фронтальные пневмоколесные, грузоподъемность 3 т</t>
        </is>
      </c>
      <c r="D27" s="252" t="inlineStr">
        <is>
          <t>маш.час</t>
        </is>
      </c>
      <c r="E27" s="123" t="n">
        <v>0.01</v>
      </c>
      <c r="F27" s="261" t="n">
        <v>90.40000000000001</v>
      </c>
      <c r="G27" s="26">
        <f>ROUND(E27*F27,2)</f>
        <v/>
      </c>
      <c r="H27" s="125">
        <f>G27/$G$34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191">
      <c r="A28" s="252" t="n">
        <v>11</v>
      </c>
      <c r="B28" s="132" t="inlineStr">
        <is>
          <t>91.14.02-002</t>
        </is>
      </c>
      <c r="C28" s="259" t="inlineStr">
        <is>
          <t>Автомобили бортовые, грузоподъемность: до 8 т</t>
        </is>
      </c>
      <c r="D28" s="252" t="inlineStr">
        <is>
          <t>маш.час</t>
        </is>
      </c>
      <c r="E28" s="123" t="n">
        <v>0.01</v>
      </c>
      <c r="F28" s="261" t="n">
        <v>85.84</v>
      </c>
      <c r="G28" s="26">
        <f>ROUND(E28*F28,2)</f>
        <v/>
      </c>
      <c r="H28" s="125">
        <f>G28/$G$34</f>
        <v/>
      </c>
      <c r="I28" s="26">
        <f>ROUND(F28*Прил.10!$D$12,2)</f>
        <v/>
      </c>
      <c r="J28" s="26">
        <f>ROUND(I28*E28,2)</f>
        <v/>
      </c>
    </row>
    <row r="29" hidden="1" outlineLevel="1" ht="14.25" customFormat="1" customHeight="1" s="191">
      <c r="A29" s="252" t="n">
        <v>12</v>
      </c>
      <c r="B29" s="132" t="inlineStr">
        <is>
          <t>91.21.16-001</t>
        </is>
      </c>
      <c r="C29" s="259" t="inlineStr">
        <is>
          <t>Пресс-ножницы комбинированные</t>
        </is>
      </c>
      <c r="D29" s="252" t="inlineStr">
        <is>
          <t>маш.час</t>
        </is>
      </c>
      <c r="E29" s="123" t="n">
        <v>0.01</v>
      </c>
      <c r="F29" s="261" t="n">
        <v>15.4</v>
      </c>
      <c r="G29" s="26">
        <f>ROUND(E29*F29,2)</f>
        <v/>
      </c>
      <c r="H29" s="125">
        <f>G29/$G$34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191">
      <c r="A30" s="252" t="n">
        <v>13</v>
      </c>
      <c r="B30" s="132" t="inlineStr">
        <is>
          <t>91.06.03-062</t>
        </is>
      </c>
      <c r="C30" s="259" t="inlineStr">
        <is>
          <t>Лебедки электрические тяговым усилием: до 31,39 кН (3,2 т)</t>
        </is>
      </c>
      <c r="D30" s="252" t="inlineStr">
        <is>
          <t>маш.час</t>
        </is>
      </c>
      <c r="E30" s="123" t="n">
        <v>0.02</v>
      </c>
      <c r="F30" s="261" t="n">
        <v>6.9</v>
      </c>
      <c r="G30" s="26">
        <f>ROUND(E30*F30,2)</f>
        <v/>
      </c>
      <c r="H30" s="125">
        <f>G30/$G$34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91">
      <c r="A31" s="252" t="n">
        <v>14</v>
      </c>
      <c r="B31" s="132" t="inlineStr">
        <is>
          <t>91.08.09-023</t>
        </is>
      </c>
      <c r="C31" s="259" t="inlineStr">
        <is>
          <t>Трамбовки пневматические при работе от: передвижных компрессорных станций</t>
        </is>
      </c>
      <c r="D31" s="252" t="inlineStr">
        <is>
          <t>маш.час</t>
        </is>
      </c>
      <c r="E31" s="123" t="n">
        <v>0.1</v>
      </c>
      <c r="F31" s="261" t="n">
        <v>0.55</v>
      </c>
      <c r="G31" s="26">
        <f>ROUND(E31*F31,2)</f>
        <v/>
      </c>
      <c r="H31" s="125">
        <f>G31/$G$34</f>
        <v/>
      </c>
      <c r="I31" s="26">
        <f>ROUND(F31*Прил.10!$D$12,2)</f>
        <v/>
      </c>
      <c r="J31" s="26">
        <f>ROUND(I31*E31,2)</f>
        <v/>
      </c>
    </row>
    <row r="32" hidden="1" outlineLevel="1" ht="14.25" customFormat="1" customHeight="1" s="191">
      <c r="A32" s="252" t="n">
        <v>15</v>
      </c>
      <c r="B32" s="132" t="inlineStr">
        <is>
          <t>91.17.04-042</t>
        </is>
      </c>
      <c r="C32" s="259" t="inlineStr">
        <is>
          <t>Аппарат для газовой сварки и резки</t>
        </is>
      </c>
      <c r="D32" s="252" t="inlineStr">
        <is>
          <t>маш.час</t>
        </is>
      </c>
      <c r="E32" s="123" t="n">
        <v>0.01</v>
      </c>
      <c r="F32" s="261" t="n">
        <v>1.2</v>
      </c>
      <c r="G32" s="26">
        <f>ROUND(E32*F32,2)</f>
        <v/>
      </c>
      <c r="H32" s="125">
        <f>G32/$G$34</f>
        <v/>
      </c>
      <c r="I32" s="26">
        <f>ROUND(F32*Прил.10!$D$12,2)</f>
        <v/>
      </c>
      <c r="J32" s="26">
        <f>ROUND(I32*E32,2)</f>
        <v/>
      </c>
    </row>
    <row r="33" collapsed="1" ht="14.25" customFormat="1" customHeight="1" s="191">
      <c r="A33" s="252" t="n"/>
      <c r="B33" s="252" t="n"/>
      <c r="C33" s="259" t="inlineStr">
        <is>
          <t>Итого прочие машины и механизмы</t>
        </is>
      </c>
      <c r="D33" s="252" t="n"/>
      <c r="E33" s="260" t="n"/>
      <c r="F33" s="26" t="n"/>
      <c r="G33" s="124">
        <f>SUM(G24:G32)</f>
        <v/>
      </c>
      <c r="H33" s="125">
        <f>G33/G34</f>
        <v/>
      </c>
      <c r="I33" s="26" t="n"/>
      <c r="J33" s="124">
        <f>SUM(J24:J32)</f>
        <v/>
      </c>
    </row>
    <row r="34" ht="25.5" customFormat="1" customHeight="1" s="191">
      <c r="A34" s="252" t="n"/>
      <c r="B34" s="252" t="n"/>
      <c r="C34" s="242" t="inlineStr">
        <is>
          <t>Итого по разделу «Машины и механизмы»</t>
        </is>
      </c>
      <c r="D34" s="252" t="n"/>
      <c r="E34" s="260" t="n"/>
      <c r="F34" s="26" t="n"/>
      <c r="G34" s="26">
        <f>G33+G23</f>
        <v/>
      </c>
      <c r="H34" s="126" t="n">
        <v>1</v>
      </c>
      <c r="I34" s="127" t="n"/>
      <c r="J34" s="128">
        <f>J33+J23</f>
        <v/>
      </c>
    </row>
    <row r="35" ht="14.25" customFormat="1" customHeight="1" s="191">
      <c r="A35" s="252" t="n"/>
      <c r="B35" s="242" t="inlineStr">
        <is>
          <t>Оборудование</t>
        </is>
      </c>
      <c r="C35" s="321" t="n"/>
      <c r="D35" s="321" t="n"/>
      <c r="E35" s="321" t="n"/>
      <c r="F35" s="321" t="n"/>
      <c r="G35" s="321" t="n"/>
      <c r="H35" s="322" t="n"/>
      <c r="I35" s="122" t="n"/>
      <c r="J35" s="122" t="n"/>
    </row>
    <row r="36">
      <c r="A36" s="252" t="n"/>
      <c r="B36" s="259" t="inlineStr">
        <is>
          <t>Основное оборудование</t>
        </is>
      </c>
      <c r="C36" s="321" t="n"/>
      <c r="D36" s="321" t="n"/>
      <c r="E36" s="321" t="n"/>
      <c r="F36" s="321" t="n"/>
      <c r="G36" s="321" t="n"/>
      <c r="H36" s="322" t="n"/>
      <c r="I36" s="122" t="n"/>
      <c r="J36" s="122" t="n"/>
    </row>
    <row r="37" ht="38.25" customHeight="1" s="194">
      <c r="A37" s="252" t="n">
        <v>16</v>
      </c>
      <c r="B37" s="182" t="inlineStr">
        <is>
          <t>БЦ.67.20</t>
        </is>
      </c>
      <c r="C37" s="170" t="inlineStr">
        <is>
          <t>КТП мачтового (шкафного, столбового) типа с одним трансформатором 6-20 кВ, мощность 25 кВА</t>
        </is>
      </c>
      <c r="D37" s="252" t="inlineStr">
        <is>
          <t>шт</t>
        </is>
      </c>
      <c r="E37" s="129" t="n">
        <v>1</v>
      </c>
      <c r="F37" s="26">
        <f>ROUND(I37/Прил.10!D14,2)</f>
        <v/>
      </c>
      <c r="G37" s="26">
        <f>ROUND(E37*F37,2)</f>
        <v/>
      </c>
      <c r="H37" s="125">
        <f>G37/$G$41</f>
        <v/>
      </c>
      <c r="I37" s="26" t="n">
        <v>801886.79</v>
      </c>
      <c r="J37" s="26">
        <f>ROUND(I37*E37,2)</f>
        <v/>
      </c>
      <c r="M37" s="191" t="n"/>
      <c r="N37" s="191" t="n"/>
    </row>
    <row r="38">
      <c r="A38" s="252" t="n"/>
      <c r="B38" s="252" t="n"/>
      <c r="C38" s="259" t="inlineStr">
        <is>
          <t>Итого основное оборудование</t>
        </is>
      </c>
      <c r="D38" s="252" t="n"/>
      <c r="E38" s="123" t="n"/>
      <c r="F38" s="261" t="n"/>
      <c r="G38" s="26">
        <f>G37</f>
        <v/>
      </c>
      <c r="H38" s="262">
        <f>H37</f>
        <v/>
      </c>
      <c r="I38" s="124" t="n"/>
      <c r="J38" s="26">
        <f>J37</f>
        <v/>
      </c>
    </row>
    <row r="39">
      <c r="A39" s="252" t="n"/>
      <c r="B39" s="252" t="n"/>
      <c r="C39" s="259" t="inlineStr">
        <is>
          <t>Итого прочее оборудование</t>
        </is>
      </c>
      <c r="D39" s="252" t="n"/>
      <c r="E39" s="123" t="n"/>
      <c r="F39" s="261" t="n"/>
      <c r="G39" s="26" t="n">
        <v>0</v>
      </c>
      <c r="H39" s="262" t="n">
        <v>0</v>
      </c>
      <c r="I39" s="124" t="n"/>
      <c r="J39" s="26" t="n">
        <v>0</v>
      </c>
    </row>
    <row r="40">
      <c r="A40" s="252" t="n"/>
      <c r="B40" s="252" t="n"/>
      <c r="C40" s="242" t="inlineStr">
        <is>
          <t>Итого по разделу «Оборудование»</t>
        </is>
      </c>
      <c r="D40" s="252" t="n"/>
      <c r="E40" s="260" t="n"/>
      <c r="F40" s="261" t="n"/>
      <c r="G40" s="26">
        <f>G39+G38</f>
        <v/>
      </c>
      <c r="H40" s="262">
        <f>H39+H38</f>
        <v/>
      </c>
      <c r="I40" s="124" t="n"/>
      <c r="J40" s="26">
        <f>J39+J38</f>
        <v/>
      </c>
    </row>
    <row r="41" ht="25.5" customHeight="1" s="194">
      <c r="A41" s="252" t="n"/>
      <c r="B41" s="252" t="n"/>
      <c r="C41" s="259" t="inlineStr">
        <is>
          <t>в том числе технологическое оборудование</t>
        </is>
      </c>
      <c r="D41" s="252" t="n"/>
      <c r="E41" s="129" t="n"/>
      <c r="F41" s="261" t="n"/>
      <c r="G41" s="26">
        <f>G40</f>
        <v/>
      </c>
      <c r="H41" s="262" t="n"/>
      <c r="I41" s="124" t="n"/>
      <c r="J41" s="26">
        <f>J40</f>
        <v/>
      </c>
    </row>
    <row r="42" ht="14.25" customFormat="1" customHeight="1" s="191">
      <c r="A42" s="252" t="n"/>
      <c r="B42" s="242" t="inlineStr">
        <is>
          <t>Материалы</t>
        </is>
      </c>
      <c r="C42" s="321" t="n"/>
      <c r="D42" s="321" t="n"/>
      <c r="E42" s="321" t="n"/>
      <c r="F42" s="321" t="n"/>
      <c r="G42" s="321" t="n"/>
      <c r="H42" s="322" t="n"/>
      <c r="I42" s="122" t="n"/>
      <c r="J42" s="122" t="n"/>
    </row>
    <row r="43" ht="14.25" customFormat="1" customHeight="1" s="191">
      <c r="A43" s="253" t="n"/>
      <c r="B43" s="255" t="inlineStr">
        <is>
          <t>Основные материалы</t>
        </is>
      </c>
      <c r="C43" s="325" t="n"/>
      <c r="D43" s="325" t="n"/>
      <c r="E43" s="325" t="n"/>
      <c r="F43" s="325" t="n"/>
      <c r="G43" s="325" t="n"/>
      <c r="H43" s="326" t="n"/>
      <c r="I43" s="135" t="n"/>
      <c r="J43" s="135" t="n"/>
    </row>
    <row r="44" ht="14.25" customFormat="1" customHeight="1" s="191">
      <c r="A44" s="252" t="n">
        <v>17</v>
      </c>
      <c r="B44" s="132" t="inlineStr">
        <is>
          <t>01.7.15.03-0042</t>
        </is>
      </c>
      <c r="C44" s="259" t="inlineStr">
        <is>
          <t>Болты с гайками и шайбами строительные</t>
        </is>
      </c>
      <c r="D44" s="252" t="inlineStr">
        <is>
          <t>кг</t>
        </is>
      </c>
      <c r="E44" s="123" t="n">
        <v>35.094</v>
      </c>
      <c r="F44" s="261" t="n">
        <v>9.039999999999999</v>
      </c>
      <c r="G44" s="26">
        <f>ROUND(E44*F44,2)</f>
        <v/>
      </c>
      <c r="H44" s="125">
        <f>G44/$G$63</f>
        <v/>
      </c>
      <c r="I44" s="26">
        <f>ROUND(F44*Прил.10!$D$13,2)</f>
        <v/>
      </c>
      <c r="J44" s="26">
        <f>ROUND(I44*E44,2)</f>
        <v/>
      </c>
    </row>
    <row r="45" ht="38.25" customFormat="1" customHeight="1" s="191">
      <c r="A45" s="252" t="n">
        <v>18</v>
      </c>
      <c r="B45" s="132" t="inlineStr">
        <is>
          <t>08.3.04.02-0096</t>
        </is>
      </c>
      <c r="C45" s="259" t="inlineStr">
        <is>
          <t>Сталь круглая углеродистая обыкновенного качества марки ВСт3пс5-1 диаметром 18 мм</t>
        </is>
      </c>
      <c r="D45" s="252" t="inlineStr">
        <is>
          <t>т</t>
        </is>
      </c>
      <c r="E45" s="123" t="n">
        <v>0.052</v>
      </c>
      <c r="F45" s="261" t="n">
        <v>5230.01</v>
      </c>
      <c r="G45" s="26">
        <f>ROUND(E45*F45,2)</f>
        <v/>
      </c>
      <c r="H45" s="125">
        <f>G45/$G$63</f>
        <v/>
      </c>
      <c r="I45" s="26">
        <f>ROUND(F45*Прил.10!$D$13,2)</f>
        <v/>
      </c>
      <c r="J45" s="26">
        <f>ROUND(I45*E45,2)</f>
        <v/>
      </c>
    </row>
    <row r="46" ht="38.25" customFormat="1" customHeight="1" s="191">
      <c r="A46" s="252" t="n">
        <v>19</v>
      </c>
      <c r="B46" s="132" t="inlineStr">
        <is>
          <t>08.3.04.02-0093</t>
        </is>
      </c>
      <c r="C46" s="259" t="inlineStr">
        <is>
          <t>Сталь круглая углеродистая обыкновенного качества марки ВСт3пс5-1 диаметром 12 мм</t>
        </is>
      </c>
      <c r="D46" s="252" t="inlineStr">
        <is>
          <t>т</t>
        </is>
      </c>
      <c r="E46" s="123" t="n">
        <v>0.03827</v>
      </c>
      <c r="F46" s="261" t="n">
        <v>5230.01</v>
      </c>
      <c r="G46" s="26">
        <f>ROUND(E46*F46,2)</f>
        <v/>
      </c>
      <c r="H46" s="125">
        <f>G46/$G$63</f>
        <v/>
      </c>
      <c r="I46" s="26">
        <f>ROUND(F46*Прил.10!$D$13,2)</f>
        <v/>
      </c>
      <c r="J46" s="26">
        <f>ROUND(I46*E46,2)</f>
        <v/>
      </c>
    </row>
    <row r="47" ht="25.5" customFormat="1" customHeight="1" s="191">
      <c r="A47" s="252" t="n">
        <v>20</v>
      </c>
      <c r="B47" s="132" t="inlineStr">
        <is>
          <t>08.4.03.02-0004</t>
        </is>
      </c>
      <c r="C47" s="259" t="inlineStr">
        <is>
          <t>Горячекатаная арматурная сталь гладкая класса А-I, диаметром: 12 мм</t>
        </is>
      </c>
      <c r="D47" s="252" t="inlineStr">
        <is>
          <t>т</t>
        </is>
      </c>
      <c r="E47" s="123" t="n">
        <v>0.025</v>
      </c>
      <c r="F47" s="261" t="n">
        <v>6508.75</v>
      </c>
      <c r="G47" s="26">
        <f>ROUND(E47*F47,2)</f>
        <v/>
      </c>
      <c r="H47" s="125">
        <f>G47/$G$63</f>
        <v/>
      </c>
      <c r="I47" s="26">
        <f>ROUND(F47*Прил.10!$D$13,2)</f>
        <v/>
      </c>
      <c r="J47" s="26">
        <f>ROUND(I47*E47,2)</f>
        <v/>
      </c>
    </row>
    <row r="48" ht="25.5" customFormat="1" customHeight="1" s="191">
      <c r="A48" s="252" t="n">
        <v>21</v>
      </c>
      <c r="B48" s="132" t="inlineStr">
        <is>
          <t>08.3.08.02-0064</t>
        </is>
      </c>
      <c r="C48" s="259" t="inlineStr">
        <is>
          <t>Сталь угловая равнополочная, марка стали Ст3пс, размером 70х70 мм</t>
        </is>
      </c>
      <c r="D48" s="252" t="inlineStr">
        <is>
          <t>т</t>
        </is>
      </c>
      <c r="E48" s="123" t="n">
        <v>0.01101</v>
      </c>
      <c r="F48" s="261" t="n">
        <v>6630.54</v>
      </c>
      <c r="G48" s="26">
        <f>ROUND(E48*F48,2)</f>
        <v/>
      </c>
      <c r="H48" s="125">
        <f>G48/$G$63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91">
      <c r="A49" s="254" t="n"/>
      <c r="B49" s="137" t="n"/>
      <c r="C49" s="138" t="inlineStr">
        <is>
          <t>Итого основные материалы</t>
        </is>
      </c>
      <c r="D49" s="254" t="n"/>
      <c r="E49" s="139" t="n"/>
      <c r="F49" s="128" t="n"/>
      <c r="G49" s="128">
        <f>SUM(G44:G48)</f>
        <v/>
      </c>
      <c r="H49" s="125">
        <f>G49/$G$63</f>
        <v/>
      </c>
      <c r="I49" s="26" t="n"/>
      <c r="J49" s="128">
        <f>SUM(J44:J48)</f>
        <v/>
      </c>
    </row>
    <row r="50" hidden="1" outlineLevel="1" ht="14.25" customFormat="1" customHeight="1" s="191">
      <c r="A50" s="252" t="n">
        <v>22</v>
      </c>
      <c r="B50" s="132" t="inlineStr">
        <is>
          <t>02.2.04.03-0003</t>
        </is>
      </c>
      <c r="C50" s="259" t="inlineStr">
        <is>
          <t>Смесь песчано-гравийная природная</t>
        </is>
      </c>
      <c r="D50" s="252" t="inlineStr">
        <is>
          <t>м3</t>
        </is>
      </c>
      <c r="E50" s="123" t="n">
        <v>1.1</v>
      </c>
      <c r="F50" s="261" t="n">
        <v>60</v>
      </c>
      <c r="G50" s="26">
        <f>ROUND(E50*F50,2)</f>
        <v/>
      </c>
      <c r="H50" s="125">
        <f>G50/$G$63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91">
      <c r="A51" s="252" t="n">
        <v>23</v>
      </c>
      <c r="B51" s="132" t="inlineStr">
        <is>
          <t>02.2.01.05-0012</t>
        </is>
      </c>
      <c r="C51" s="259" t="inlineStr">
        <is>
          <t>Гравий шунгизитовый, фракция 20-40 мм</t>
        </is>
      </c>
      <c r="D51" s="252" t="inlineStr">
        <is>
          <t>м3</t>
        </is>
      </c>
      <c r="E51" s="123" t="n">
        <v>0.11</v>
      </c>
      <c r="F51" s="261" t="n">
        <v>177.6</v>
      </c>
      <c r="G51" s="26">
        <f>ROUND(E51*F51,2)</f>
        <v/>
      </c>
      <c r="H51" s="125">
        <f>G51/$G$63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91">
      <c r="A52" s="252" t="n">
        <v>24</v>
      </c>
      <c r="B52" s="132" t="inlineStr">
        <is>
          <t>08.3.07.01-0076</t>
        </is>
      </c>
      <c r="C52" s="259" t="inlineStr">
        <is>
          <t>Сталь полосовая, марка стали Ст3сп шириной 50-200 мм толщиной 4-5 мм</t>
        </is>
      </c>
      <c r="D52" s="252" t="inlineStr">
        <is>
          <t>т</t>
        </is>
      </c>
      <c r="E52" s="123" t="n">
        <v>0.00301</v>
      </c>
      <c r="F52" s="261" t="n">
        <v>5000</v>
      </c>
      <c r="G52" s="26">
        <f>ROUND(E52*F52,2)</f>
        <v/>
      </c>
      <c r="H52" s="125">
        <f>G52/$G$63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191">
      <c r="A53" s="252" t="n">
        <v>25</v>
      </c>
      <c r="B53" s="132" t="inlineStr">
        <is>
          <t>08.3.04.02-0095</t>
        </is>
      </c>
      <c r="C53" s="259" t="inlineStr">
        <is>
          <t>Сталь круглая углеродистая обыкновенного качества марки ВСт3пс5-1 диаметром 16 мм</t>
        </is>
      </c>
      <c r="D53" s="252" t="inlineStr">
        <is>
          <t>т</t>
        </is>
      </c>
      <c r="E53" s="123" t="n">
        <v>0.00282</v>
      </c>
      <c r="F53" s="261" t="n">
        <v>5230.01</v>
      </c>
      <c r="G53" s="26">
        <f>ROUND(E53*F53,2)</f>
        <v/>
      </c>
      <c r="H53" s="125">
        <f>G53/$G$63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91">
      <c r="A54" s="252" t="n">
        <v>26</v>
      </c>
      <c r="B54" s="132" t="inlineStr">
        <is>
          <t>01.7.11.07-0032</t>
        </is>
      </c>
      <c r="C54" s="259" t="inlineStr">
        <is>
          <t>Электроды диаметром: 4 мм Э42</t>
        </is>
      </c>
      <c r="D54" s="252" t="inlineStr">
        <is>
          <t>т</t>
        </is>
      </c>
      <c r="E54" s="123" t="n">
        <v>0.0007</v>
      </c>
      <c r="F54" s="261" t="n">
        <v>10315.01</v>
      </c>
      <c r="G54" s="26">
        <f>ROUND(E54*F54,2)</f>
        <v/>
      </c>
      <c r="H54" s="125">
        <f>G54/$G$63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91">
      <c r="A55" s="252" t="n">
        <v>27</v>
      </c>
      <c r="B55" s="132" t="inlineStr">
        <is>
          <t>01.7.11.07-0044</t>
        </is>
      </c>
      <c r="C55" s="259" t="inlineStr">
        <is>
          <t>Электроды диаметром: 5 мм Э42</t>
        </is>
      </c>
      <c r="D55" s="252" t="inlineStr">
        <is>
          <t>т</t>
        </is>
      </c>
      <c r="E55" s="123" t="n">
        <v>0.0002</v>
      </c>
      <c r="F55" s="261" t="n">
        <v>9765</v>
      </c>
      <c r="G55" s="26">
        <f>ROUND(E55*F55,2)</f>
        <v/>
      </c>
      <c r="H55" s="125">
        <f>G55/$G$63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91">
      <c r="A56" s="252" t="n">
        <v>28</v>
      </c>
      <c r="B56" s="132" t="inlineStr">
        <is>
          <t>01.3.01.06-0046</t>
        </is>
      </c>
      <c r="C56" s="259" t="inlineStr">
        <is>
          <t>Смазка солидол жировой марки «Ж»</t>
        </is>
      </c>
      <c r="D56" s="252" t="inlineStr">
        <is>
          <t>т</t>
        </is>
      </c>
      <c r="E56" s="123" t="n">
        <v>0.0001</v>
      </c>
      <c r="F56" s="261" t="n">
        <v>9661.5</v>
      </c>
      <c r="G56" s="26">
        <f>ROUND(E56*F56,2)</f>
        <v/>
      </c>
      <c r="H56" s="125">
        <f>G56/$G$63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91">
      <c r="A57" s="252" t="n">
        <v>29</v>
      </c>
      <c r="B57" s="132" t="inlineStr">
        <is>
          <t>14.4.03.03-0102</t>
        </is>
      </c>
      <c r="C57" s="259" t="inlineStr">
        <is>
          <t>Лак БТ-577</t>
        </is>
      </c>
      <c r="D57" s="252" t="inlineStr">
        <is>
          <t>т</t>
        </is>
      </c>
      <c r="E57" s="123" t="n">
        <v>0.0001</v>
      </c>
      <c r="F57" s="261" t="n">
        <v>9550.01</v>
      </c>
      <c r="G57" s="26">
        <f>ROUND(E57*F57,2)</f>
        <v/>
      </c>
      <c r="H57" s="125">
        <f>G57/$G$63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91">
      <c r="A58" s="252" t="n">
        <v>30</v>
      </c>
      <c r="B58" s="132" t="inlineStr">
        <is>
          <t>01.3.02.08-0001</t>
        </is>
      </c>
      <c r="C58" s="259" t="inlineStr">
        <is>
          <t>Кислород технический: газообразный</t>
        </is>
      </c>
      <c r="D58" s="252" t="inlineStr">
        <is>
          <t>м3</t>
        </is>
      </c>
      <c r="E58" s="123" t="n">
        <v>0.0286</v>
      </c>
      <c r="F58" s="261" t="n">
        <v>6.22</v>
      </c>
      <c r="G58" s="26">
        <f>ROUND(E58*F58,2)</f>
        <v/>
      </c>
      <c r="H58" s="125">
        <f>G58/$G$63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191">
      <c r="A59" s="252" t="n">
        <v>31</v>
      </c>
      <c r="B59" s="132" t="inlineStr">
        <is>
          <t>01.7.20.08-0051</t>
        </is>
      </c>
      <c r="C59" s="259" t="inlineStr">
        <is>
          <t>Ветошь</t>
        </is>
      </c>
      <c r="D59" s="252" t="inlineStr">
        <is>
          <t>кг</t>
        </is>
      </c>
      <c r="E59" s="123" t="n">
        <v>0.02</v>
      </c>
      <c r="F59" s="261" t="n">
        <v>1.82</v>
      </c>
      <c r="G59" s="26">
        <f>ROUND(E59*F59,2)</f>
        <v/>
      </c>
      <c r="H59" s="125">
        <f>G59/$G$63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2" t="n">
        <v>32</v>
      </c>
      <c r="B60" s="132" t="inlineStr">
        <is>
          <t>01.7.03.01-0001</t>
        </is>
      </c>
      <c r="C60" s="259" t="inlineStr">
        <is>
          <t>Вода</t>
        </is>
      </c>
      <c r="D60" s="252" t="inlineStr">
        <is>
          <t>м3</t>
        </is>
      </c>
      <c r="E60" s="123" t="n">
        <v>0.0165</v>
      </c>
      <c r="F60" s="261" t="n">
        <v>2.44</v>
      </c>
      <c r="G60" s="26">
        <f>ROUND(E60*F60,2)</f>
        <v/>
      </c>
      <c r="H60" s="125">
        <f>G60/$G$63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2" t="n">
        <v>33</v>
      </c>
      <c r="B61" s="132" t="inlineStr">
        <is>
          <t>01.3.02.09-0022</t>
        </is>
      </c>
      <c r="C61" s="259" t="inlineStr">
        <is>
          <t>Пропан-бутан, смесь техническая</t>
        </is>
      </c>
      <c r="D61" s="252" t="inlineStr">
        <is>
          <t>кг</t>
        </is>
      </c>
      <c r="E61" s="123" t="n">
        <v>0.0055</v>
      </c>
      <c r="F61" s="261" t="n">
        <v>6.09</v>
      </c>
      <c r="G61" s="26">
        <f>ROUND(E61*F61,2)</f>
        <v/>
      </c>
      <c r="H61" s="125">
        <f>G61/$G$63</f>
        <v/>
      </c>
      <c r="I61" s="26">
        <f>ROUND(F61*Прил.10!$D$13,2)</f>
        <v/>
      </c>
      <c r="J61" s="26">
        <f>ROUND(I61*E61,2)</f>
        <v/>
      </c>
    </row>
    <row r="62" collapsed="1" ht="14.25" customFormat="1" customHeight="1" s="191">
      <c r="A62" s="252" t="n"/>
      <c r="B62" s="252" t="n"/>
      <c r="C62" s="259" t="inlineStr">
        <is>
          <t>Итого прочие материалы</t>
        </is>
      </c>
      <c r="D62" s="252" t="n"/>
      <c r="E62" s="260" t="n"/>
      <c r="F62" s="261" t="n"/>
      <c r="G62" s="128">
        <f>SUM(G50:G61)</f>
        <v/>
      </c>
      <c r="H62" s="125">
        <f>G62/$G$63</f>
        <v/>
      </c>
      <c r="I62" s="26" t="n"/>
      <c r="J62" s="128">
        <f>SUM(J50:J61)</f>
        <v/>
      </c>
    </row>
    <row r="63" ht="14.25" customFormat="1" customHeight="1" s="191">
      <c r="A63" s="252" t="n"/>
      <c r="B63" s="252" t="n"/>
      <c r="C63" s="242" t="inlineStr">
        <is>
          <t>Итого по разделу «Материалы»</t>
        </is>
      </c>
      <c r="D63" s="252" t="n"/>
      <c r="E63" s="260" t="n"/>
      <c r="F63" s="261" t="n"/>
      <c r="G63" s="26">
        <f>G49+G62</f>
        <v/>
      </c>
      <c r="H63" s="125">
        <f>G63/$G$63</f>
        <v/>
      </c>
      <c r="I63" s="26" t="n"/>
      <c r="J63" s="26">
        <f>J49+J62</f>
        <v/>
      </c>
    </row>
    <row r="64" ht="14.25" customFormat="1" customHeight="1" s="191">
      <c r="A64" s="252" t="n"/>
      <c r="B64" s="252" t="n"/>
      <c r="C64" s="259" t="inlineStr">
        <is>
          <t>ИТОГО ПО РМ</t>
        </is>
      </c>
      <c r="D64" s="252" t="n"/>
      <c r="E64" s="260" t="n"/>
      <c r="F64" s="261" t="n"/>
      <c r="G64" s="26">
        <f>G14+G34+G63</f>
        <v/>
      </c>
      <c r="H64" s="262" t="n"/>
      <c r="I64" s="26" t="n"/>
      <c r="J64" s="26">
        <f>J14+J34+J63</f>
        <v/>
      </c>
    </row>
    <row r="65" ht="14.25" customFormat="1" customHeight="1" s="191">
      <c r="A65" s="252" t="n"/>
      <c r="B65" s="252" t="n"/>
      <c r="C65" s="259" t="inlineStr">
        <is>
          <t>Накладные расходы</t>
        </is>
      </c>
      <c r="D65" s="130">
        <f>ROUND(G65/(G$16+$G$14),2)</f>
        <v/>
      </c>
      <c r="E65" s="260" t="n"/>
      <c r="F65" s="261" t="n"/>
      <c r="G65" s="26" t="n">
        <v>537</v>
      </c>
      <c r="H65" s="262" t="n"/>
      <c r="I65" s="26" t="n"/>
      <c r="J65" s="26">
        <f>ROUND(D65*(J14+J16),2)</f>
        <v/>
      </c>
    </row>
    <row r="66" ht="14.25" customFormat="1" customHeight="1" s="191">
      <c r="A66" s="252" t="n"/>
      <c r="B66" s="252" t="n"/>
      <c r="C66" s="259" t="inlineStr">
        <is>
          <t>Сметная прибыль</t>
        </is>
      </c>
      <c r="D66" s="130">
        <f>ROUND(G66/(G$14+G$16),2)</f>
        <v/>
      </c>
      <c r="E66" s="260" t="n"/>
      <c r="F66" s="261" t="n"/>
      <c r="G66" s="26" t="n">
        <v>285</v>
      </c>
      <c r="H66" s="262" t="n"/>
      <c r="I66" s="26" t="n"/>
      <c r="J66" s="26">
        <f>ROUND(D66*(J14+J16),2)</f>
        <v/>
      </c>
    </row>
    <row r="67" ht="14.25" customFormat="1" customHeight="1" s="191">
      <c r="A67" s="252" t="n"/>
      <c r="B67" s="252" t="n"/>
      <c r="C67" s="259" t="inlineStr">
        <is>
          <t>Итого СМР (с НР и СП)</t>
        </is>
      </c>
      <c r="D67" s="252" t="n"/>
      <c r="E67" s="260" t="n"/>
      <c r="F67" s="261" t="n"/>
      <c r="G67" s="26">
        <f>G14+G34+G63+G65+G66</f>
        <v/>
      </c>
      <c r="H67" s="262" t="n"/>
      <c r="I67" s="26" t="n"/>
      <c r="J67" s="26">
        <f>J14+J34+J63+J65+J66</f>
        <v/>
      </c>
    </row>
    <row r="68" ht="14.25" customFormat="1" customHeight="1" s="191">
      <c r="A68" s="252" t="n"/>
      <c r="B68" s="252" t="n"/>
      <c r="C68" s="259" t="inlineStr">
        <is>
          <t>ВСЕГО СМР + ОБОРУДОВАНИЕ</t>
        </is>
      </c>
      <c r="D68" s="252" t="n"/>
      <c r="E68" s="260" t="n"/>
      <c r="F68" s="261" t="n"/>
      <c r="G68" s="26">
        <f>G67+G40</f>
        <v/>
      </c>
      <c r="H68" s="262" t="n"/>
      <c r="I68" s="26" t="n"/>
      <c r="J68" s="26">
        <f>J67+J40</f>
        <v/>
      </c>
    </row>
    <row r="69" ht="34.5" customFormat="1" customHeight="1" s="191">
      <c r="A69" s="252" t="n"/>
      <c r="B69" s="252" t="n"/>
      <c r="C69" s="259" t="inlineStr">
        <is>
          <t>ИТОГО ПОКАЗАТЕЛЬ НА ЕД. ИЗМ.</t>
        </is>
      </c>
      <c r="D69" s="252" t="inlineStr">
        <is>
          <t>ед.</t>
        </is>
      </c>
      <c r="E69" s="260" t="n">
        <v>1</v>
      </c>
      <c r="F69" s="261" t="n"/>
      <c r="G69" s="26">
        <f>G68/E69</f>
        <v/>
      </c>
      <c r="H69" s="262" t="n"/>
      <c r="I69" s="26" t="n"/>
      <c r="J69" s="26">
        <f>J68/E69</f>
        <v/>
      </c>
    </row>
    <row r="71" ht="14.25" customFormat="1" customHeight="1" s="191">
      <c r="A71" s="190" t="inlineStr">
        <is>
          <t>Составил ______________________     Е. М. Добровольская</t>
        </is>
      </c>
    </row>
    <row r="72" ht="14.25" customFormat="1" customHeight="1" s="191">
      <c r="A72" s="193" t="inlineStr">
        <is>
          <t xml:space="preserve">                         (подпись, инициалы, фамилия)</t>
        </is>
      </c>
    </row>
    <row r="73" ht="14.25" customFormat="1" customHeight="1" s="191">
      <c r="A73" s="190" t="n"/>
    </row>
    <row r="74" ht="14.25" customFormat="1" customHeight="1" s="191">
      <c r="A74" s="190" t="inlineStr">
        <is>
          <t>Проверил ______________________        А.В. Костянецкая</t>
        </is>
      </c>
    </row>
    <row r="75" ht="14.25" customFormat="1" customHeight="1" s="191">
      <c r="A75" s="1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43:H43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19" sqref="D19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7" t="inlineStr">
        <is>
          <t>Приложение №6</t>
        </is>
      </c>
    </row>
    <row r="2" ht="21.75" customHeight="1" s="194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 s="194">
      <c r="A4" s="23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2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4">
      <c r="A9" s="99" t="n"/>
      <c r="B9" s="259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4">
      <c r="A10" s="252" t="n"/>
      <c r="B10" s="242" t="n"/>
      <c r="C10" s="259" t="inlineStr">
        <is>
          <t>ИТОГО ИНЖЕНЕРНОЕ ОБОРУДОВАНИЕ</t>
        </is>
      </c>
      <c r="D10" s="242" t="n"/>
      <c r="E10" s="100" t="n"/>
      <c r="F10" s="261" t="n"/>
      <c r="G10" s="261" t="n">
        <v>0</v>
      </c>
    </row>
    <row r="11">
      <c r="A11" s="252" t="n"/>
      <c r="B11" s="259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4">
      <c r="A12" s="252" t="n">
        <v>1</v>
      </c>
      <c r="B12" s="259">
        <f>'Прил.5 Расчет СМР и ОБ'!B37</f>
        <v/>
      </c>
      <c r="C12" s="259">
        <f>'Прил.5 Расчет СМР и ОБ'!C37</f>
        <v/>
      </c>
      <c r="D12" s="252">
        <f>'Прил.5 Расчет СМР и ОБ'!D37</f>
        <v/>
      </c>
      <c r="E12" s="123">
        <f>'Прил.5 Расчет СМР и ОБ'!E37</f>
        <v/>
      </c>
      <c r="F12" s="271">
        <f>'Прил.5 Расчет СМР и ОБ'!F37</f>
        <v/>
      </c>
      <c r="G12" s="26">
        <f>ROUND(E12*F12,2)</f>
        <v/>
      </c>
    </row>
    <row r="13" ht="25.5" customHeight="1" s="194">
      <c r="A13" s="252" t="n"/>
      <c r="B13" s="259" t="n"/>
      <c r="C13" s="259" t="inlineStr">
        <is>
          <t>ИТОГО ТЕХНОЛОГИЧЕСКОЕ ОБОРУДОВАНИЕ</t>
        </is>
      </c>
      <c r="D13" s="259" t="n"/>
      <c r="E13" s="271" t="n"/>
      <c r="F13" s="261" t="n"/>
      <c r="G13" s="26">
        <f>SUM(G12:G12)</f>
        <v/>
      </c>
    </row>
    <row r="14" ht="19.5" customHeight="1" s="194">
      <c r="A14" s="252" t="n"/>
      <c r="B14" s="259" t="n"/>
      <c r="C14" s="259" t="inlineStr">
        <is>
          <t>Всего по разделу «Оборудование»</t>
        </is>
      </c>
      <c r="D14" s="259" t="n"/>
      <c r="E14" s="271" t="n"/>
      <c r="F14" s="261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220" t="n"/>
      <c r="B1" s="220" t="n"/>
      <c r="C1" s="220" t="n"/>
      <c r="D1" s="220" t="inlineStr">
        <is>
          <t>Приложение №7</t>
        </is>
      </c>
    </row>
    <row r="2" ht="15.75" customHeight="1" s="194">
      <c r="A2" s="220" t="n"/>
      <c r="B2" s="220" t="n"/>
      <c r="C2" s="220" t="n"/>
      <c r="D2" s="220" t="n"/>
    </row>
    <row r="3" ht="15.75" customHeight="1" s="194">
      <c r="A3" s="220" t="n"/>
      <c r="B3" s="185" t="inlineStr">
        <is>
          <t>Расчет показателя УНЦ</t>
        </is>
      </c>
      <c r="C3" s="220" t="n"/>
      <c r="D3" s="220" t="n"/>
    </row>
    <row r="4" ht="15.75" customHeight="1" s="194">
      <c r="A4" s="220" t="n"/>
      <c r="B4" s="220" t="n"/>
      <c r="C4" s="220" t="n"/>
      <c r="D4" s="220" t="n"/>
    </row>
    <row r="5" ht="47.25" customHeight="1" s="194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4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194">
      <c r="A7" s="220" t="n"/>
      <c r="B7" s="220" t="n"/>
      <c r="C7" s="220" t="n"/>
      <c r="D7" s="220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4">
      <c r="A10" s="240" t="n">
        <v>1</v>
      </c>
      <c r="B10" s="240" t="n">
        <v>2</v>
      </c>
      <c r="C10" s="240" t="n">
        <v>3</v>
      </c>
      <c r="D10" s="240" t="n">
        <v>4</v>
      </c>
    </row>
    <row r="11" ht="110.25" customHeight="1" s="194">
      <c r="A11" s="240" t="inlineStr">
        <is>
          <t>Э2-02</t>
        </is>
      </c>
      <c r="B11" s="240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2" sqref="D22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5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4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4">
      <c r="B10" s="240" t="n">
        <v>1</v>
      </c>
      <c r="C10" s="240" t="n">
        <v>2</v>
      </c>
      <c r="D10" s="240" t="n">
        <v>3</v>
      </c>
    </row>
    <row r="11" ht="45" customHeight="1" s="194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194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194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194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4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194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194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194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40" t="n"/>
      <c r="D10" s="240" t="n"/>
      <c r="E10" s="206" t="n">
        <v>3.4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07" t="n">
        <v>1.247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194">
      <c r="A12" s="19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 ht="14.45" customHeight="1" s="194">
      <c r="A14" s="216" t="n"/>
      <c r="B14" s="276" t="inlineStr">
        <is>
          <t>Ведущий инженер</t>
        </is>
      </c>
      <c r="C14" s="321" t="n"/>
      <c r="D14" s="321" t="n"/>
      <c r="E14" s="321" t="n"/>
      <c r="F14" s="322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40" t="inlineStr">
        <is>
          <t>С1ср</t>
        </is>
      </c>
      <c r="D15" s="240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0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40" t="inlineStr">
        <is>
          <t>tср</t>
        </is>
      </c>
      <c r="D16" s="240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40" t="inlineStr">
        <is>
          <t>Кув</t>
        </is>
      </c>
      <c r="D17" s="240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40" t="n"/>
      <c r="D18" s="240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0" t="n"/>
    </row>
    <row r="20" ht="78.75" customHeight="1" s="194">
      <c r="A20" s="198" t="inlineStr">
        <is>
          <t>1.6</t>
        </is>
      </c>
      <c r="B20" s="222" t="inlineStr">
        <is>
          <t>Коэффициент инфляции, определяемый поквартально</t>
        </is>
      </c>
      <c r="C20" s="240" t="inlineStr">
        <is>
          <t>Кинф</t>
        </is>
      </c>
      <c r="D20" s="240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40" t="inlineStr">
        <is>
          <t>ФОТр.тек.</t>
        </is>
      </c>
      <c r="D21" s="240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0" t="n"/>
    </row>
    <row r="22" ht="15.75" customHeight="1" s="194">
      <c r="A22" s="216" t="n"/>
      <c r="B22" s="276" t="inlineStr">
        <is>
          <t>Инженер I категории</t>
        </is>
      </c>
      <c r="C22" s="321" t="n"/>
      <c r="D22" s="321" t="n"/>
      <c r="E22" s="321" t="n"/>
      <c r="F22" s="322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40" t="inlineStr">
        <is>
          <t>С1ср</t>
        </is>
      </c>
      <c r="D23" s="240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0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40" t="inlineStr">
        <is>
          <t>tср</t>
        </is>
      </c>
      <c r="D24" s="240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40" t="inlineStr">
        <is>
          <t>Кув</t>
        </is>
      </c>
      <c r="D25" s="240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40" t="n"/>
      <c r="D26" s="240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0" t="n"/>
    </row>
    <row r="28" ht="78.75" customHeight="1" s="194">
      <c r="A28" s="198" t="inlineStr">
        <is>
          <t>1.6</t>
        </is>
      </c>
      <c r="B28" s="222" t="inlineStr">
        <is>
          <t>Коэффициент инфляции, определяемый поквартально</t>
        </is>
      </c>
      <c r="C28" s="240" t="inlineStr">
        <is>
          <t>Кинф</t>
        </is>
      </c>
      <c r="D28" s="240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40" t="inlineStr">
        <is>
          <t>ФОТр.тек.</t>
        </is>
      </c>
      <c r="D29" s="240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0" t="n"/>
    </row>
    <row r="30" ht="15.75" customHeight="1" s="194">
      <c r="A30" s="216" t="n"/>
      <c r="B30" s="276" t="inlineStr">
        <is>
          <t>Инженер II категории</t>
        </is>
      </c>
      <c r="C30" s="321" t="n"/>
      <c r="D30" s="321" t="n"/>
      <c r="E30" s="321" t="n"/>
      <c r="F30" s="322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40" t="inlineStr">
        <is>
          <t>С1ср</t>
        </is>
      </c>
      <c r="D31" s="240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20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40" t="inlineStr">
        <is>
          <t>tср</t>
        </is>
      </c>
      <c r="D32" s="240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40" t="inlineStr">
        <is>
          <t>Кув</t>
        </is>
      </c>
      <c r="D33" s="240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40" t="n"/>
      <c r="D34" s="240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20" t="n"/>
    </row>
    <row r="36" ht="78.75" customHeight="1" s="194">
      <c r="A36" s="198" t="inlineStr">
        <is>
          <t>1.6</t>
        </is>
      </c>
      <c r="B36" s="222" t="inlineStr">
        <is>
          <t>Коэффициент инфляции, определяемый поквартально</t>
        </is>
      </c>
      <c r="C36" s="240" t="inlineStr">
        <is>
          <t>Кинф</t>
        </is>
      </c>
      <c r="D36" s="240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40" t="inlineStr">
        <is>
          <t>ФОТр.тек.</t>
        </is>
      </c>
      <c r="D37" s="240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20" t="n"/>
    </row>
    <row r="38" ht="15.75" customHeight="1" s="194">
      <c r="A38" s="216" t="n"/>
      <c r="B38" s="276" t="inlineStr">
        <is>
          <t>Инженер III категории</t>
        </is>
      </c>
      <c r="C38" s="321" t="n"/>
      <c r="D38" s="321" t="n"/>
      <c r="E38" s="321" t="n"/>
      <c r="F38" s="322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40" t="inlineStr">
        <is>
          <t>С1ср</t>
        </is>
      </c>
      <c r="D39" s="240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20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40" t="inlineStr">
        <is>
          <t>tср</t>
        </is>
      </c>
      <c r="D40" s="240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40" t="inlineStr">
        <is>
          <t>Кув</t>
        </is>
      </c>
      <c r="D41" s="240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40" t="n"/>
      <c r="D42" s="240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20" t="n"/>
    </row>
    <row r="44" ht="78.75" customHeight="1" s="194">
      <c r="A44" s="198" t="inlineStr">
        <is>
          <t>1.6</t>
        </is>
      </c>
      <c r="B44" s="222" t="inlineStr">
        <is>
          <t>Коэффициент инфляции, определяемый поквартально</t>
        </is>
      </c>
      <c r="C44" s="240" t="inlineStr">
        <is>
          <t>Кинф</t>
        </is>
      </c>
      <c r="D44" s="240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40" t="inlineStr">
        <is>
          <t>ФОТр.тек.</t>
        </is>
      </c>
      <c r="D45" s="240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20" t="n"/>
    </row>
    <row r="46" ht="15.75" customHeight="1" s="194">
      <c r="A46" s="216" t="n"/>
      <c r="B46" s="276" t="inlineStr">
        <is>
          <t>Техник I категории</t>
        </is>
      </c>
      <c r="C46" s="321" t="n"/>
      <c r="D46" s="321" t="n"/>
      <c r="E46" s="321" t="n"/>
      <c r="F46" s="322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40" t="inlineStr">
        <is>
          <t>С1ср</t>
        </is>
      </c>
      <c r="D47" s="240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20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40" t="inlineStr">
        <is>
          <t>tср</t>
        </is>
      </c>
      <c r="D48" s="240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40" t="inlineStr">
        <is>
          <t>Кув</t>
        </is>
      </c>
      <c r="D49" s="240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40" t="n"/>
      <c r="D50" s="240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20" t="n"/>
    </row>
    <row r="52" ht="78.75" customHeight="1" s="194">
      <c r="A52" s="198" t="inlineStr">
        <is>
          <t>1.6</t>
        </is>
      </c>
      <c r="B52" s="222" t="inlineStr">
        <is>
          <t>Коэффициент инфляции, определяемый поквартально</t>
        </is>
      </c>
      <c r="C52" s="240" t="inlineStr">
        <is>
          <t>Кинф</t>
        </is>
      </c>
      <c r="D52" s="240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40" t="inlineStr">
        <is>
          <t>ФОТр.тек.</t>
        </is>
      </c>
      <c r="D53" s="240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2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2025-01-24T12:19:22Z</dcterms:modified>
  <cp:lastModifiedBy>REDMIBOOK</cp:lastModifiedBy>
  <cp:lastPrinted>2023-11-30T12:35:14Z</cp:lastPrinted>
</cp:coreProperties>
</file>