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\AUTOEXEC" localSheetId="8">#REF!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_xlnm.Primt_Area_3" localSheetId="8">#REF!</definedName>
    <definedName name="__IntlFixup" localSheetId="8">TRUE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xlnm.Primt_Area_3" localSheetId="8">#REF!</definedName>
    <definedName name="_02121" localSheetId="8">#REF!</definedName>
    <definedName name="_er2" localSheetId="8">{"'ФОТр.тек.'!glc1",#N/A,FALSE,"GLC";"'ФОТр.тек.'!glc2",#N/A,FALSE,"GLC";"'ФОТр.тек.'!glc3",#N/A,FALSE,"GLC";"'ФОТр.тек.'!glc4",#N/A,FALSE,"GLC";"'ФОТр.тек.'!glc5",#N/A,FALSE,"GLC"}</definedName>
    <definedName name="_Fill" localSheetId="8">#REF!</definedName>
    <definedName name="_Hlt440565644_1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z" localSheetId="8">#REF!</definedName>
    <definedName name="_Восемь" localSheetId="8">#REF!</definedName>
    <definedName name="_два_1" localSheetId="8">#REF!</definedName>
    <definedName name="_два_2" localSheetId="8">#REF!</definedName>
    <definedName name="_Девять" localSheetId="8">#REF!</definedName>
    <definedName name="_пять" localSheetId="8">#REF!</definedName>
    <definedName name="_Раз" localSheetId="8">#REF!</definedName>
    <definedName name="_семь_1" localSheetId="8">#REF!</definedName>
    <definedName name="_семь_2" localSheetId="8">#REF!</definedName>
    <definedName name="_три" localSheetId="8">#REF!</definedName>
    <definedName name="_четыре" localSheetId="8">#REF!</definedName>
    <definedName name="_шесть_1" localSheetId="8">#REF!</definedName>
    <definedName name="_шесть_2" localSheetId="8">#REF!</definedName>
    <definedName name="asd" localSheetId="8">#REF!</definedName>
    <definedName name="curs" localSheetId="8">#REF!</definedName>
    <definedName name="Excel_BuiltIn_Print_Area_10_1" localSheetId="8">#REF!</definedName>
    <definedName name="Excel_BuiltIn_Print_Area_15" localSheetId="8">#REF!</definedName>
    <definedName name="Excel_BuiltIn_Print_Area_2_1" localSheetId="8">#REF!</definedName>
    <definedName name="Excel_BuiltIn_Print_Area_3_1" localSheetId="8">#REF!</definedName>
    <definedName name="Excel_BuiltIn_Print_Area_4" localSheetId="8">#REF!</definedName>
    <definedName name="Excel_BuiltIn_Print_Area_5" localSheetId="8">#REF!</definedName>
    <definedName name="Excel_BuiltIn_Print_Area_7_1" localSheetId="8">#REF!</definedName>
    <definedName name="Excel_BuiltIn_Print_Area_8_1" localSheetId="8">#REF!</definedName>
    <definedName name="Excel_BuiltIn_Print_Area_9_1" localSheetId="8">#REF!</definedName>
    <definedName name="Iквартал2014" localSheetId="8">#REF!</definedName>
    <definedName name="Jkz" localSheetId="8">#REF!</definedName>
    <definedName name="kinf09_08" localSheetId="8">#REF!</definedName>
    <definedName name="kinf10_09" localSheetId="8">#REF!</definedName>
    <definedName name="kinf11_10" localSheetId="8">#REF!</definedName>
    <definedName name="kinf12_11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Nalog" localSheetId="8">#REF!</definedName>
    <definedName name="opmes" localSheetId="8">#REF!</definedName>
    <definedName name="rrr" localSheetId="8">#REF!</definedName>
    <definedName name="SD_DC" localSheetId="8">#REF!</definedName>
    <definedName name="titl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АКСТ" localSheetId="8">#REF!</definedName>
    <definedName name="аолрмб" localSheetId="8">#REF!</definedName>
    <definedName name="Богат" localSheetId="8">#REF!</definedName>
    <definedName name="быч" localSheetId="8">#REF!</definedName>
    <definedName name="вб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етер" localSheetId="8">#REF!</definedName>
    <definedName name="ВЛ110" localSheetId="8">#REF!</definedName>
    <definedName name="Воздушные_линии" localSheetId="8">#REF!</definedName>
    <definedName name="Восстановление_покрытий" localSheetId="8">#REF!</definedName>
    <definedName name="вс" localSheetId="8">{#N/A,#N/A,FALSE,"Aging Summary";#N/A,#N/A,FALSE,"Ratio Analysis";#N/A,#N/A,FALSE,"Test 120 Day Accts";#N/A,#N/A,FALSE,"Tickmarks"}</definedName>
    <definedName name="Всего_по_смете" localSheetId="8">#REF!</definedName>
    <definedName name="ВсегоРучБур" localSheetId="8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газ" localSheetId="8">#REF!</definedName>
    <definedName name="ГИП" localSheetId="8">#REF!</definedName>
    <definedName name="ГИП2" localSheetId="8">#REF!</definedName>
    <definedName name="гк" localSheetId="8">#REF!</definedName>
    <definedName name="го" localSheetId="8">#REF!</definedName>
    <definedName name="гш" localSheetId="8">#REF!</definedName>
    <definedName name="д" localSheetId="8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ефл_ц_пред_год" localSheetId="8">#REF!</definedName>
    <definedName name="Дефлятор_годовой" localSheetId="8">#REF!</definedName>
    <definedName name="Дефлятор_цепной" localSheetId="8">#REF!</definedName>
    <definedName name="дж" localSheetId="8">#REF!</definedName>
    <definedName name="дж1" localSheetId="8">#REF!</definedName>
    <definedName name="дир" localSheetId="8">#REF!</definedName>
    <definedName name="ДМС_АУП" localSheetId="8">#REF!</definedName>
    <definedName name="ДМС_ПЭЭ" localSheetId="8">#REF!</definedName>
    <definedName name="ДМС_ТП" localSheetId="8">#REF!</definedName>
    <definedName name="док" localSheetId="8">#REF!</definedName>
    <definedName name="Должность" localSheetId="8">#REF!</definedName>
    <definedName name="дтс" localSheetId="8">#REF!</definedName>
    <definedName name="ЕВР" localSheetId="8">#REF!</definedName>
    <definedName name="жж" localSheetId="8">#REF!</definedName>
    <definedName name="ЗаказДолжность" localSheetId="8">#REF!</definedName>
    <definedName name="ЗаказИмя" localSheetId="8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ел" localSheetId="8">#REF!</definedName>
    <definedName name="зит" localSheetId="8">#REF!</definedName>
    <definedName name="Зоны" localSheetId="8">#REF!</definedName>
    <definedName name="ис" localSheetId="8">#REF!</definedName>
    <definedName name="йцу" localSheetId="8">#REF!</definedName>
    <definedName name="Кабельные_линии" localSheetId="8">#REF!</definedName>
    <definedName name="КВАРТАЛ" localSheetId="8">#REF!</definedName>
    <definedName name="Кварталы" localSheetId="8">#REF!</definedName>
    <definedName name="КиП_АУП" localSheetId="8">#REF!</definedName>
    <definedName name="КиП_ПЭЭ" localSheetId="8">#REF!</definedName>
    <definedName name="КиП_ТП" localSheetId="8">#REF!</definedName>
    <definedName name="Количество_листов" localSheetId="8">#REF!</definedName>
    <definedName name="Колп" localSheetId="8">#REF!</definedName>
    <definedName name="Компенсаторы" localSheetId="8">#REF!</definedName>
    <definedName name="Комплектные_трансформаторные_устройства" localSheetId="8">#REF!</definedName>
    <definedName name="КонПериода" localSheetId="8">#REF!</definedName>
    <definedName name="Контрагент" localSheetId="8">#REF!</definedName>
    <definedName name="корр" localSheetId="8">{#N/A,#N/A,FALSE,"Шаблон_Спец1"}</definedName>
    <definedName name="Костромская_область" localSheetId="8">#REF!</definedName>
    <definedName name="КОЭФ4" localSheetId="8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ра" localSheetId="8">#REF!</definedName>
    <definedName name="Крек" localSheetId="8">#REF!</definedName>
    <definedName name="Крп" localSheetId="8">#REF!</definedName>
    <definedName name="Курс_доллара" localSheetId="8">#REF!</definedName>
    <definedName name="Кэл" localSheetId="8">#REF!</definedName>
    <definedName name="ЛенЗина" localSheetId="8">#REF!</definedName>
    <definedName name="лес" localSheetId="8">#REF!</definedName>
    <definedName name="Мак" localSheetId="8">#REF!</definedName>
    <definedName name="мж1" localSheetId="8">#REF!</definedName>
    <definedName name="мил" localSheetId="8">{0,"овz";1,"z";2,"аz";5,"овz"}</definedName>
    <definedName name="мин" localSheetId="8">#REF!</definedName>
    <definedName name="мичм" localSheetId="8">#REF!</definedName>
    <definedName name="муж" localSheetId="8">#REF!</definedName>
    <definedName name="наз" localSheetId="8">#REF!</definedName>
    <definedName name="назв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чПериода" localSheetId="8">#REF!</definedName>
    <definedName name="нес2" localSheetId="8">#REF!</definedName>
    <definedName name="НК" localSheetId="8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мер_Сметы" localSheetId="8">#REF!</definedName>
    <definedName name="НомерДоговора" localSheetId="8">#REF!</definedName>
    <definedName name="НомерПериода" localSheetId="8">#REF!</definedName>
    <definedName name="НПФ_АУП" localSheetId="8">#REF!</definedName>
    <definedName name="НПФ_ПЭЭ" localSheetId="8">#REF!</definedName>
    <definedName name="НПФ_ТП" localSheetId="8">#REF!</definedName>
    <definedName name="нр" localSheetId="8">#REF!</definedName>
    <definedName name="Нсапк" localSheetId="8">#REF!</definedName>
    <definedName name="Нсстр" localSheetId="8">#REF!</definedName>
    <definedName name="обл" localSheetId="8">#REF!</definedName>
    <definedName name="Область_печати_ИМ" localSheetId="8">#REF!</definedName>
    <definedName name="Обучение_АУП" localSheetId="8">#REF!</definedName>
    <definedName name="Обучение_ПЭЭ" localSheetId="8">#REF!</definedName>
    <definedName name="Обучение_ТП" localSheetId="8">#REF!</definedName>
    <definedName name="ОБЪЕКТ" localSheetId="8">#REF!</definedName>
    <definedName name="ОбъектАдрес" localSheetId="8">#REF!</definedName>
    <definedName name="Объекты" localSheetId="8">#REF!</definedName>
    <definedName name="объем___0" localSheetId="8">#REF!</definedName>
    <definedName name="объем___10___0___0" localSheetId="8">#REF!</definedName>
    <definedName name="объем___11" localSheetId="8">#REF!</definedName>
    <definedName name="объем___11___10" localSheetId="8">#REF!</definedName>
    <definedName name="объем___2" localSheetId="8">#REF!</definedName>
    <definedName name="объем___3___10" localSheetId="8">#REF!</definedName>
    <definedName name="объем___4___0___0" localSheetId="8">#REF!</definedName>
    <definedName name="объем___5___0" localSheetId="8">#REF!</definedName>
    <definedName name="объем___6___0" localSheetId="8">#REF!</definedName>
    <definedName name="ок" localSheetId="8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рганизация" localSheetId="8">#REF!</definedName>
    <definedName name="ОРУ_по_блочным_и_мостиковым_схемам" localSheetId="8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Ф_а_с_пц" localSheetId="8">#REF!</definedName>
    <definedName name="оч" localSheetId="8">#REF!</definedName>
    <definedName name="пет" localSheetId="8">#REF!</definedName>
    <definedName name="Пкр" localSheetId="8">#REF!</definedName>
    <definedName name="Побв" localSheetId="8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6___0" localSheetId="8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ппппп" localSheetId="8">#REF!</definedName>
    <definedName name="прайс" localSheetId="8">#REF!</definedName>
    <definedName name="приб" localSheetId="8">#REF!</definedName>
    <definedName name="прибл" localSheetId="8">#REF!</definedName>
    <definedName name="прим" localSheetId="8">#REF!</definedName>
    <definedName name="Прогноз_Вып_пц" localSheetId="8">#REF!</definedName>
    <definedName name="Прокладка_ВОЛС_в_траншее" localSheetId="8">#REF!</definedName>
    <definedName name="Прот" localSheetId="8">#REF!</definedName>
    <definedName name="Противоаварийная_автоматика_ПС" localSheetId="8">#REF!</definedName>
    <definedName name="псков" localSheetId="8">#REF!</definedName>
    <definedName name="пус" localSheetId="8">#REF!</definedName>
    <definedName name="пуш" localSheetId="8">#REF!</definedName>
    <definedName name="рабдень" localSheetId="8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счет_реконструкции" localSheetId="8">#REF!</definedName>
    <definedName name="расчет1" localSheetId="8">#REF!</definedName>
    <definedName name="Расчёт1" localSheetId="8">#REF!</definedName>
    <definedName name="Расширение_ПС" localSheetId="8">#REF!</definedName>
    <definedName name="Реакторы" localSheetId="8">#REF!</definedName>
    <definedName name="Регион__вводит_пользователь_программы_из_контекстного_списка" localSheetId="8">#REF!</definedName>
    <definedName name="Регионы" localSheetId="8">#REF!</definedName>
    <definedName name="рига" localSheetId="8">#REF!</definedName>
    <definedName name="РПР" localSheetId="8">#REF!</definedName>
    <definedName name="С" localSheetId="8">{#N/A,#N/A,FALSE,"Шаблон_Спец1"}</definedName>
    <definedName name="с1" localSheetId="8">#REF!</definedName>
    <definedName name="СВсм" localSheetId="8">#REF!</definedName>
    <definedName name="СДП" localSheetId="8">#REF!</definedName>
    <definedName name="се" localSheetId="8">#REF!</definedName>
    <definedName name="Сегменты" localSheetId="8">#REF!</definedName>
    <definedName name="Сейсмика_зданий" localSheetId="8">#REF!</definedName>
    <definedName name="Сейсмика_линий" localSheetId="8">#REF!</definedName>
    <definedName name="СЗИТ" localSheetId="8">#REF!</definedName>
    <definedName name="СлБуд" localSheetId="8">#REF!</definedName>
    <definedName name="слон" localSheetId="8">#REF!</definedName>
    <definedName name="См6" localSheetId="8">#REF!</definedName>
    <definedName name="Смета_2" localSheetId="8">#REF!</definedName>
    <definedName name="Смета11" localSheetId="8">#REF!</definedName>
    <definedName name="Смета21" localSheetId="8">#REF!</definedName>
    <definedName name="Смета3" localSheetId="8">#REF!</definedName>
    <definedName name="Составил" localSheetId="8">#REF!</definedName>
    <definedName name="СоцРасходы_АУП" localSheetId="8">#REF!</definedName>
    <definedName name="СоцРАсходы_ПЭЭ" localSheetId="8">#REF!</definedName>
    <definedName name="СоцРАсходы_ТП" localSheetId="8">#REF!</definedName>
    <definedName name="Ст" localSheetId="8">#REF!</definedName>
    <definedName name="СтавкаWACC" localSheetId="8">#REF!</definedName>
    <definedName name="СТАД" localSheetId="8">#REF!</definedName>
    <definedName name="Станц10" localSheetId="8">#REF!</definedName>
    <definedName name="СТЕП" localSheetId="8">#REF!</definedName>
    <definedName name="Стоимость_специальных_переходов" localSheetId="8">#REF!</definedName>
    <definedName name="стороны" localSheetId="8">#REF!</definedName>
    <definedName name="Стр10" localSheetId="8">#REF!</definedName>
    <definedName name="СтрАУ" localSheetId="8">#REF!</definedName>
    <definedName name="СтрДУ" localSheetId="8">#REF!</definedName>
    <definedName name="Стрелки" localSheetId="8">#REF!</definedName>
    <definedName name="сумм" localSheetId="8">#REF!</definedName>
    <definedName name="сумт" localSheetId="8">#REF!</definedName>
    <definedName name="т" localSheetId="8">#REF!</definedName>
    <definedName name="Таблица_индексов" localSheetId="8">#REF!</definedName>
    <definedName name="Тип_ПС" localSheetId="8">#REF!</definedName>
    <definedName name="титул" localSheetId="8">#REF!</definedName>
    <definedName name="ТолькоРучЛаб" localSheetId="8">#REF!</definedName>
    <definedName name="Трансформаторы" localSheetId="8">#REF!</definedName>
    <definedName name="тыс" localSheetId="8">{0,"тысячz";1,"тысячаz";2,"тысячиz";5,"тысячz"}</definedName>
    <definedName name="тьбю" localSheetId="8">#REF!</definedName>
    <definedName name="Условия_ВЛ" localSheetId="8">#REF!</definedName>
    <definedName name="Условия_КЛ" localSheetId="8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ед" localSheetId="8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ФОТ_АУП" localSheetId="8">#REF!</definedName>
    <definedName name="ФОТ_ПЭЭ" localSheetId="8">#REF!</definedName>
    <definedName name="ФОТ_ТП" localSheetId="8">#REF!</definedName>
    <definedName name="цена___0" localSheetId="8">#REF!</definedName>
    <definedName name="цена___10___0___0" localSheetId="8">#REF!</definedName>
    <definedName name="цена___11" localSheetId="8">#REF!</definedName>
    <definedName name="цена___11___10" localSheetId="8">#REF!</definedName>
    <definedName name="цена___2" localSheetId="8">#REF!</definedName>
    <definedName name="цена___3___10" localSheetId="8">#REF!</definedName>
    <definedName name="цена___4___0___0" localSheetId="8">#REF!</definedName>
    <definedName name="цена___5___0" localSheetId="8">#REF!</definedName>
    <definedName name="цена___6___0" localSheetId="8">#REF!</definedName>
    <definedName name="ЦенаОбслед" localSheetId="8">#REF!</definedName>
    <definedName name="Численность_АУПИА" localSheetId="8">#REF!</definedName>
    <definedName name="Численность_АУПФ" localSheetId="8">#REF!</definedName>
    <definedName name="Численность_ПЭЭ" localSheetId="8">#REF!</definedName>
    <definedName name="Численность_ТП" localSheetId="8">#REF!</definedName>
    <definedName name="ЭКСПО" localSheetId="8">#REF!</definedName>
    <definedName name="ЭКСПОФОРУМ" localSheetId="8">#REF!</definedName>
    <definedName name="экт" localSheetId="8">#REF!</definedName>
    <definedName name="ЭлеСи" localSheetId="8">#REF!</definedName>
    <definedName name="я" localSheetId="8">#REF!</definedName>
    <definedName name="_xlnm.Print_Area" localSheetId="8">'ФОТр.тек.'!$A$1:$F$53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170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/>
    </xf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vertical="center" wrapText="1"/>
    </xf>
    <xf numFmtId="170" fontId="16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16" fillId="0" borderId="8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60" zoomScaleNormal="55" workbookViewId="0">
      <selection activeCell="D27" sqref="D27"/>
    </sheetView>
  </sheetViews>
  <sheetFormatPr baseColWidth="8" defaultColWidth="9.140625" defaultRowHeight="15.75"/>
  <cols>
    <col width="9.140625" customWidth="1" style="196" min="1" max="2"/>
    <col width="51.7109375" customWidth="1" style="196" min="3" max="3"/>
    <col width="47" customWidth="1" style="196" min="4" max="4"/>
    <col width="37.42578125" customWidth="1" style="196" min="5" max="5"/>
    <col width="9.140625" customWidth="1" style="196" min="6" max="6"/>
  </cols>
  <sheetData>
    <row r="3">
      <c r="B3" s="233" t="inlineStr">
        <is>
          <t>Приложение № 1</t>
        </is>
      </c>
    </row>
    <row r="4">
      <c r="B4" s="234" t="inlineStr">
        <is>
          <t>Сравнительная таблица отбора объекта-представителя</t>
        </is>
      </c>
    </row>
    <row r="5" ht="84" customHeight="1" s="194">
      <c r="B5" s="2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4">
      <c r="B6" s="167" t="n"/>
      <c r="C6" s="167" t="n"/>
      <c r="D6" s="167" t="n"/>
    </row>
    <row r="7" ht="64.5" customHeight="1" s="194">
      <c r="B7" s="235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250 кВА</t>
        </is>
      </c>
    </row>
    <row r="8" ht="31.5" customHeight="1" s="194">
      <c r="B8" s="235" t="inlineStr">
        <is>
          <t>Сопоставимый уровень цен: 2 квартал 2017 г</t>
        </is>
      </c>
    </row>
    <row r="9" ht="15.75" customHeight="1" s="194">
      <c r="B9" s="235" t="inlineStr">
        <is>
          <t>Единица измерения  — 1 единица</t>
        </is>
      </c>
    </row>
    <row r="10">
      <c r="B10" s="235" t="n"/>
    </row>
    <row r="11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 xml:space="preserve">Объект-представитель </t>
        </is>
      </c>
      <c r="E11" s="147" t="n"/>
    </row>
    <row r="12" ht="96.75" customHeight="1" s="194">
      <c r="B12" s="238" t="n">
        <v>1</v>
      </c>
      <c r="C12" s="208" t="inlineStr">
        <is>
          <t>Наименование объекта-представителя</t>
        </is>
      </c>
      <c r="D12" s="238" t="inlineStr">
        <is>
          <t>ПС 220 кВ Славянская с ВЛ 220 кВ Ермак - Славянская № 1, 2</t>
        </is>
      </c>
    </row>
    <row r="13">
      <c r="B13" s="238" t="n">
        <v>2</v>
      </c>
      <c r="C13" s="208" t="inlineStr">
        <is>
          <t>Наименование субъекта Российской Федерации</t>
        </is>
      </c>
      <c r="D13" s="238" t="inlineStr">
        <is>
          <t>Ямало-Ненецкий АО</t>
        </is>
      </c>
    </row>
    <row r="14">
      <c r="B14" s="238" t="n">
        <v>3</v>
      </c>
      <c r="C14" s="208" t="inlineStr">
        <is>
          <t>Климатический район и подрайон</t>
        </is>
      </c>
      <c r="D14" s="238" t="inlineStr">
        <is>
          <t>I</t>
        </is>
      </c>
    </row>
    <row r="15">
      <c r="B15" s="238" t="n">
        <v>4</v>
      </c>
      <c r="C15" s="208" t="inlineStr">
        <is>
          <t>Мощность объекта</t>
        </is>
      </c>
      <c r="D15" s="238" t="n">
        <v>1</v>
      </c>
    </row>
    <row r="16" ht="116.25" customHeight="1" s="194">
      <c r="B16" s="238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Комплектная трансформаторная подстанция КТПНВв-250/10/0,4 кВ
 и трансформатор масляный мощностью 250 кВА</t>
        </is>
      </c>
    </row>
    <row r="17" ht="79.5" customHeight="1" s="194">
      <c r="B17" s="238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6">
        <f>'Прил.2 Расч стоим'!J12</f>
        <v/>
      </c>
      <c r="E17" s="166" t="n"/>
    </row>
    <row r="18">
      <c r="B18" s="146" t="inlineStr">
        <is>
          <t>6.1</t>
        </is>
      </c>
      <c r="C18" s="208" t="inlineStr">
        <is>
          <t>строительно-монтажные работы</t>
        </is>
      </c>
      <c r="D18" s="156">
        <f>'Прил.2 Расч стоим'!F13+'Прил.2 Расч стоим'!G13</f>
        <v/>
      </c>
    </row>
    <row r="19" ht="15.75" customHeight="1" s="194">
      <c r="B19" s="146" t="inlineStr">
        <is>
          <t>6.2</t>
        </is>
      </c>
      <c r="C19" s="208" t="inlineStr">
        <is>
          <t>оборудование и инвентарь</t>
        </is>
      </c>
      <c r="D19" s="156">
        <f>'Прил.2 Расч стоим'!H13</f>
        <v/>
      </c>
    </row>
    <row r="20" ht="16.5" customHeight="1" s="194">
      <c r="B20" s="146" t="inlineStr">
        <is>
          <t>6.3</t>
        </is>
      </c>
      <c r="C20" s="208" t="inlineStr">
        <is>
          <t>пусконаладочные работы</t>
        </is>
      </c>
      <c r="D20" s="156" t="n"/>
    </row>
    <row r="21" ht="35.25" customHeight="1" s="194">
      <c r="B21" s="146" t="inlineStr">
        <is>
          <t>6.4</t>
        </is>
      </c>
      <c r="C21" s="145" t="inlineStr">
        <is>
          <t>прочие и лимитированные затраты</t>
        </is>
      </c>
      <c r="D21" s="156">
        <f>'Прил.2 Расч стоим'!I13</f>
        <v/>
      </c>
    </row>
    <row r="22">
      <c r="B22" s="238" t="n">
        <v>7</v>
      </c>
      <c r="C22" s="145" t="inlineStr">
        <is>
          <t>Сопоставимый уровень цен</t>
        </is>
      </c>
      <c r="D22" s="179" t="inlineStr">
        <is>
          <t>2 квартал 2017 г</t>
        </is>
      </c>
      <c r="E22" s="143" t="n"/>
    </row>
    <row r="23" ht="123" customHeight="1" s="194">
      <c r="B23" s="238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6">
        <f>D17</f>
        <v/>
      </c>
      <c r="E23" s="166" t="n"/>
    </row>
    <row r="24" ht="60.75" customHeight="1" s="194">
      <c r="B24" s="238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56">
        <f>D23/D15</f>
        <v/>
      </c>
      <c r="E24" s="143" t="n"/>
    </row>
    <row r="25" ht="48" customHeight="1" s="194">
      <c r="B25" s="238" t="n">
        <v>10</v>
      </c>
      <c r="C25" s="208" t="inlineStr">
        <is>
          <t>Примечание</t>
        </is>
      </c>
      <c r="D25" s="238" t="n"/>
    </row>
    <row r="26">
      <c r="B26" s="142" t="n"/>
      <c r="C26" s="141" t="n"/>
      <c r="D26" s="141" t="n"/>
    </row>
    <row r="27" ht="37.5" customHeight="1" s="194">
      <c r="B27" s="140" t="n"/>
    </row>
    <row r="28">
      <c r="B28" s="196" t="inlineStr">
        <is>
          <t>Составил ______________________    Е. М. Добровольская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196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H22" sqref="H22"/>
    </sheetView>
  </sheetViews>
  <sheetFormatPr baseColWidth="8" defaultColWidth="9.140625" defaultRowHeight="15.75"/>
  <cols>
    <col width="5.5703125" customWidth="1" style="196" min="1" max="1"/>
    <col width="9.140625" customWidth="1" style="196" min="2" max="2"/>
    <col width="35.28515625" customWidth="1" style="196" min="3" max="3"/>
    <col width="13.85546875" customWidth="1" style="196" min="4" max="4"/>
    <col width="24.85546875" customWidth="1" style="196" min="5" max="5"/>
    <col width="15.5703125" customWidth="1" style="196" min="6" max="6"/>
    <col width="14.85546875" customWidth="1" style="196" min="7" max="7"/>
    <col width="16.7109375" customWidth="1" style="196" min="8" max="8"/>
    <col width="13" customWidth="1" style="196" min="9" max="10"/>
    <col width="18" customWidth="1" style="196" min="11" max="11"/>
    <col width="9.140625" customWidth="1" style="196" min="12" max="12"/>
  </cols>
  <sheetData>
    <row r="3">
      <c r="B3" s="233" t="inlineStr">
        <is>
          <t>Приложение № 2</t>
        </is>
      </c>
      <c r="K3" s="140" t="n"/>
    </row>
    <row r="4">
      <c r="B4" s="234" t="inlineStr">
        <is>
          <t>Расчет стоимости основных видов работ для выбора объекта-представителя</t>
        </is>
      </c>
    </row>
    <row r="5">
      <c r="B5" s="148" t="n"/>
      <c r="C5" s="148" t="n"/>
      <c r="D5" s="148" t="n"/>
      <c r="E5" s="148" t="n"/>
      <c r="F5" s="148" t="n"/>
      <c r="G5" s="148" t="n"/>
      <c r="H5" s="148" t="n"/>
      <c r="I5" s="148" t="n"/>
      <c r="J5" s="148" t="n"/>
      <c r="K5" s="148" t="n"/>
    </row>
    <row r="6" ht="29.25" customHeight="1" s="194">
      <c r="B6" s="239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250 кВА</t>
        </is>
      </c>
      <c r="K6" s="140" t="n"/>
    </row>
    <row r="7">
      <c r="B7" s="235" t="inlineStr">
        <is>
          <t>Единица измерения  — 1 единица</t>
        </is>
      </c>
    </row>
    <row r="8" ht="18.75" customHeight="1" s="194">
      <c r="B8" s="116" t="n"/>
    </row>
    <row r="9" ht="15.75" customHeight="1" s="194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 xml:space="preserve">Объект-представитель 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194">
      <c r="B10" s="321" t="n"/>
      <c r="C10" s="321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2 кв. 2017 г., тыс. руб.</t>
        </is>
      </c>
      <c r="G10" s="319" t="n"/>
      <c r="H10" s="319" t="n"/>
      <c r="I10" s="319" t="n"/>
      <c r="J10" s="320" t="n"/>
    </row>
    <row r="11" ht="31.5" customHeight="1" s="194">
      <c r="B11" s="322" t="n"/>
      <c r="C11" s="322" t="n"/>
      <c r="D11" s="322" t="n"/>
      <c r="E11" s="322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99.75" customHeight="1" s="194">
      <c r="B12" s="220" t="n">
        <v>1</v>
      </c>
      <c r="C12" s="208" t="inlineStr">
        <is>
          <t>Комплектная трансформаторная подстанция КТПНВв-250/10/0,4 кВ  и трансформатор масляный мощностью 250 кВА</t>
        </is>
      </c>
      <c r="D12" s="221" t="inlineStr">
        <is>
          <t>02-06</t>
        </is>
      </c>
      <c r="E12" s="208" t="inlineStr">
        <is>
          <t>Комплектная трансформаторная подстанция (КТПН)</t>
        </is>
      </c>
      <c r="F12" s="222">
        <f>238.56*9.36</f>
        <v/>
      </c>
      <c r="G12" s="222">
        <f>20.76*9.36</f>
        <v/>
      </c>
      <c r="H12" s="222">
        <f>1173.38*4.28</f>
        <v/>
      </c>
      <c r="I12" s="223">
        <f>(F12+G12)*3.9%+((F12+G12)*3.9%+F12+G12)*6.45%</f>
        <v/>
      </c>
      <c r="J12" s="224">
        <f>SUM(F12:I12)</f>
        <v/>
      </c>
    </row>
    <row r="13" ht="15.75" customHeight="1" s="194">
      <c r="B13" s="237" t="inlineStr">
        <is>
          <t>Всего по объекту:</t>
        </is>
      </c>
      <c r="C13" s="319" t="n"/>
      <c r="D13" s="319" t="n"/>
      <c r="E13" s="320" t="n"/>
      <c r="F13" s="225">
        <f>F12</f>
        <v/>
      </c>
      <c r="G13" s="225">
        <f>G12</f>
        <v/>
      </c>
      <c r="H13" s="225">
        <f>H12</f>
        <v/>
      </c>
      <c r="I13" s="225">
        <f>I12</f>
        <v/>
      </c>
      <c r="J13" s="225">
        <f>J12</f>
        <v/>
      </c>
    </row>
    <row r="14">
      <c r="B14" s="237" t="inlineStr">
        <is>
          <t>Всего по объекту в сопоставимом уровне цен 2 кв. 2017г:</t>
        </is>
      </c>
      <c r="C14" s="319" t="n"/>
      <c r="D14" s="319" t="n"/>
      <c r="E14" s="320" t="n"/>
      <c r="F14" s="225">
        <f>F13</f>
        <v/>
      </c>
      <c r="G14" s="225">
        <f>G13</f>
        <v/>
      </c>
      <c r="H14" s="225">
        <f>H13</f>
        <v/>
      </c>
      <c r="I14" s="225">
        <f>I13</f>
        <v/>
      </c>
      <c r="J14" s="225">
        <f>J13</f>
        <v/>
      </c>
    </row>
    <row r="15" ht="15" customHeight="1" s="194"/>
    <row r="16" ht="15" customHeight="1" s="194"/>
    <row r="17" ht="15" customHeight="1" s="194"/>
    <row r="18" ht="15" customHeight="1" s="194">
      <c r="C18" s="190" t="inlineStr">
        <is>
          <t>Составил ______________________     Е. М. Добровольская</t>
        </is>
      </c>
      <c r="D18" s="191" t="n"/>
      <c r="E18" s="191" t="n"/>
    </row>
    <row r="19" ht="15" customHeight="1" s="194">
      <c r="C19" s="193" t="inlineStr">
        <is>
          <t xml:space="preserve">                         (подпись, инициалы, фамилия)</t>
        </is>
      </c>
      <c r="D19" s="191" t="n"/>
      <c r="E19" s="191" t="n"/>
    </row>
    <row r="20" ht="15" customHeight="1" s="194">
      <c r="C20" s="190" t="n"/>
      <c r="D20" s="191" t="n"/>
      <c r="E20" s="191" t="n"/>
    </row>
    <row r="21" ht="15" customHeight="1" s="194">
      <c r="C21" s="190" t="inlineStr">
        <is>
          <t>Проверил ______________________        А.В. Костянецкая</t>
        </is>
      </c>
      <c r="D21" s="191" t="n"/>
      <c r="E21" s="191" t="n"/>
    </row>
    <row r="22" ht="15" customHeight="1" s="194">
      <c r="C22" s="193" t="inlineStr">
        <is>
          <t xml:space="preserve">                        (подпись, инициалы, фамилия)</t>
        </is>
      </c>
      <c r="D22" s="191" t="n"/>
      <c r="E22" s="191" t="n"/>
    </row>
    <row r="23" ht="15" customHeight="1" s="194"/>
    <row r="24" ht="15" customHeight="1" s="194"/>
    <row r="25" ht="15" customHeight="1" s="194"/>
    <row r="26" ht="15" customHeight="1" s="194"/>
    <row r="27" ht="15" customHeight="1" s="194"/>
    <row r="28" ht="15" customHeight="1" s="19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63"/>
  <sheetViews>
    <sheetView view="pageBreakPreview" zoomScale="85" zoomScaleSheetLayoutView="85" workbookViewId="0">
      <selection activeCell="F57" sqref="F57"/>
    </sheetView>
  </sheetViews>
  <sheetFormatPr baseColWidth="8" defaultColWidth="9.140625" defaultRowHeight="15.75"/>
  <cols>
    <col width="9.140625" customWidth="1" style="196" min="1" max="1"/>
    <col width="12.5703125" customWidth="1" style="196" min="2" max="2"/>
    <col width="22.42578125" customWidth="1" style="196" min="3" max="3"/>
    <col width="49.7109375" customWidth="1" style="196" min="4" max="4"/>
    <col width="10.140625" customWidth="1" style="196" min="5" max="5"/>
    <col width="20.7109375" customWidth="1" style="196" min="6" max="6"/>
    <col width="20" customWidth="1" style="196" min="7" max="7"/>
    <col width="18.140625" customWidth="1" style="196" min="8" max="8"/>
    <col hidden="1" width="9.140625" customWidth="1" style="196" min="9" max="10"/>
    <col hidden="1" width="15" customWidth="1" style="196" min="11" max="11"/>
    <col hidden="1" width="9.140625" customWidth="1" style="196" min="12" max="12"/>
    <col width="9.140625" customWidth="1" style="196" min="13" max="13"/>
  </cols>
  <sheetData>
    <row r="2" s="194">
      <c r="A2" s="196" t="n"/>
      <c r="B2" s="196" t="n"/>
      <c r="C2" s="196" t="n"/>
      <c r="D2" s="196" t="n"/>
      <c r="E2" s="196" t="n"/>
      <c r="F2" s="196" t="n"/>
      <c r="G2" s="196" t="n"/>
      <c r="H2" s="196" t="n"/>
      <c r="I2" s="196" t="n"/>
      <c r="J2" s="196" t="n"/>
      <c r="K2" s="196" t="n"/>
      <c r="L2" s="196" t="n"/>
      <c r="M2" s="196" t="n"/>
    </row>
    <row r="3">
      <c r="A3" s="233" t="inlineStr">
        <is>
          <t xml:space="preserve">Приложение № 3 </t>
        </is>
      </c>
    </row>
    <row r="4">
      <c r="A4" s="234" t="inlineStr">
        <is>
          <t>Объектная ресурсная ведомость</t>
        </is>
      </c>
    </row>
    <row r="5" ht="18.75" customHeight="1" s="194">
      <c r="A5" s="176" t="n"/>
      <c r="B5" s="176" t="n"/>
      <c r="C5" s="24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35" t="n"/>
    </row>
    <row r="7">
      <c r="A7" s="239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250 кВА</t>
        </is>
      </c>
    </row>
    <row r="8">
      <c r="A8" s="239" t="n"/>
      <c r="B8" s="239" t="n"/>
      <c r="C8" s="239" t="n"/>
      <c r="D8" s="239" t="n"/>
      <c r="E8" s="239" t="n"/>
      <c r="F8" s="239" t="n"/>
      <c r="G8" s="239" t="n"/>
      <c r="H8" s="239" t="n"/>
    </row>
    <row r="9" ht="38.25" customHeight="1" s="194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0" t="n"/>
    </row>
    <row r="10" ht="40.5" customHeight="1" s="194">
      <c r="A10" s="322" t="n"/>
      <c r="B10" s="322" t="n"/>
      <c r="C10" s="322" t="n"/>
      <c r="D10" s="322" t="n"/>
      <c r="E10" s="322" t="n"/>
      <c r="F10" s="322" t="n"/>
      <c r="G10" s="238" t="inlineStr">
        <is>
          <t>на ед.изм.</t>
        </is>
      </c>
      <c r="H10" s="238" t="inlineStr">
        <is>
          <t>общая</t>
        </is>
      </c>
    </row>
    <row r="11">
      <c r="A11" s="213" t="n">
        <v>1</v>
      </c>
      <c r="B11" s="213" t="n"/>
      <c r="C11" s="213" t="n">
        <v>2</v>
      </c>
      <c r="D11" s="213" t="inlineStr">
        <is>
          <t>З</t>
        </is>
      </c>
      <c r="E11" s="213" t="n">
        <v>4</v>
      </c>
      <c r="F11" s="213" t="n">
        <v>5</v>
      </c>
      <c r="G11" s="213" t="n">
        <v>6</v>
      </c>
      <c r="H11" s="213" t="n">
        <v>7</v>
      </c>
    </row>
    <row r="12" customFormat="1" s="185">
      <c r="A12" s="241" t="inlineStr">
        <is>
          <t>Затраты труда рабочих</t>
        </is>
      </c>
      <c r="B12" s="319" t="n"/>
      <c r="C12" s="319" t="n"/>
      <c r="D12" s="319" t="n"/>
      <c r="E12" s="320" t="n"/>
      <c r="F12" s="172">
        <f>SUM(F13:F20)</f>
        <v/>
      </c>
      <c r="G12" s="10" t="n"/>
      <c r="H12" s="172">
        <f>SUM(H13:H20)</f>
        <v/>
      </c>
    </row>
    <row r="13">
      <c r="A13" s="168" t="n">
        <v>1</v>
      </c>
      <c r="B13" s="154" t="n"/>
      <c r="C13" s="168" t="inlineStr">
        <is>
          <t>1-4-0</t>
        </is>
      </c>
      <c r="D13" s="169" t="inlineStr">
        <is>
          <t>Затраты труда рабочих (средний разряд работы 4)</t>
        </is>
      </c>
      <c r="E13" s="270" t="inlineStr">
        <is>
          <t>чел.-ч</t>
        </is>
      </c>
      <c r="F13" s="168" t="n">
        <v>64.05</v>
      </c>
      <c r="G13" s="174" t="n">
        <v>9.619999999999999</v>
      </c>
      <c r="H13" s="171">
        <f>ROUND(F13*G13,2)</f>
        <v/>
      </c>
      <c r="I13" s="196" t="n">
        <v>4</v>
      </c>
      <c r="J13" s="196">
        <f>I13*F13</f>
        <v/>
      </c>
    </row>
    <row r="14">
      <c r="A14" s="175" t="n">
        <v>2</v>
      </c>
      <c r="B14" s="154" t="n"/>
      <c r="C14" s="168" t="inlineStr">
        <is>
          <t>1-3-8</t>
        </is>
      </c>
      <c r="D14" s="169" t="inlineStr">
        <is>
          <t>Затраты труда рабочих (средний разряд работы 3,8)</t>
        </is>
      </c>
      <c r="E14" s="270" t="inlineStr">
        <is>
          <t>чел.-ч</t>
        </is>
      </c>
      <c r="F14" s="168" t="n">
        <v>18.49</v>
      </c>
      <c r="G14" s="174" t="n">
        <v>9.4</v>
      </c>
      <c r="H14" s="171">
        <f>ROUND(F14*G14,2)</f>
        <v/>
      </c>
      <c r="I14" s="196" t="n">
        <v>3.8</v>
      </c>
      <c r="J14" s="196">
        <f>I14*F14</f>
        <v/>
      </c>
    </row>
    <row r="15">
      <c r="A15" s="270" t="n">
        <v>3</v>
      </c>
      <c r="B15" s="154" t="n"/>
      <c r="C15" s="168" t="inlineStr">
        <is>
          <t>1-2-0</t>
        </is>
      </c>
      <c r="D15" s="169" t="inlineStr">
        <is>
          <t>Затраты труда рабочих (средний разряд работы 2)</t>
        </is>
      </c>
      <c r="E15" s="270" t="inlineStr">
        <is>
          <t>чел.-ч</t>
        </is>
      </c>
      <c r="F15" s="168" t="n">
        <v>10.35</v>
      </c>
      <c r="G15" s="174" t="n">
        <v>7.8</v>
      </c>
      <c r="H15" s="171">
        <f>ROUND(F15*G15,2)</f>
        <v/>
      </c>
      <c r="I15" s="196" t="n">
        <v>2</v>
      </c>
      <c r="J15" s="196">
        <f>I15*F15</f>
        <v/>
      </c>
    </row>
    <row r="16">
      <c r="A16" s="175" t="n">
        <v>4</v>
      </c>
      <c r="B16" s="154" t="n"/>
      <c r="C16" s="168" t="inlineStr">
        <is>
          <t>1-1-5</t>
        </is>
      </c>
      <c r="D16" s="169" t="inlineStr">
        <is>
          <t>Затраты труда рабочих (средний разряд работы 1,5)</t>
        </is>
      </c>
      <c r="E16" s="270" t="inlineStr">
        <is>
          <t>чел.-ч</t>
        </is>
      </c>
      <c r="F16" s="168" t="n">
        <v>5.95</v>
      </c>
      <c r="G16" s="174" t="n">
        <v>7.5</v>
      </c>
      <c r="H16" s="171">
        <f>ROUND(F16*G16,2)</f>
        <v/>
      </c>
      <c r="I16" s="196" t="n">
        <v>1.5</v>
      </c>
      <c r="J16" s="196">
        <f>I16*F16</f>
        <v/>
      </c>
    </row>
    <row r="17">
      <c r="A17" s="270" t="n">
        <v>5</v>
      </c>
      <c r="B17" s="154" t="n"/>
      <c r="C17" s="168" t="inlineStr">
        <is>
          <t>1-3-3</t>
        </is>
      </c>
      <c r="D17" s="169" t="inlineStr">
        <is>
          <t>Затраты труда рабочих (средний разряд работы 3,3)</t>
        </is>
      </c>
      <c r="E17" s="270" t="inlineStr">
        <is>
          <t>чел.-ч</t>
        </is>
      </c>
      <c r="F17" s="168" t="n">
        <v>1.83</v>
      </c>
      <c r="G17" s="174" t="n">
        <v>8.859999999999999</v>
      </c>
      <c r="H17" s="171">
        <f>ROUND(F17*G17,2)</f>
        <v/>
      </c>
      <c r="I17" s="196" t="n">
        <v>3.3</v>
      </c>
      <c r="J17" s="196">
        <f>I17*F17</f>
        <v/>
      </c>
    </row>
    <row r="18">
      <c r="A18" s="175" t="n">
        <v>6</v>
      </c>
      <c r="B18" s="154" t="n"/>
      <c r="C18" s="168" t="inlineStr">
        <is>
          <t>1-3-9</t>
        </is>
      </c>
      <c r="D18" s="169" t="inlineStr">
        <is>
          <t>Затраты труда рабочих (средний разряд работы 3,9)</t>
        </is>
      </c>
      <c r="E18" s="270" t="inlineStr">
        <is>
          <t>чел.-ч</t>
        </is>
      </c>
      <c r="F18" s="168" t="n">
        <v>1.42</v>
      </c>
      <c r="G18" s="174" t="n">
        <v>9.51</v>
      </c>
      <c r="H18" s="171">
        <f>ROUND(F18*G18,2)</f>
        <v/>
      </c>
      <c r="I18" s="196" t="n">
        <v>3.9</v>
      </c>
      <c r="J18" s="196">
        <f>I18*F18</f>
        <v/>
      </c>
    </row>
    <row r="19">
      <c r="A19" s="270" t="n">
        <v>7</v>
      </c>
      <c r="B19" s="154" t="n"/>
      <c r="C19" s="168" t="inlineStr">
        <is>
          <t>1-3-2</t>
        </is>
      </c>
      <c r="D19" s="169" t="inlineStr">
        <is>
          <t>Затраты труда рабочих (средний разряд работы 3,2)</t>
        </is>
      </c>
      <c r="E19" s="270" t="inlineStr">
        <is>
          <t>чел.-ч</t>
        </is>
      </c>
      <c r="F19" s="168" t="n">
        <v>1.45</v>
      </c>
      <c r="G19" s="174" t="n">
        <v>8.74</v>
      </c>
      <c r="H19" s="171">
        <f>ROUND(F19*G19,2)</f>
        <v/>
      </c>
      <c r="I19" s="196" t="n">
        <v>3.2</v>
      </c>
      <c r="J19" s="196">
        <f>I19*F19</f>
        <v/>
      </c>
    </row>
    <row r="20">
      <c r="A20" s="175" t="n">
        <v>8</v>
      </c>
      <c r="B20" s="154" t="n"/>
      <c r="C20" s="168" t="inlineStr">
        <is>
          <t>1-2-7</t>
        </is>
      </c>
      <c r="D20" s="169" t="inlineStr">
        <is>
          <t>Затраты труда рабочих (средний разряд работы 2,7)</t>
        </is>
      </c>
      <c r="E20" s="270" t="inlineStr">
        <is>
          <t>чел.-ч</t>
        </is>
      </c>
      <c r="F20" s="168" t="n">
        <v>0.32</v>
      </c>
      <c r="G20" s="174" t="n">
        <v>8.31</v>
      </c>
      <c r="H20" s="171">
        <f>ROUND(F20*G20,2)</f>
        <v/>
      </c>
      <c r="I20" s="196" t="n">
        <v>2.7</v>
      </c>
      <c r="J20" s="196">
        <f>I20*F20</f>
        <v/>
      </c>
    </row>
    <row r="21">
      <c r="A21" s="240" t="inlineStr">
        <is>
          <t>Затраты труда машинистов</t>
        </is>
      </c>
      <c r="B21" s="319" t="n"/>
      <c r="C21" s="319" t="n"/>
      <c r="D21" s="319" t="n"/>
      <c r="E21" s="320" t="n"/>
      <c r="F21" s="241" t="n"/>
      <c r="G21" s="152" t="n"/>
      <c r="H21" s="172">
        <f>H22</f>
        <v/>
      </c>
    </row>
    <row r="22">
      <c r="A22" s="270" t="n">
        <v>9</v>
      </c>
      <c r="B22" s="242" t="n"/>
      <c r="C22" s="168" t="n">
        <v>2</v>
      </c>
      <c r="D22" s="169" t="inlineStr">
        <is>
          <t>Затраты труда машинистов</t>
        </is>
      </c>
      <c r="E22" s="270" t="inlineStr">
        <is>
          <t>чел.-ч</t>
        </is>
      </c>
      <c r="F22" s="180" t="n">
        <v>11.87</v>
      </c>
      <c r="G22" s="171" t="n">
        <v>0</v>
      </c>
      <c r="H22" s="173" t="n">
        <v>155.33</v>
      </c>
      <c r="J22" s="196">
        <f>SUM(J13:J20)</f>
        <v/>
      </c>
    </row>
    <row r="23" customFormat="1" s="185">
      <c r="A23" s="241" t="inlineStr">
        <is>
          <t>Машины и механизмы</t>
        </is>
      </c>
      <c r="B23" s="319" t="n"/>
      <c r="C23" s="319" t="n"/>
      <c r="D23" s="319" t="n"/>
      <c r="E23" s="320" t="n"/>
      <c r="F23" s="241" t="n"/>
      <c r="G23" s="152" t="n"/>
      <c r="H23" s="172">
        <f>SUM(H24:H32)</f>
        <v/>
      </c>
    </row>
    <row r="24" ht="25.5" customHeight="1" s="194">
      <c r="A24" s="270" t="n">
        <v>10</v>
      </c>
      <c r="B24" s="242" t="n"/>
      <c r="C24" s="168" t="inlineStr">
        <is>
          <t>91.05.05-014</t>
        </is>
      </c>
      <c r="D24" s="169" t="inlineStr">
        <is>
          <t>Краны на автомобильном ходу, грузоподъемность 10 т</t>
        </is>
      </c>
      <c r="E24" s="270" t="inlineStr">
        <is>
          <t>маш.час</t>
        </is>
      </c>
      <c r="F24" s="270" t="n">
        <v>8.32</v>
      </c>
      <c r="G24" s="174" t="n">
        <v>111.99</v>
      </c>
      <c r="H24" s="171">
        <f>ROUND(F24*G24,2)</f>
        <v/>
      </c>
      <c r="I24" s="157">
        <f>H24/$H$23</f>
        <v/>
      </c>
      <c r="J24" s="177">
        <f>J22/F12</f>
        <v/>
      </c>
      <c r="L24" s="157">
        <f>H24/$H$23</f>
        <v/>
      </c>
    </row>
    <row r="25">
      <c r="A25" s="270" t="n">
        <v>11</v>
      </c>
      <c r="B25" s="242" t="n"/>
      <c r="C25" s="168" t="inlineStr">
        <is>
          <t>91.14.02-001</t>
        </is>
      </c>
      <c r="D25" s="169" t="inlineStr">
        <is>
          <t>Автомобили бортовые, грузоподъемность: до 5 т</t>
        </is>
      </c>
      <c r="E25" s="270" t="inlineStr">
        <is>
          <t>маш.час</t>
        </is>
      </c>
      <c r="F25" s="270" t="n">
        <v>2.46</v>
      </c>
      <c r="G25" s="174" t="n">
        <v>65.70999999999999</v>
      </c>
      <c r="H25" s="171">
        <f>ROUND(F25*G25,2)</f>
        <v/>
      </c>
      <c r="I25" s="157" t="n"/>
      <c r="J25" s="177" t="n"/>
      <c r="L25" s="157" t="n"/>
    </row>
    <row r="26" ht="25.5" customHeight="1" s="194">
      <c r="A26" s="270" t="n">
        <v>12</v>
      </c>
      <c r="B26" s="242" t="n"/>
      <c r="C26" s="168" t="inlineStr">
        <is>
          <t>91.17.04-233</t>
        </is>
      </c>
      <c r="D26" s="169" t="inlineStr">
        <is>
          <t>Установки для сварки: ручной дуговой (постоянного тока)</t>
        </is>
      </c>
      <c r="E26" s="270" t="inlineStr">
        <is>
          <t>маш.час</t>
        </is>
      </c>
      <c r="F26" s="270" t="n">
        <v>14.48</v>
      </c>
      <c r="G26" s="174" t="n">
        <v>8.1</v>
      </c>
      <c r="H26" s="171">
        <f>ROUND(F26*G26,2)</f>
        <v/>
      </c>
      <c r="I26" s="157" t="n"/>
      <c r="J26" s="177" t="n"/>
      <c r="L26" s="157" t="n"/>
    </row>
    <row r="27" ht="25.5" customHeight="1" s="194">
      <c r="A27" s="270" t="n">
        <v>13</v>
      </c>
      <c r="B27" s="242" t="n"/>
      <c r="C27" s="168" t="inlineStr">
        <is>
          <t>91.05.06-012</t>
        </is>
      </c>
      <c r="D27" s="169" t="inlineStr">
        <is>
          <t>Краны на гусеничном ходу, грузоподъемность до 16 т</t>
        </is>
      </c>
      <c r="E27" s="270" t="inlineStr">
        <is>
          <t>маш.час</t>
        </is>
      </c>
      <c r="F27" s="270" t="n">
        <v>1</v>
      </c>
      <c r="G27" s="174" t="n">
        <v>96.89</v>
      </c>
      <c r="H27" s="171">
        <f>ROUND(F27*G27,2)</f>
        <v/>
      </c>
      <c r="I27" s="157" t="n"/>
      <c r="J27" s="177" t="n"/>
      <c r="L27" s="157" t="n"/>
    </row>
    <row r="28">
      <c r="A28" s="270" t="n">
        <v>14</v>
      </c>
      <c r="B28" s="242" t="n"/>
      <c r="C28" s="168" t="inlineStr">
        <is>
          <t>91.06.05-011</t>
        </is>
      </c>
      <c r="D28" s="169" t="inlineStr">
        <is>
          <t>Погрузчик, грузоподъемность 5 т</t>
        </is>
      </c>
      <c r="E28" s="270" t="inlineStr">
        <is>
          <t>маш.час</t>
        </is>
      </c>
      <c r="F28" s="270" t="n">
        <v>0.07000000000000001</v>
      </c>
      <c r="G28" s="174" t="n">
        <v>89.98999999999999</v>
      </c>
      <c r="H28" s="171">
        <f>ROUND(F28*G28,2)</f>
        <v/>
      </c>
      <c r="I28" s="157" t="n"/>
      <c r="J28" s="177" t="n"/>
      <c r="L28" s="157" t="n"/>
    </row>
    <row r="29">
      <c r="A29" s="270" t="n">
        <v>15</v>
      </c>
      <c r="B29" s="242" t="n"/>
      <c r="C29" s="168" t="inlineStr">
        <is>
          <t>91.08.04-021</t>
        </is>
      </c>
      <c r="D29" s="169" t="inlineStr">
        <is>
          <t>Котлы битумные: передвижные 400 л</t>
        </is>
      </c>
      <c r="E29" s="270" t="inlineStr">
        <is>
          <t>маш.час</t>
        </is>
      </c>
      <c r="F29" s="270" t="n">
        <v>0.13</v>
      </c>
      <c r="G29" s="174" t="n">
        <v>30</v>
      </c>
      <c r="H29" s="171">
        <f>ROUND(F29*G29,2)</f>
        <v/>
      </c>
      <c r="I29" s="157" t="n"/>
      <c r="J29" s="177" t="n"/>
      <c r="L29" s="157" t="n"/>
    </row>
    <row r="30" ht="38.25" customHeight="1" s="194">
      <c r="A30" s="270" t="n">
        <v>16</v>
      </c>
      <c r="B30" s="242" t="n"/>
      <c r="C30" s="168" t="inlineStr">
        <is>
          <t>91.18.01-012</t>
        </is>
      </c>
      <c r="D30" s="169" t="inlineStr">
        <is>
          <t>Компрессоры передвижные с электродвигателем давлением 600 кПа (6 ат), производительность: до 3,5 м3/мин</t>
        </is>
      </c>
      <c r="E30" s="270" t="inlineStr">
        <is>
          <t>маш.час</t>
        </is>
      </c>
      <c r="F30" s="270" t="n">
        <v>0.07000000000000001</v>
      </c>
      <c r="G30" s="174" t="n">
        <v>32.5</v>
      </c>
      <c r="H30" s="171">
        <f>ROUND(F30*G30,2)</f>
        <v/>
      </c>
      <c r="I30" s="157" t="n"/>
      <c r="J30" s="177" t="n"/>
      <c r="L30" s="157" t="n"/>
    </row>
    <row r="31">
      <c r="A31" s="270" t="n">
        <v>17</v>
      </c>
      <c r="B31" s="242" t="n"/>
      <c r="C31" s="168" t="inlineStr">
        <is>
          <t>91.05.01-017</t>
        </is>
      </c>
      <c r="D31" s="169" t="inlineStr">
        <is>
          <t>Краны башенные, грузоподъемность 8 т</t>
        </is>
      </c>
      <c r="E31" s="270" t="inlineStr">
        <is>
          <t>маш.час</t>
        </is>
      </c>
      <c r="F31" s="270" t="n">
        <v>0.02</v>
      </c>
      <c r="G31" s="174" t="n">
        <v>86.40000000000001</v>
      </c>
      <c r="H31" s="171">
        <f>ROUND(F31*G31,2)</f>
        <v/>
      </c>
      <c r="I31" s="157" t="n"/>
      <c r="J31" s="177" t="n"/>
      <c r="L31" s="157" t="n"/>
    </row>
    <row r="32" ht="25.5" customHeight="1" s="194">
      <c r="A32" s="270" t="n">
        <v>18</v>
      </c>
      <c r="B32" s="242" t="n"/>
      <c r="C32" s="168" t="inlineStr">
        <is>
          <t>91.08.09-024</t>
        </is>
      </c>
      <c r="D32" s="169" t="inlineStr">
        <is>
          <t>Трамбовки пневматические при работе от: стационарного компрессора</t>
        </is>
      </c>
      <c r="E32" s="270" t="inlineStr">
        <is>
          <t>маш.час</t>
        </is>
      </c>
      <c r="F32" s="270" t="n">
        <v>0.07000000000000001</v>
      </c>
      <c r="G32" s="174" t="n">
        <v>4.91</v>
      </c>
      <c r="H32" s="171">
        <f>ROUND(F32*G32,2)</f>
        <v/>
      </c>
      <c r="I32" s="157" t="n"/>
      <c r="J32" s="177" t="n"/>
      <c r="L32" s="157" t="n"/>
    </row>
    <row r="33" ht="15" customHeight="1" s="194">
      <c r="A33" s="240" t="inlineStr">
        <is>
          <t>Оборудование</t>
        </is>
      </c>
      <c r="B33" s="319" t="n"/>
      <c r="C33" s="319" t="n"/>
      <c r="D33" s="319" t="n"/>
      <c r="E33" s="320" t="n"/>
      <c r="F33" s="10" t="n"/>
      <c r="G33" s="10" t="n"/>
      <c r="H33" s="172">
        <f>SUM(H34:H34)</f>
        <v/>
      </c>
    </row>
    <row r="34" ht="25.5" customHeight="1" s="194">
      <c r="A34" s="175" t="n">
        <v>19</v>
      </c>
      <c r="B34" s="240" t="n"/>
      <c r="C34" s="168" t="inlineStr">
        <is>
          <t>Прайс из СД ОП</t>
        </is>
      </c>
      <c r="D34" s="169" t="inlineStr">
        <is>
          <t>КТПН (КК)-250 10/0,4 кВ и трансформатор масляный мощностью 250 кВА</t>
        </is>
      </c>
      <c r="E34" s="270" t="inlineStr">
        <is>
          <t>шт</t>
        </is>
      </c>
      <c r="F34" s="270" t="n">
        <v>1</v>
      </c>
      <c r="G34" s="171" t="n">
        <v>196485.62</v>
      </c>
      <c r="H34" s="171">
        <f>G34*F34</f>
        <v/>
      </c>
      <c r="I34" s="178">
        <f>H34/H33</f>
        <v/>
      </c>
      <c r="K34" t="n">
        <v>5842962.7438</v>
      </c>
    </row>
    <row r="35">
      <c r="A35" s="241" t="inlineStr">
        <is>
          <t>Материалы</t>
        </is>
      </c>
      <c r="B35" s="319" t="n"/>
      <c r="C35" s="319" t="n"/>
      <c r="D35" s="319" t="n"/>
      <c r="E35" s="320" t="n"/>
      <c r="F35" s="241" t="n"/>
      <c r="G35" s="152" t="n"/>
      <c r="H35" s="172">
        <f>SUM(H36:H56)</f>
        <v/>
      </c>
    </row>
    <row r="36" ht="25.5" customHeight="1" s="194">
      <c r="A36" s="175" t="n">
        <v>20</v>
      </c>
      <c r="B36" s="242" t="n"/>
      <c r="C36" s="168" t="inlineStr">
        <is>
          <t>07.2.07.04-0007</t>
        </is>
      </c>
      <c r="D36" s="169" t="inlineStr">
        <is>
          <t>Конструкции стальные индивидуальные: решетчатые сварные массой до 0,1 т</t>
        </is>
      </c>
      <c r="E36" s="270" t="inlineStr">
        <is>
          <t>т</t>
        </is>
      </c>
      <c r="F36" s="270" t="n">
        <v>0.533</v>
      </c>
      <c r="G36" s="171" t="n">
        <v>11500</v>
      </c>
      <c r="H36" s="171">
        <f>ROUND(F36*G36,2)</f>
        <v/>
      </c>
      <c r="I36" s="178">
        <f>H36/$H$35</f>
        <v/>
      </c>
      <c r="K36" s="157">
        <f>H36/$H$35</f>
        <v/>
      </c>
    </row>
    <row r="37">
      <c r="A37" s="175" t="n">
        <v>21</v>
      </c>
      <c r="B37" s="242" t="n"/>
      <c r="C37" s="168" t="inlineStr">
        <is>
          <t>14.4.02.09-0301</t>
        </is>
      </c>
      <c r="D37" s="169" t="inlineStr">
        <is>
          <t>Композиция антикоррозионная цинкнаполненная</t>
        </is>
      </c>
      <c r="E37" s="270" t="inlineStr">
        <is>
          <t>кг</t>
        </is>
      </c>
      <c r="F37" s="270" t="n">
        <v>3.232</v>
      </c>
      <c r="G37" s="171" t="n">
        <v>238.48</v>
      </c>
      <c r="H37" s="171">
        <f>ROUND(F37*G37,2)</f>
        <v/>
      </c>
      <c r="I37" s="178">
        <f>H37/$H$35</f>
        <v/>
      </c>
      <c r="K37" s="157">
        <f>H37/$H$35</f>
        <v/>
      </c>
    </row>
    <row r="38" ht="38.25" customHeight="1" s="194">
      <c r="A38" s="175" t="n">
        <v>22</v>
      </c>
      <c r="B38" s="242" t="n"/>
      <c r="C38" s="168" t="inlineStr">
        <is>
          <t>05.2.02.01-0053</t>
        </is>
      </c>
      <c r="D38" s="169" t="inlineStr">
        <is>
          <t>Блоки бетонные стен подвалов сплошные (ГОСТ 13579-78): ФБС24-4-6-Т /бетон В7,5 (М100), объем 0,543 м3, расход арматуры 1,46 кг/</t>
        </is>
      </c>
      <c r="E38" s="270" t="inlineStr">
        <is>
          <t>шт</t>
        </is>
      </c>
      <c r="F38" s="270" t="n">
        <v>2</v>
      </c>
      <c r="G38" s="171" t="n">
        <v>314.94</v>
      </c>
      <c r="H38" s="171">
        <f>ROUND(F38*G38,2)</f>
        <v/>
      </c>
      <c r="I38" s="178">
        <f>H38/$H$35</f>
        <v/>
      </c>
      <c r="K38" s="157">
        <f>H38/$H$35</f>
        <v/>
      </c>
    </row>
    <row r="39" ht="38.25" customHeight="1" s="194">
      <c r="A39" s="175" t="n">
        <v>23</v>
      </c>
      <c r="B39" s="242" t="n"/>
      <c r="C39" s="168" t="inlineStr">
        <is>
          <t>05.2.02.01-0042</t>
        </is>
      </c>
      <c r="D39" s="169" t="inlineStr">
        <is>
          <t>Блоки бетонные стен подвалов сплошные (ГОСТ 13579-78): ФБС12-4-6-Т /бетон В7,5 (М100), объем 0,265 м3, расход арматуры 1,46 кг/</t>
        </is>
      </c>
      <c r="E39" s="270" t="inlineStr">
        <is>
          <t>шт</t>
        </is>
      </c>
      <c r="F39" s="270" t="n">
        <v>2</v>
      </c>
      <c r="G39" s="171" t="n">
        <v>164.3</v>
      </c>
      <c r="H39" s="171">
        <f>ROUND(F39*G39,2)</f>
        <v/>
      </c>
      <c r="I39" s="178">
        <f>H39/$H$35</f>
        <v/>
      </c>
    </row>
    <row r="40">
      <c r="A40" s="175" t="n">
        <v>24</v>
      </c>
      <c r="B40" s="242" t="n"/>
      <c r="C40" s="168" t="inlineStr">
        <is>
          <t>01.7.15.03-0042</t>
        </is>
      </c>
      <c r="D40" s="169" t="inlineStr">
        <is>
          <t>Болты с гайками и шайбами строительные</t>
        </is>
      </c>
      <c r="E40" s="270" t="inlineStr">
        <is>
          <t>кг</t>
        </is>
      </c>
      <c r="F40" s="270" t="n">
        <v>14.39</v>
      </c>
      <c r="G40" s="171" t="n">
        <v>9.039999999999999</v>
      </c>
      <c r="H40" s="171">
        <f>ROUND(F40*G40,2)</f>
        <v/>
      </c>
      <c r="I40" s="178">
        <f>H40/$H$35</f>
        <v/>
      </c>
    </row>
    <row r="41">
      <c r="A41" s="175" t="n">
        <v>25</v>
      </c>
      <c r="B41" s="242" t="n"/>
      <c r="C41" s="168" t="inlineStr">
        <is>
          <t>01.2.03.03-0013</t>
        </is>
      </c>
      <c r="D41" s="169" t="inlineStr">
        <is>
          <t>Мастика битумная кровельная горячая</t>
        </is>
      </c>
      <c r="E41" s="270" t="inlineStr">
        <is>
          <t>т</t>
        </is>
      </c>
      <c r="F41" s="270" t="n">
        <v>0.0161</v>
      </c>
      <c r="G41" s="171" t="n">
        <v>3390</v>
      </c>
      <c r="H41" s="171">
        <f>ROUND(F41*G41,2)</f>
        <v/>
      </c>
      <c r="I41" s="178" t="n"/>
    </row>
    <row r="42">
      <c r="A42" s="175" t="n">
        <v>26</v>
      </c>
      <c r="B42" s="242" t="n"/>
      <c r="C42" s="168" t="inlineStr">
        <is>
          <t>01.7.11.07-0034</t>
        </is>
      </c>
      <c r="D42" s="169" t="inlineStr">
        <is>
          <t>Электроды диаметром: 4 мм Э42А</t>
        </is>
      </c>
      <c r="E42" s="270" t="inlineStr">
        <is>
          <t>кг</t>
        </is>
      </c>
      <c r="F42" s="270" t="n">
        <v>4.949</v>
      </c>
      <c r="G42" s="171" t="n">
        <v>10.57</v>
      </c>
      <c r="H42" s="171">
        <f>ROUND(F42*G42,2)</f>
        <v/>
      </c>
      <c r="I42" s="178" t="n"/>
    </row>
    <row r="43">
      <c r="A43" s="175" t="n">
        <v>27</v>
      </c>
      <c r="B43" s="242" t="n"/>
      <c r="C43" s="168" t="inlineStr">
        <is>
          <t>01.7.15.07-0031</t>
        </is>
      </c>
      <c r="D43" s="169" t="inlineStr">
        <is>
          <t>Дюбели распорные с гайкой</t>
        </is>
      </c>
      <c r="E43" s="270" t="inlineStr">
        <is>
          <t>100 шт</t>
        </is>
      </c>
      <c r="F43" s="270" t="n">
        <v>0.4264</v>
      </c>
      <c r="G43" s="171" t="n">
        <v>110</v>
      </c>
      <c r="H43" s="171">
        <f>ROUND(F43*G43,2)</f>
        <v/>
      </c>
      <c r="I43" s="178" t="n"/>
    </row>
    <row r="44" ht="25.5" customHeight="1" s="194">
      <c r="A44" s="175" t="n">
        <v>28</v>
      </c>
      <c r="B44" s="242" t="n"/>
      <c r="C44" s="168" t="inlineStr">
        <is>
          <t>03.2.01.01-0003</t>
        </is>
      </c>
      <c r="D44" s="169" t="inlineStr">
        <is>
          <t>Портландцемент общестроительного назначения бездобавочный, марки: 500</t>
        </is>
      </c>
      <c r="E44" s="270" t="inlineStr">
        <is>
          <t>т</t>
        </is>
      </c>
      <c r="F44" s="270" t="n">
        <v>0.0959</v>
      </c>
      <c r="G44" s="171" t="n">
        <v>480</v>
      </c>
      <c r="H44" s="171">
        <f>ROUND(F44*G44,2)</f>
        <v/>
      </c>
      <c r="I44" s="178" t="n"/>
    </row>
    <row r="45" ht="25.5" customHeight="1" s="194">
      <c r="A45" s="175" t="n">
        <v>29</v>
      </c>
      <c r="B45" s="242" t="n"/>
      <c r="C45" s="168" t="inlineStr">
        <is>
          <t>08.3.07.01-0076</t>
        </is>
      </c>
      <c r="D45" s="169" t="inlineStr">
        <is>
          <t>Сталь полосовая, марка стали: Ст3сп шириной 50-200 мм толщиной 4-5 мм</t>
        </is>
      </c>
      <c r="E45" s="270" t="inlineStr">
        <is>
          <t>т</t>
        </is>
      </c>
      <c r="F45" s="270" t="n">
        <v>0.007</v>
      </c>
      <c r="G45" s="171" t="n">
        <v>5000</v>
      </c>
      <c r="H45" s="171">
        <f>ROUND(F45*G45,2)</f>
        <v/>
      </c>
      <c r="I45" s="178" t="n"/>
    </row>
    <row r="46">
      <c r="A46" s="175" t="n">
        <v>30</v>
      </c>
      <c r="B46" s="242" t="n"/>
      <c r="C46" s="168" t="inlineStr">
        <is>
          <t>02.2.04.03-0003</t>
        </is>
      </c>
      <c r="D46" s="169" t="inlineStr">
        <is>
          <t>Смесь песчано-гравийная природная</t>
        </is>
      </c>
      <c r="E46" s="270" t="inlineStr">
        <is>
          <t>м3</t>
        </is>
      </c>
      <c r="F46" s="270" t="n">
        <v>0.5</v>
      </c>
      <c r="G46" s="171" t="n">
        <v>60</v>
      </c>
      <c r="H46" s="171">
        <f>ROUND(F46*G46,2)</f>
        <v/>
      </c>
      <c r="I46" s="178" t="n"/>
    </row>
    <row r="47" ht="25.5" customHeight="1" s="194">
      <c r="A47" s="175" t="n">
        <v>31</v>
      </c>
      <c r="B47" s="242" t="n"/>
      <c r="C47" s="168" t="inlineStr">
        <is>
          <t>01.1.01.09-0024</t>
        </is>
      </c>
      <c r="D47" s="169" t="inlineStr">
        <is>
          <t>Шнур асбестовый общего назначения марки: ШАОН диаметром 3-5 мм</t>
        </is>
      </c>
      <c r="E47" s="270" t="inlineStr">
        <is>
          <t>т</t>
        </is>
      </c>
      <c r="F47" s="270" t="n">
        <v>0.001</v>
      </c>
      <c r="G47" s="171" t="n">
        <v>26950</v>
      </c>
      <c r="H47" s="171">
        <f>ROUND(F47*G47,2)</f>
        <v/>
      </c>
      <c r="I47" s="178" t="n"/>
    </row>
    <row r="48" ht="25.5" customHeight="1" s="194">
      <c r="A48" s="175" t="n">
        <v>32</v>
      </c>
      <c r="B48" s="242" t="n"/>
      <c r="C48" s="168" t="inlineStr">
        <is>
          <t>999-9950</t>
        </is>
      </c>
      <c r="D48" s="169" t="inlineStr">
        <is>
          <t>Вспомогательные ненормируемые ресурсы (2% от Оплаты труда рабочих)</t>
        </is>
      </c>
      <c r="E48" s="270" t="inlineStr">
        <is>
          <t>руб.</t>
        </is>
      </c>
      <c r="F48" s="270" t="n">
        <v>15.806</v>
      </c>
      <c r="G48" s="171" t="n">
        <v>1</v>
      </c>
      <c r="H48" s="171">
        <f>ROUND(F48*G48,2)</f>
        <v/>
      </c>
      <c r="I48" s="178" t="n"/>
    </row>
    <row r="49">
      <c r="A49" s="175" t="n">
        <v>33</v>
      </c>
      <c r="B49" s="242" t="n"/>
      <c r="C49" s="168" t="inlineStr">
        <is>
          <t>14.4.04.12-0008</t>
        </is>
      </c>
      <c r="D49" s="169" t="inlineStr">
        <is>
          <t>Эмаль эпоксидная: ЭП-140 защитная</t>
        </is>
      </c>
      <c r="E49" s="270" t="inlineStr">
        <is>
          <t>т</t>
        </is>
      </c>
      <c r="F49" s="270" t="n">
        <v>0.0002</v>
      </c>
      <c r="G49" s="171" t="n">
        <v>75000</v>
      </c>
      <c r="H49" s="171">
        <f>ROUND(F49*G49,2)</f>
        <v/>
      </c>
      <c r="I49" s="178" t="n"/>
    </row>
    <row r="50" ht="25.5" customHeight="1" s="194">
      <c r="A50" s="175" t="n">
        <v>34</v>
      </c>
      <c r="B50" s="242" t="n"/>
      <c r="C50" s="168" t="inlineStr">
        <is>
          <t>08.3.05.02-0101</t>
        </is>
      </c>
      <c r="D50" s="169" t="inlineStr">
        <is>
          <t>Сталь листовая углеродистая обыкновенного качества марки ВСт3пс5 толщиной: 4-6 мм</t>
        </is>
      </c>
      <c r="E50" s="270" t="inlineStr">
        <is>
          <t>т</t>
        </is>
      </c>
      <c r="F50" s="270" t="n">
        <v>0.0018</v>
      </c>
      <c r="G50" s="171" t="n">
        <v>5763</v>
      </c>
      <c r="H50" s="171">
        <f>ROUND(F50*G50,2)</f>
        <v/>
      </c>
      <c r="I50" s="178" t="n"/>
    </row>
    <row r="51" ht="25.5" customHeight="1" s="194">
      <c r="A51" s="175" t="n">
        <v>35</v>
      </c>
      <c r="B51" s="242" t="n"/>
      <c r="C51" s="168" t="inlineStr">
        <is>
          <t>04.3.01.12-0002</t>
        </is>
      </c>
      <c r="D51" s="169" t="inlineStr">
        <is>
          <t>Раствор готовый кладочный цементно-известковый марки: 25</t>
        </is>
      </c>
      <c r="E51" s="270" t="inlineStr">
        <is>
          <t>м3</t>
        </is>
      </c>
      <c r="F51" s="270" t="n">
        <v>0.0144</v>
      </c>
      <c r="G51" s="171" t="n">
        <v>497</v>
      </c>
      <c r="H51" s="171">
        <f>ROUND(F51*G51,2)</f>
        <v/>
      </c>
      <c r="I51" s="178" t="n"/>
    </row>
    <row r="52" ht="25.5" customHeight="1" s="194">
      <c r="A52" s="175" t="n">
        <v>36</v>
      </c>
      <c r="B52" s="242" t="n"/>
      <c r="C52" s="168" t="inlineStr">
        <is>
          <t>02.3.01.02-0020</t>
        </is>
      </c>
      <c r="D52" s="169" t="inlineStr">
        <is>
          <t>Песок природный для строительных: растворов средний</t>
        </is>
      </c>
      <c r="E52" s="270" t="inlineStr">
        <is>
          <t>м3</t>
        </is>
      </c>
      <c r="F52" s="270" t="n">
        <v>0.08</v>
      </c>
      <c r="G52" s="171" t="n">
        <v>59.99</v>
      </c>
      <c r="H52" s="171">
        <f>ROUND(F52*G52,2)</f>
        <v/>
      </c>
      <c r="I52" s="178" t="n"/>
    </row>
    <row r="53">
      <c r="A53" s="175" t="n">
        <v>37</v>
      </c>
      <c r="B53" s="242" t="n"/>
      <c r="C53" s="168" t="inlineStr">
        <is>
          <t>01.3.01.03-0002</t>
        </is>
      </c>
      <c r="D53" s="169" t="inlineStr">
        <is>
          <t>Керосин для технических целей марок КТ-1, КТ-2</t>
        </is>
      </c>
      <c r="E53" s="270" t="inlineStr">
        <is>
          <t>т</t>
        </is>
      </c>
      <c r="F53" s="270" t="n">
        <v>0.0016</v>
      </c>
      <c r="G53" s="171" t="n">
        <v>2606.9</v>
      </c>
      <c r="H53" s="171">
        <f>ROUND(F53*G53,2)</f>
        <v/>
      </c>
      <c r="I53" s="178" t="n"/>
    </row>
    <row r="54">
      <c r="A54" s="175" t="n">
        <v>38</v>
      </c>
      <c r="B54" s="242" t="n"/>
      <c r="C54" s="168" t="inlineStr">
        <is>
          <t>01.2.01.02-0054</t>
        </is>
      </c>
      <c r="D54" s="169" t="inlineStr">
        <is>
          <t>Битумы нефтяные строительные марки: БН-90/10</t>
        </is>
      </c>
      <c r="E54" s="270" t="inlineStr">
        <is>
          <t>т</t>
        </is>
      </c>
      <c r="F54" s="270" t="n">
        <v>0.0011</v>
      </c>
      <c r="G54" s="171" t="n">
        <v>1383.1</v>
      </c>
      <c r="H54" s="171">
        <f>ROUND(F54*G54,2)</f>
        <v/>
      </c>
      <c r="I54" s="178" t="n"/>
    </row>
    <row r="55">
      <c r="A55" s="175" t="n">
        <v>39</v>
      </c>
      <c r="B55" s="242" t="n"/>
      <c r="C55" s="168" t="inlineStr">
        <is>
          <t>01.7.03.01-0001</t>
        </is>
      </c>
      <c r="D55" s="169" t="inlineStr">
        <is>
          <t>Вода</t>
        </is>
      </c>
      <c r="E55" s="270" t="inlineStr">
        <is>
          <t>м3</t>
        </is>
      </c>
      <c r="F55" s="270" t="n">
        <v>0.0264</v>
      </c>
      <c r="G55" s="171" t="n">
        <v>2.44</v>
      </c>
      <c r="H55" s="171">
        <f>ROUND(F55*G55,2)</f>
        <v/>
      </c>
      <c r="I55" s="178">
        <f>H55/$H$35</f>
        <v/>
      </c>
    </row>
    <row r="56">
      <c r="A56" s="175" t="n">
        <v>40</v>
      </c>
      <c r="B56" s="242" t="n"/>
      <c r="C56" s="168" t="inlineStr">
        <is>
          <t>01.7.20.08-0051</t>
        </is>
      </c>
      <c r="D56" s="169" t="inlineStr">
        <is>
          <t>Ветошь</t>
        </is>
      </c>
      <c r="E56" s="270" t="inlineStr">
        <is>
          <t>кг</t>
        </is>
      </c>
      <c r="F56" s="270" t="n">
        <v>0.0067</v>
      </c>
      <c r="G56" s="171" t="n">
        <v>1.82</v>
      </c>
      <c r="H56" s="171">
        <f>ROUND(F56*G56,2)</f>
        <v/>
      </c>
      <c r="I56" s="178">
        <f>H56/$H$35</f>
        <v/>
      </c>
    </row>
    <row r="59">
      <c r="B59" s="196" t="inlineStr">
        <is>
          <t>Составил ______________________     Е. М. Добровольская</t>
        </is>
      </c>
    </row>
    <row r="60">
      <c r="B60" s="140" t="inlineStr">
        <is>
          <t xml:space="preserve">                         (подпись, инициалы, фамилия)</t>
        </is>
      </c>
    </row>
    <row r="62">
      <c r="B62" s="196" t="inlineStr">
        <is>
          <t>Проверил ______________________        А.В. Костянецкая</t>
        </is>
      </c>
    </row>
    <row r="63">
      <c r="B63" s="140" t="inlineStr">
        <is>
          <t xml:space="preserve">                        (подпись, инициалы, фамилия)</t>
        </is>
      </c>
    </row>
  </sheetData>
  <mergeCells count="16">
    <mergeCell ref="A21:E21"/>
    <mergeCell ref="A4:H4"/>
    <mergeCell ref="B9:B10"/>
    <mergeCell ref="A3:H3"/>
    <mergeCell ref="A35:E35"/>
    <mergeCell ref="A12:E12"/>
    <mergeCell ref="C9:C10"/>
    <mergeCell ref="D9:D10"/>
    <mergeCell ref="A7:H7"/>
    <mergeCell ref="A9:A10"/>
    <mergeCell ref="E9:E10"/>
    <mergeCell ref="F9:F10"/>
    <mergeCell ref="C5:H5"/>
    <mergeCell ref="A33:E33"/>
    <mergeCell ref="A23:E23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7" sqref="D47:E47"/>
    </sheetView>
  </sheetViews>
  <sheetFormatPr baseColWidth="8" defaultRowHeight="15"/>
  <cols>
    <col width="4.140625" customWidth="1" style="194" min="1" max="1"/>
    <col width="36.28515625" customWidth="1" style="194" min="2" max="2"/>
    <col width="18.85546875" customWidth="1" style="194" min="3" max="3"/>
    <col width="18.28515625" customWidth="1" style="194" min="4" max="4"/>
    <col width="18.85546875" customWidth="1" style="194" min="5" max="5"/>
    <col width="9.140625" customWidth="1" style="194" min="6" max="6"/>
    <col width="13.42578125" customWidth="1" style="194" min="7" max="7"/>
    <col width="9.140625" customWidth="1" style="194" min="8" max="11"/>
    <col width="13.5703125" customWidth="1" style="194" min="12" max="12"/>
    <col width="9.140625" customWidth="1" style="194" min="13" max="13"/>
  </cols>
  <sheetData>
    <row r="1">
      <c r="B1" s="190" t="n"/>
      <c r="C1" s="190" t="n"/>
      <c r="D1" s="190" t="n"/>
      <c r="E1" s="190" t="n"/>
    </row>
    <row r="2">
      <c r="B2" s="190" t="n"/>
      <c r="C2" s="190" t="n"/>
      <c r="D2" s="190" t="n"/>
      <c r="E2" s="265" t="inlineStr">
        <is>
          <t>Приложение № 4</t>
        </is>
      </c>
    </row>
    <row r="3">
      <c r="B3" s="190" t="n"/>
      <c r="C3" s="190" t="n"/>
      <c r="D3" s="190" t="n"/>
      <c r="E3" s="190" t="n"/>
    </row>
    <row r="4">
      <c r="B4" s="190" t="n"/>
      <c r="C4" s="190" t="n"/>
      <c r="D4" s="190" t="n"/>
      <c r="E4" s="190" t="n"/>
    </row>
    <row r="5">
      <c r="B5" s="226" t="inlineStr">
        <is>
          <t>Ресурсная модель</t>
        </is>
      </c>
    </row>
    <row r="6">
      <c r="B6" s="165" t="n"/>
      <c r="C6" s="190" t="n"/>
      <c r="D6" s="190" t="n"/>
      <c r="E6" s="190" t="n"/>
    </row>
    <row r="7" ht="25.5" customHeight="1" s="194">
      <c r="B7" s="245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250 кВА</t>
        </is>
      </c>
    </row>
    <row r="8">
      <c r="B8" s="246" t="inlineStr">
        <is>
          <t>Единица измерения  — 1 единица</t>
        </is>
      </c>
    </row>
    <row r="9">
      <c r="B9" s="165" t="n"/>
      <c r="C9" s="190" t="n"/>
      <c r="D9" s="190" t="n"/>
      <c r="E9" s="190" t="n"/>
    </row>
    <row r="10" ht="51" customHeight="1" s="194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59">
        <f>'Прил.5 Расчет СМР и ОБ'!J14</f>
        <v/>
      </c>
      <c r="D11" s="160">
        <f>C11/$C$24</f>
        <v/>
      </c>
      <c r="E11" s="160">
        <f>C11/$C$40</f>
        <v/>
      </c>
    </row>
    <row r="12">
      <c r="B12" s="99" t="inlineStr">
        <is>
          <t>Эксплуатация машин основных</t>
        </is>
      </c>
      <c r="C12" s="159">
        <f>'Прил.5 Расчет СМР и ОБ'!J22</f>
        <v/>
      </c>
      <c r="D12" s="160">
        <f>C12/$C$24</f>
        <v/>
      </c>
      <c r="E12" s="160">
        <f>C12/$C$40</f>
        <v/>
      </c>
    </row>
    <row r="13">
      <c r="B13" s="99" t="inlineStr">
        <is>
          <t>Эксплуатация машин прочих</t>
        </is>
      </c>
      <c r="C13" s="159">
        <f>'Прил.5 Расчет СМР и ОБ'!J29</f>
        <v/>
      </c>
      <c r="D13" s="160">
        <f>C13/$C$24</f>
        <v/>
      </c>
      <c r="E13" s="160">
        <f>C13/$C$40</f>
        <v/>
      </c>
    </row>
    <row r="14">
      <c r="B14" s="99" t="inlineStr">
        <is>
          <t>ЭКСПЛУАТАЦИЯ МАШИН, ВСЕГО:</t>
        </is>
      </c>
      <c r="C14" s="159">
        <f>C13+C12</f>
        <v/>
      </c>
      <c r="D14" s="160">
        <f>C14/$C$24</f>
        <v/>
      </c>
      <c r="E14" s="160">
        <f>C14/$C$40</f>
        <v/>
      </c>
    </row>
    <row r="15">
      <c r="B15" s="99" t="inlineStr">
        <is>
          <t>в том числе зарплата машинистов</t>
        </is>
      </c>
      <c r="C15" s="159">
        <f>'Прил.5 Расчет СМР и ОБ'!J16</f>
        <v/>
      </c>
      <c r="D15" s="160">
        <f>C15/$C$24</f>
        <v/>
      </c>
      <c r="E15" s="160">
        <f>C15/$C$40</f>
        <v/>
      </c>
    </row>
    <row r="16">
      <c r="B16" s="99" t="inlineStr">
        <is>
          <t>Материалы основные</t>
        </is>
      </c>
      <c r="C16" s="159">
        <f>'Прил.5 Расчет СМР и ОБ'!J43</f>
        <v/>
      </c>
      <c r="D16" s="160">
        <f>C16/$C$24</f>
        <v/>
      </c>
      <c r="E16" s="160">
        <f>C16/$C$40</f>
        <v/>
      </c>
    </row>
    <row r="17">
      <c r="B17" s="99" t="inlineStr">
        <is>
          <t>Материалы прочие</t>
        </is>
      </c>
      <c r="C17" s="159">
        <f>'Прил.5 Расчет СМР и ОБ'!J62</f>
        <v/>
      </c>
      <c r="D17" s="160">
        <f>C17/$C$24</f>
        <v/>
      </c>
      <c r="E17" s="160">
        <f>C17/$C$40</f>
        <v/>
      </c>
      <c r="G17" s="164" t="n"/>
    </row>
    <row r="18">
      <c r="B18" s="99" t="inlineStr">
        <is>
          <t>МАТЕРИАЛЫ, ВСЕГО:</t>
        </is>
      </c>
      <c r="C18" s="159">
        <f>C17+C16</f>
        <v/>
      </c>
      <c r="D18" s="160">
        <f>C18/$C$24</f>
        <v/>
      </c>
      <c r="E18" s="160">
        <f>C18/$C$40</f>
        <v/>
      </c>
    </row>
    <row r="19">
      <c r="B19" s="99" t="inlineStr">
        <is>
          <t>ИТОГО</t>
        </is>
      </c>
      <c r="C19" s="159">
        <f>C18+C14+C11</f>
        <v/>
      </c>
      <c r="D19" s="160" t="n"/>
      <c r="E19" s="99" t="n"/>
    </row>
    <row r="20">
      <c r="B20" s="99" t="inlineStr">
        <is>
          <t>Сметная прибыль, руб.</t>
        </is>
      </c>
      <c r="C20" s="159">
        <f>ROUND(C21*(C11+C15),2)</f>
        <v/>
      </c>
      <c r="D20" s="160">
        <f>C20/$C$24</f>
        <v/>
      </c>
      <c r="E20" s="160">
        <f>C20/$C$40</f>
        <v/>
      </c>
    </row>
    <row r="21">
      <c r="B21" s="99" t="inlineStr">
        <is>
          <t>Сметная прибыль, %</t>
        </is>
      </c>
      <c r="C21" s="163">
        <f>'Прил.5 Расчет СМР и ОБ'!D66</f>
        <v/>
      </c>
      <c r="D21" s="160" t="n"/>
      <c r="E21" s="99" t="n"/>
    </row>
    <row r="22">
      <c r="B22" s="99" t="inlineStr">
        <is>
          <t>Накладные расходы, руб.</t>
        </is>
      </c>
      <c r="C22" s="159">
        <f>ROUND(C23*(C11+C15),2)</f>
        <v/>
      </c>
      <c r="D22" s="160">
        <f>C22/$C$24</f>
        <v/>
      </c>
      <c r="E22" s="160">
        <f>C22/$C$40</f>
        <v/>
      </c>
    </row>
    <row r="23">
      <c r="B23" s="99" t="inlineStr">
        <is>
          <t>Накладные расходы, %</t>
        </is>
      </c>
      <c r="C23" s="163">
        <f>'Прил.5 Расчет СМР и ОБ'!D65</f>
        <v/>
      </c>
      <c r="D23" s="160" t="n"/>
      <c r="E23" s="99" t="n"/>
    </row>
    <row r="24">
      <c r="B24" s="99" t="inlineStr">
        <is>
          <t>ВСЕГО СМР с НР и СП</t>
        </is>
      </c>
      <c r="C24" s="159">
        <f>C19+C20+C22</f>
        <v/>
      </c>
      <c r="D24" s="160">
        <f>C24/$C$24</f>
        <v/>
      </c>
      <c r="E24" s="160">
        <f>C24/$C$40</f>
        <v/>
      </c>
    </row>
    <row r="25" ht="25.5" customHeight="1" s="194">
      <c r="B25" s="99" t="inlineStr">
        <is>
          <t>ВСЕГО стоимость оборудования, в том числе</t>
        </is>
      </c>
      <c r="C25" s="159">
        <f>'Прил.5 Расчет СМР и ОБ'!J36</f>
        <v/>
      </c>
      <c r="D25" s="160" t="n"/>
      <c r="E25" s="160">
        <f>C25/$C$40</f>
        <v/>
      </c>
    </row>
    <row r="26" ht="25.5" customHeight="1" s="194">
      <c r="B26" s="99" t="inlineStr">
        <is>
          <t>стоимость оборудования технологического</t>
        </is>
      </c>
      <c r="C26" s="159">
        <f>'Прил.5 Расчет СМР и ОБ'!J37</f>
        <v/>
      </c>
      <c r="D26" s="160" t="n"/>
      <c r="E26" s="160">
        <f>C26/$C$40</f>
        <v/>
      </c>
    </row>
    <row r="27">
      <c r="B27" s="99" t="inlineStr">
        <is>
          <t>ИТОГО (СМР + ОБОРУДОВАНИЕ)</t>
        </is>
      </c>
      <c r="C27" s="162">
        <f>C24+C25</f>
        <v/>
      </c>
      <c r="D27" s="160" t="n"/>
      <c r="E27" s="160">
        <f>C27/$C$40</f>
        <v/>
      </c>
      <c r="G27" s="161" t="n"/>
    </row>
    <row r="28" ht="33" customHeight="1" s="194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194">
      <c r="B29" s="99" t="inlineStr">
        <is>
          <t>Временные здания и сооружения - 2,5%</t>
        </is>
      </c>
      <c r="C29" s="162">
        <f>ROUND(C24*2.5%,2)</f>
        <v/>
      </c>
      <c r="D29" s="99" t="n"/>
      <c r="E29" s="160" t="n">
        <v>0.025</v>
      </c>
    </row>
    <row r="30" ht="38.25" customHeight="1" s="194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62">
        <f>ROUND((C24+C29)*2.1%,2)</f>
        <v/>
      </c>
      <c r="D30" s="99" t="n"/>
      <c r="E30" s="160" t="n">
        <v>0.021</v>
      </c>
    </row>
    <row r="31">
      <c r="B31" s="99" t="inlineStr">
        <is>
          <t>Пусконаладочные работы</t>
        </is>
      </c>
      <c r="C31" s="162" t="n">
        <v>25840.67</v>
      </c>
      <c r="D31" s="99" t="n"/>
      <c r="E31" s="160">
        <f>C31/$C$40</f>
        <v/>
      </c>
    </row>
    <row r="32" ht="25.5" customHeight="1" s="194">
      <c r="B32" s="99" t="inlineStr">
        <is>
          <t>Затраты по перевозке работников к месту работы и обратно</t>
        </is>
      </c>
      <c r="C32" s="162" t="n">
        <v>0</v>
      </c>
      <c r="D32" s="99" t="n"/>
      <c r="E32" s="160">
        <f>C32/$C$40</f>
        <v/>
      </c>
    </row>
    <row r="33" ht="25.5" customHeight="1" s="194">
      <c r="B33" s="99" t="inlineStr">
        <is>
          <t>Затраты, связанные с осуществлением работ вахтовым методом</t>
        </is>
      </c>
      <c r="C33" s="162">
        <f>ROUND(C27*0%,2)</f>
        <v/>
      </c>
      <c r="D33" s="99" t="n"/>
      <c r="E33" s="160">
        <f>C33/$C$40</f>
        <v/>
      </c>
    </row>
    <row r="34" ht="51" customHeight="1" s="194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2" t="n">
        <v>0</v>
      </c>
      <c r="D34" s="99" t="n"/>
      <c r="E34" s="160">
        <f>C34/$C$40</f>
        <v/>
      </c>
    </row>
    <row r="35" ht="76.5" customHeight="1" s="194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2">
        <f>ROUND(C27*0%,2)</f>
        <v/>
      </c>
      <c r="D35" s="99" t="n"/>
      <c r="E35" s="160">
        <f>C35/$C$40</f>
        <v/>
      </c>
    </row>
    <row r="36" ht="25.5" customHeight="1" s="194">
      <c r="B36" s="99" t="inlineStr">
        <is>
          <t>Строительный контроль и содержание службы заказчика - 2,14%</t>
        </is>
      </c>
      <c r="C36" s="162">
        <f>ROUND((C27+C32+C33+C34+C35+C29+C31+C30)*2.14%,2)</f>
        <v/>
      </c>
      <c r="D36" s="99" t="n"/>
      <c r="E36" s="160">
        <f>C36/$C$40</f>
        <v/>
      </c>
      <c r="L36" s="161" t="n"/>
    </row>
    <row r="37">
      <c r="B37" s="99" t="inlineStr">
        <is>
          <t>Авторский надзор - 0,2%</t>
        </is>
      </c>
      <c r="C37" s="162">
        <f>ROUND((C27+C32+C33+C34+C35+C29+C31+C30)*0.2%,2)</f>
        <v/>
      </c>
      <c r="D37" s="99" t="n"/>
      <c r="E37" s="160">
        <f>C37/$C$40</f>
        <v/>
      </c>
      <c r="L37" s="161" t="n"/>
    </row>
    <row r="38" ht="38.25" customHeight="1" s="194">
      <c r="B38" s="99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99" t="n"/>
      <c r="E38" s="160">
        <f>C38/$C$40</f>
        <v/>
      </c>
    </row>
    <row r="39" ht="13.5" customHeight="1" s="194">
      <c r="B39" s="99" t="inlineStr">
        <is>
          <t>Непредвиденные расходы</t>
        </is>
      </c>
      <c r="C39" s="159">
        <f>ROUND(C38*3%,2)</f>
        <v/>
      </c>
      <c r="D39" s="99" t="n"/>
      <c r="E39" s="160">
        <f>C39/$C$38</f>
        <v/>
      </c>
    </row>
    <row r="40">
      <c r="B40" s="99" t="inlineStr">
        <is>
          <t>ВСЕГО:</t>
        </is>
      </c>
      <c r="C40" s="159">
        <f>C39+C38</f>
        <v/>
      </c>
      <c r="D40" s="99" t="n"/>
      <c r="E40" s="160">
        <f>C40/$C$40</f>
        <v/>
      </c>
    </row>
    <row r="41">
      <c r="B41" s="99" t="inlineStr">
        <is>
          <t>ИТОГО ПОКАЗАТЕЛЬ НА ЕД. ИЗМ.</t>
        </is>
      </c>
      <c r="C41" s="159">
        <f>C40/'Прил.5 Расчет СМР и ОБ'!E69</f>
        <v/>
      </c>
      <c r="D41" s="99" t="n"/>
      <c r="E41" s="99" t="n"/>
    </row>
    <row r="42">
      <c r="B42" s="158" t="n"/>
      <c r="C42" s="190" t="n"/>
      <c r="D42" s="190" t="n"/>
      <c r="E42" s="190" t="n"/>
    </row>
    <row r="43">
      <c r="B43" s="158" t="inlineStr">
        <is>
          <t>Составил ____________________________  Е. М. Добровольская</t>
        </is>
      </c>
      <c r="C43" s="190" t="n"/>
      <c r="D43" s="190" t="n"/>
      <c r="E43" s="190" t="n"/>
    </row>
    <row r="44">
      <c r="B44" s="158" t="inlineStr">
        <is>
          <t xml:space="preserve">(должность, подпись, инициалы, фамилия) </t>
        </is>
      </c>
      <c r="C44" s="190" t="n"/>
      <c r="D44" s="190" t="n"/>
      <c r="E44" s="190" t="n"/>
    </row>
    <row r="45">
      <c r="B45" s="158" t="n"/>
      <c r="C45" s="190" t="n"/>
      <c r="D45" s="190" t="n"/>
      <c r="E45" s="190" t="n"/>
    </row>
    <row r="46">
      <c r="B46" s="158" t="inlineStr">
        <is>
          <t>Проверил ____________________________ А.В. Костянецкая</t>
        </is>
      </c>
      <c r="C46" s="190" t="n"/>
      <c r="D46" s="190" t="n"/>
      <c r="E46" s="190" t="n"/>
    </row>
    <row r="47">
      <c r="B47" s="246" t="inlineStr">
        <is>
          <t>(должность, подпись, инициалы, фамилия)</t>
        </is>
      </c>
      <c r="D47" s="190" t="n"/>
      <c r="E47" s="190" t="n"/>
    </row>
    <row r="49">
      <c r="B49" s="190" t="n"/>
      <c r="C49" s="190" t="n"/>
      <c r="D49" s="190" t="n"/>
      <c r="E49" s="190" t="n"/>
    </row>
    <row r="50">
      <c r="B50" s="190" t="n"/>
      <c r="C50" s="190" t="n"/>
      <c r="D50" s="190" t="n"/>
      <c r="E50" s="1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5"/>
  <sheetViews>
    <sheetView view="pageBreakPreview" zoomScaleSheetLayoutView="100" workbookViewId="0">
      <selection activeCell="E73" sqref="E73"/>
    </sheetView>
  </sheetViews>
  <sheetFormatPr baseColWidth="8" defaultColWidth="9.140625" defaultRowHeight="15" outlineLevelRow="1"/>
  <cols>
    <col width="5.7109375" customWidth="1" style="191" min="1" max="1"/>
    <col width="22.5703125" customWidth="1" style="191" min="2" max="2"/>
    <col width="39.140625" customWidth="1" style="191" min="3" max="3"/>
    <col width="10.7109375" customWidth="1" style="191" min="4" max="4"/>
    <col width="12.7109375" customWidth="1" style="191" min="5" max="5"/>
    <col width="14.5703125" customWidth="1" style="191" min="6" max="6"/>
    <col width="13.42578125" customWidth="1" style="191" min="7" max="7"/>
    <col width="12.7109375" customWidth="1" style="191" min="8" max="8"/>
    <col width="13.85546875" customWidth="1" style="191" min="9" max="9"/>
    <col width="17.5703125" customWidth="1" style="191" min="10" max="10"/>
    <col width="10.85546875" customWidth="1" style="191" min="11" max="11"/>
    <col width="13.85546875" customWidth="1" style="191" min="12" max="12"/>
  </cols>
  <sheetData>
    <row r="1">
      <c r="M1" s="191" t="n"/>
      <c r="N1" s="191" t="n"/>
    </row>
    <row r="2" ht="15.75" customHeight="1" s="194">
      <c r="H2" s="247" t="inlineStr">
        <is>
          <t>Приложение №5</t>
        </is>
      </c>
      <c r="M2" s="191" t="n"/>
      <c r="N2" s="191" t="n"/>
    </row>
    <row r="3">
      <c r="M3" s="191" t="n"/>
      <c r="N3" s="191" t="n"/>
    </row>
    <row r="4" ht="12.75" customFormat="1" customHeight="1" s="190">
      <c r="A4" s="226" t="inlineStr">
        <is>
          <t>Расчет стоимости СМР и оборудования</t>
        </is>
      </c>
    </row>
    <row r="5" ht="12.75" customFormat="1" customHeight="1" s="190">
      <c r="A5" s="226" t="n"/>
      <c r="B5" s="226" t="n"/>
      <c r="C5" s="275" t="n"/>
      <c r="D5" s="226" t="n"/>
      <c r="E5" s="226" t="n"/>
      <c r="F5" s="226" t="n"/>
      <c r="G5" s="226" t="n"/>
      <c r="H5" s="226" t="n"/>
      <c r="I5" s="226" t="n"/>
      <c r="J5" s="226" t="n"/>
    </row>
    <row r="6" ht="12.75" customFormat="1" customHeight="1" s="190">
      <c r="A6" s="133" t="inlineStr">
        <is>
          <t>Наименование разрабатываемого показателя УНЦ</t>
        </is>
      </c>
      <c r="B6" s="132" t="n"/>
      <c r="C6" s="132" t="n"/>
      <c r="D6" s="229" t="inlineStr">
        <is>
          <t>КТП мачтового (шкафного, столбового) типа с одним трансформатором 6-20 кВ, мощность 250 кВА</t>
        </is>
      </c>
    </row>
    <row r="7" ht="12.75" customFormat="1" customHeight="1" s="190">
      <c r="A7" s="229" t="inlineStr">
        <is>
          <t>Единица измерения  — 1 единица</t>
        </is>
      </c>
      <c r="I7" s="245" t="n"/>
      <c r="J7" s="245" t="n"/>
    </row>
    <row r="8" ht="13.5" customFormat="1" customHeight="1" s="190">
      <c r="A8" s="229" t="n"/>
    </row>
    <row r="9" ht="27" customHeight="1" s="194">
      <c r="A9" s="250" t="inlineStr">
        <is>
          <t>№ пп.</t>
        </is>
      </c>
      <c r="B9" s="250" t="inlineStr">
        <is>
          <t>Код ресурса</t>
        </is>
      </c>
      <c r="C9" s="250" t="inlineStr">
        <is>
          <t>Наименование</t>
        </is>
      </c>
      <c r="D9" s="250" t="inlineStr">
        <is>
          <t>Ед. изм.</t>
        </is>
      </c>
      <c r="E9" s="250" t="inlineStr">
        <is>
          <t>Кол-во единиц по проектным данным</t>
        </is>
      </c>
      <c r="F9" s="250" t="inlineStr">
        <is>
          <t>Сметная стоимость в ценах на 01.01.2000 (руб.)</t>
        </is>
      </c>
      <c r="G9" s="320" t="n"/>
      <c r="H9" s="250" t="inlineStr">
        <is>
          <t>Удельный вес, %</t>
        </is>
      </c>
      <c r="I9" s="250" t="inlineStr">
        <is>
          <t>Сметная стоимость в ценах на 01.01.2023 (руб.)</t>
        </is>
      </c>
      <c r="J9" s="320" t="n"/>
      <c r="M9" s="191" t="n"/>
      <c r="N9" s="191" t="n"/>
    </row>
    <row r="10" ht="28.5" customHeight="1" s="194">
      <c r="A10" s="322" t="n"/>
      <c r="B10" s="322" t="n"/>
      <c r="C10" s="322" t="n"/>
      <c r="D10" s="322" t="n"/>
      <c r="E10" s="322" t="n"/>
      <c r="F10" s="250" t="inlineStr">
        <is>
          <t>на ед. изм.</t>
        </is>
      </c>
      <c r="G10" s="250" t="inlineStr">
        <is>
          <t>общая</t>
        </is>
      </c>
      <c r="H10" s="322" t="n"/>
      <c r="I10" s="250" t="inlineStr">
        <is>
          <t>на ед. изм.</t>
        </is>
      </c>
      <c r="J10" s="250" t="inlineStr">
        <is>
          <t>общая</t>
        </is>
      </c>
      <c r="M10" s="191" t="n"/>
      <c r="N10" s="191" t="n"/>
    </row>
    <row r="11">
      <c r="A11" s="250" t="n">
        <v>1</v>
      </c>
      <c r="B11" s="250" t="n">
        <v>2</v>
      </c>
      <c r="C11" s="250" t="n">
        <v>3</v>
      </c>
      <c r="D11" s="250" t="n">
        <v>4</v>
      </c>
      <c r="E11" s="250" t="n">
        <v>5</v>
      </c>
      <c r="F11" s="250" t="n">
        <v>6</v>
      </c>
      <c r="G11" s="250" t="n">
        <v>7</v>
      </c>
      <c r="H11" s="250" t="n">
        <v>8</v>
      </c>
      <c r="I11" s="251" t="n">
        <v>9</v>
      </c>
      <c r="J11" s="251" t="n">
        <v>10</v>
      </c>
      <c r="M11" s="191" t="n"/>
      <c r="N11" s="191" t="n"/>
    </row>
    <row r="12">
      <c r="A12" s="250" t="n"/>
      <c r="B12" s="240" t="inlineStr">
        <is>
          <t>Затраты труда рабочих-строителей</t>
        </is>
      </c>
      <c r="C12" s="319" t="n"/>
      <c r="D12" s="319" t="n"/>
      <c r="E12" s="319" t="n"/>
      <c r="F12" s="319" t="n"/>
      <c r="G12" s="319" t="n"/>
      <c r="H12" s="320" t="n"/>
      <c r="I12" s="122" t="n"/>
      <c r="J12" s="122" t="n"/>
    </row>
    <row r="13" ht="25.5" customHeight="1" s="194">
      <c r="A13" s="250" t="n">
        <v>1</v>
      </c>
      <c r="B13" s="181" t="inlineStr">
        <is>
          <t>1-3-6</t>
        </is>
      </c>
      <c r="C13" s="257" t="inlineStr">
        <is>
          <t>Затраты труда рабочих-строителей среднего разряда (3,6)</t>
        </is>
      </c>
      <c r="D13" s="250" t="inlineStr">
        <is>
          <t>чел.-ч.</t>
        </is>
      </c>
      <c r="E13" s="123">
        <f>G13/F13</f>
        <v/>
      </c>
      <c r="F13" s="26" t="n">
        <v>9.18</v>
      </c>
      <c r="G13" s="26">
        <f>Прил.3!H12</f>
        <v/>
      </c>
      <c r="H13" s="125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91">
      <c r="A14" s="250" t="n"/>
      <c r="B14" s="250" t="n"/>
      <c r="C14" s="240" t="inlineStr">
        <is>
          <t>Итого по разделу "Затраты труда рабочих-строителей"</t>
        </is>
      </c>
      <c r="D14" s="250" t="inlineStr">
        <is>
          <t>чел.-ч.</t>
        </is>
      </c>
      <c r="E14" s="123">
        <f>SUM(E13:E13)</f>
        <v/>
      </c>
      <c r="F14" s="26" t="n"/>
      <c r="G14" s="26">
        <f>SUM(G13:G13)</f>
        <v/>
      </c>
      <c r="H14" s="260" t="n">
        <v>1</v>
      </c>
      <c r="I14" s="122" t="n"/>
      <c r="J14" s="26">
        <f>SUM(J13:J13)</f>
        <v/>
      </c>
    </row>
    <row r="15" ht="14.25" customFormat="1" customHeight="1" s="191">
      <c r="A15" s="250" t="n"/>
      <c r="B15" s="257" t="inlineStr">
        <is>
          <t>Затраты труда машинистов</t>
        </is>
      </c>
      <c r="C15" s="319" t="n"/>
      <c r="D15" s="319" t="n"/>
      <c r="E15" s="319" t="n"/>
      <c r="F15" s="319" t="n"/>
      <c r="G15" s="319" t="n"/>
      <c r="H15" s="320" t="n"/>
      <c r="I15" s="122" t="n"/>
      <c r="J15" s="122" t="n"/>
    </row>
    <row r="16" ht="14.25" customFormat="1" customHeight="1" s="191">
      <c r="A16" s="250" t="n">
        <v>2</v>
      </c>
      <c r="B16" s="250" t="n">
        <v>2</v>
      </c>
      <c r="C16" s="257" t="inlineStr">
        <is>
          <t>Затраты труда машинистов</t>
        </is>
      </c>
      <c r="D16" s="250" t="inlineStr">
        <is>
          <t>чел.-ч.</t>
        </is>
      </c>
      <c r="E16" s="123">
        <f>Прил.3!F22</f>
        <v/>
      </c>
      <c r="F16" s="26">
        <f>G16/E16</f>
        <v/>
      </c>
      <c r="G16" s="26">
        <f>Прил.3!H21</f>
        <v/>
      </c>
      <c r="H16" s="260" t="n">
        <v>1</v>
      </c>
      <c r="I16" s="26">
        <f>ROUND(F16*Прил.10!D11,2)</f>
        <v/>
      </c>
      <c r="J16" s="26">
        <f>ROUND(I16*E16,2)</f>
        <v/>
      </c>
    </row>
    <row r="17" ht="14.25" customFormat="1" customHeight="1" s="191">
      <c r="A17" s="250" t="n"/>
      <c r="B17" s="240" t="inlineStr">
        <is>
          <t>Машины и механизмы</t>
        </is>
      </c>
      <c r="C17" s="319" t="n"/>
      <c r="D17" s="319" t="n"/>
      <c r="E17" s="319" t="n"/>
      <c r="F17" s="319" t="n"/>
      <c r="G17" s="319" t="n"/>
      <c r="H17" s="320" t="n"/>
      <c r="I17" s="122" t="n"/>
      <c r="J17" s="122" t="n"/>
    </row>
    <row r="18" ht="14.25" customFormat="1" customHeight="1" s="191">
      <c r="A18" s="250" t="n"/>
      <c r="B18" s="257" t="inlineStr">
        <is>
          <t>Основные 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22" t="n"/>
      <c r="J18" s="122" t="n"/>
    </row>
    <row r="19" ht="25.5" customFormat="1" customHeight="1" s="191">
      <c r="A19" s="250" t="n">
        <v>3</v>
      </c>
      <c r="B19" s="181" t="inlineStr">
        <is>
          <t>91.05.05-014</t>
        </is>
      </c>
      <c r="C19" s="257" t="inlineStr">
        <is>
          <t>Краны на автомобильном ходу, грузоподъемность 10 т</t>
        </is>
      </c>
      <c r="D19" s="250" t="inlineStr">
        <is>
          <t>маш.час</t>
        </is>
      </c>
      <c r="E19" s="123" t="n">
        <v>8.32</v>
      </c>
      <c r="F19" s="259" t="n">
        <v>111.99</v>
      </c>
      <c r="G19" s="26">
        <f>ROUND(E19*F19,2)</f>
        <v/>
      </c>
      <c r="H19" s="125">
        <f>G19/G30</f>
        <v/>
      </c>
      <c r="I19" s="26">
        <f>ROUND(F19*Прил.10!$D$12,2)</f>
        <v/>
      </c>
      <c r="J19" s="26">
        <f>ROUND(I19*E19,2)</f>
        <v/>
      </c>
    </row>
    <row r="20" ht="25.5" customFormat="1" customHeight="1" s="191">
      <c r="A20" s="250" t="n">
        <v>4</v>
      </c>
      <c r="B20" s="181" t="inlineStr">
        <is>
          <t>91.14.02-001</t>
        </is>
      </c>
      <c r="C20" s="257" t="inlineStr">
        <is>
          <t>Автомобили бортовые, грузоподъемность: до 5 т</t>
        </is>
      </c>
      <c r="D20" s="250" t="inlineStr">
        <is>
          <t>маш.час</t>
        </is>
      </c>
      <c r="E20" s="123" t="n">
        <v>2.46</v>
      </c>
      <c r="F20" s="259" t="n">
        <v>65.70999999999999</v>
      </c>
      <c r="G20" s="26">
        <f>ROUND(E20*F20,2)</f>
        <v/>
      </c>
      <c r="H20" s="125">
        <f>G20/G30</f>
        <v/>
      </c>
      <c r="I20" s="26">
        <f>ROUND(F20*Прил.10!$D$12,2)</f>
        <v/>
      </c>
      <c r="J20" s="26">
        <f>ROUND(I20*E20,2)</f>
        <v/>
      </c>
    </row>
    <row r="21" ht="25.5" customFormat="1" customHeight="1" s="191">
      <c r="A21" s="250" t="n">
        <v>5</v>
      </c>
      <c r="B21" s="181" t="inlineStr">
        <is>
          <t>91.17.04-233</t>
        </is>
      </c>
      <c r="C21" s="257" t="inlineStr">
        <is>
          <t>Установки для сварки: ручной дуговой (постоянного тока)</t>
        </is>
      </c>
      <c r="D21" s="250" t="inlineStr">
        <is>
          <t>маш.час</t>
        </is>
      </c>
      <c r="E21" s="123" t="n">
        <v>14.48</v>
      </c>
      <c r="F21" s="259" t="n">
        <v>8.1</v>
      </c>
      <c r="G21" s="26">
        <f>ROUND(E21*F21,2)</f>
        <v/>
      </c>
      <c r="H21" s="125">
        <f>G21/G30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191">
      <c r="A22" s="250" t="n"/>
      <c r="B22" s="250" t="n"/>
      <c r="C22" s="257" t="inlineStr">
        <is>
          <t>Итого основные машины и механизмы</t>
        </is>
      </c>
      <c r="D22" s="250" t="n"/>
      <c r="E22" s="123" t="n"/>
      <c r="F22" s="259" t="n"/>
      <c r="G22" s="26">
        <f>SUM(G19:G21)</f>
        <v/>
      </c>
      <c r="H22" s="260">
        <f>G22/G30</f>
        <v/>
      </c>
      <c r="I22" s="124" t="n"/>
      <c r="J22" s="26">
        <f>SUM(J19:J21)</f>
        <v/>
      </c>
    </row>
    <row r="23" hidden="1" outlineLevel="1" ht="25.5" customFormat="1" customHeight="1" s="191">
      <c r="A23" s="250" t="n">
        <v>6</v>
      </c>
      <c r="B23" s="181" t="inlineStr">
        <is>
          <t>91.05.06-012</t>
        </is>
      </c>
      <c r="C23" s="257" t="inlineStr">
        <is>
          <t>Краны на гусеничном ходу, грузоподъемность до 16 т</t>
        </is>
      </c>
      <c r="D23" s="250" t="inlineStr">
        <is>
          <t>маш.час</t>
        </is>
      </c>
      <c r="E23" s="123" t="n">
        <v>1</v>
      </c>
      <c r="F23" s="259" t="n">
        <v>96.89</v>
      </c>
      <c r="G23" s="26">
        <f>ROUND(E23*F23,2)</f>
        <v/>
      </c>
      <c r="H23" s="125">
        <f>G23/$G$30</f>
        <v/>
      </c>
      <c r="I23" s="26">
        <f>ROUND(F23*Прил.10!$D$12,2)</f>
        <v/>
      </c>
      <c r="J23" s="26">
        <f>ROUND(I23*E23,2)</f>
        <v/>
      </c>
    </row>
    <row r="24" hidden="1" outlineLevel="1" ht="14.25" customFormat="1" customHeight="1" s="191">
      <c r="A24" s="250" t="n">
        <v>7</v>
      </c>
      <c r="B24" s="181" t="inlineStr">
        <is>
          <t>91.06.05-011</t>
        </is>
      </c>
      <c r="C24" s="257" t="inlineStr">
        <is>
          <t>Погрузчик, грузоподъемность 5 т</t>
        </is>
      </c>
      <c r="D24" s="250" t="inlineStr">
        <is>
          <t>маш.час</t>
        </is>
      </c>
      <c r="E24" s="123" t="n">
        <v>0.07000000000000001</v>
      </c>
      <c r="F24" s="259" t="n">
        <v>89.98999999999999</v>
      </c>
      <c r="G24" s="26">
        <f>ROUND(E24*F24,2)</f>
        <v/>
      </c>
      <c r="H24" s="125">
        <f>G24/$G$30</f>
        <v/>
      </c>
      <c r="I24" s="26">
        <f>ROUND(F24*Прил.10!$D$12,2)</f>
        <v/>
      </c>
      <c r="J24" s="26">
        <f>ROUND(I24*E24,2)</f>
        <v/>
      </c>
    </row>
    <row r="25" hidden="1" outlineLevel="1" ht="14.25" customFormat="1" customHeight="1" s="191">
      <c r="A25" s="250" t="n">
        <v>8</v>
      </c>
      <c r="B25" s="181" t="inlineStr">
        <is>
          <t>91.08.04-021</t>
        </is>
      </c>
      <c r="C25" s="257" t="inlineStr">
        <is>
          <t>Котлы битумные: передвижные 400 л</t>
        </is>
      </c>
      <c r="D25" s="250" t="inlineStr">
        <is>
          <t>маш.час</t>
        </is>
      </c>
      <c r="E25" s="123" t="n">
        <v>0.13</v>
      </c>
      <c r="F25" s="259" t="n">
        <v>30</v>
      </c>
      <c r="G25" s="26">
        <f>ROUND(E25*F25,2)</f>
        <v/>
      </c>
      <c r="H25" s="125">
        <f>G25/$G$30</f>
        <v/>
      </c>
      <c r="I25" s="26">
        <f>ROUND(F25*Прил.10!$D$12,2)</f>
        <v/>
      </c>
      <c r="J25" s="26">
        <f>ROUND(I25*E25,2)</f>
        <v/>
      </c>
    </row>
    <row r="26" hidden="1" outlineLevel="1" ht="38.25" customFormat="1" customHeight="1" s="191">
      <c r="A26" s="250" t="n">
        <v>9</v>
      </c>
      <c r="B26" s="181" t="inlineStr">
        <is>
          <t>91.18.01-012</t>
        </is>
      </c>
      <c r="C26" s="257" t="inlineStr">
        <is>
          <t>Компрессоры передвижные с электродвигателем давлением 600 кПа (6 ат), производительность: до 3,5 м3/мин</t>
        </is>
      </c>
      <c r="D26" s="250" t="inlineStr">
        <is>
          <t>маш.час</t>
        </is>
      </c>
      <c r="E26" s="123" t="n">
        <v>0.07000000000000001</v>
      </c>
      <c r="F26" s="259" t="n">
        <v>32.5</v>
      </c>
      <c r="G26" s="26">
        <f>ROUND(E26*F26,2)</f>
        <v/>
      </c>
      <c r="H26" s="125">
        <f>G26/$G$30</f>
        <v/>
      </c>
      <c r="I26" s="26">
        <f>ROUND(F26*Прил.10!$D$12,2)</f>
        <v/>
      </c>
      <c r="J26" s="26">
        <f>ROUND(I26*E26,2)</f>
        <v/>
      </c>
    </row>
    <row r="27" hidden="1" outlineLevel="1" ht="14.25" customFormat="1" customHeight="1" s="191">
      <c r="A27" s="250" t="n">
        <v>10</v>
      </c>
      <c r="B27" s="181" t="inlineStr">
        <is>
          <t>91.05.01-017</t>
        </is>
      </c>
      <c r="C27" s="257" t="inlineStr">
        <is>
          <t>Краны башенные, грузоподъемность 8 т</t>
        </is>
      </c>
      <c r="D27" s="250" t="inlineStr">
        <is>
          <t>маш.час</t>
        </is>
      </c>
      <c r="E27" s="123" t="n">
        <v>0.02</v>
      </c>
      <c r="F27" s="259" t="n">
        <v>86.40000000000001</v>
      </c>
      <c r="G27" s="26">
        <f>ROUND(E27*F27,2)</f>
        <v/>
      </c>
      <c r="H27" s="125">
        <f>G27/$G$30</f>
        <v/>
      </c>
      <c r="I27" s="26">
        <f>ROUND(F27*Прил.10!$D$12,2)</f>
        <v/>
      </c>
      <c r="J27" s="26">
        <f>ROUND(I27*E27,2)</f>
        <v/>
      </c>
    </row>
    <row r="28" hidden="1" outlineLevel="1" ht="25.5" customFormat="1" customHeight="1" s="191">
      <c r="A28" s="250" t="n">
        <v>11</v>
      </c>
      <c r="B28" s="181" t="inlineStr">
        <is>
          <t>91.08.09-024</t>
        </is>
      </c>
      <c r="C28" s="257" t="inlineStr">
        <is>
          <t>Трамбовки пневматические при работе от: стационарного компрессора</t>
        </is>
      </c>
      <c r="D28" s="250" t="inlineStr">
        <is>
          <t>маш.час</t>
        </is>
      </c>
      <c r="E28" s="123" t="n">
        <v>0.07000000000000001</v>
      </c>
      <c r="F28" s="259" t="n">
        <v>4.91</v>
      </c>
      <c r="G28" s="26">
        <f>ROUND(E28*F28,2)</f>
        <v/>
      </c>
      <c r="H28" s="125">
        <f>G28/$G$30</f>
        <v/>
      </c>
      <c r="I28" s="26">
        <f>ROUND(F28*Прил.10!$D$12,2)</f>
        <v/>
      </c>
      <c r="J28" s="26">
        <f>ROUND(I28*E28,2)</f>
        <v/>
      </c>
    </row>
    <row r="29" collapsed="1" ht="14.25" customFormat="1" customHeight="1" s="191">
      <c r="A29" s="250" t="n"/>
      <c r="B29" s="250" t="n"/>
      <c r="C29" s="257" t="inlineStr">
        <is>
          <t>Итого прочие машины и механизмы</t>
        </is>
      </c>
      <c r="D29" s="250" t="n"/>
      <c r="E29" s="258" t="n"/>
      <c r="F29" s="26" t="n"/>
      <c r="G29" s="124">
        <f>SUM(G23:G28)</f>
        <v/>
      </c>
      <c r="H29" s="125">
        <f>G29/G30</f>
        <v/>
      </c>
      <c r="I29" s="26" t="n"/>
      <c r="J29" s="124">
        <f>SUM(J23:J28)</f>
        <v/>
      </c>
    </row>
    <row r="30" ht="25.5" customFormat="1" customHeight="1" s="191">
      <c r="A30" s="250" t="n"/>
      <c r="B30" s="250" t="n"/>
      <c r="C30" s="240" t="inlineStr">
        <is>
          <t>Итого по разделу «Машины и механизмы»</t>
        </is>
      </c>
      <c r="D30" s="250" t="n"/>
      <c r="E30" s="258" t="n"/>
      <c r="F30" s="26" t="n"/>
      <c r="G30" s="26">
        <f>G29+G22</f>
        <v/>
      </c>
      <c r="H30" s="126" t="n">
        <v>1</v>
      </c>
      <c r="I30" s="127" t="n"/>
      <c r="J30" s="128">
        <f>J29+J22</f>
        <v/>
      </c>
    </row>
    <row r="31" ht="14.25" customFormat="1" customHeight="1" s="191">
      <c r="A31" s="250" t="n"/>
      <c r="B31" s="240" t="inlineStr">
        <is>
          <t>Оборудование</t>
        </is>
      </c>
      <c r="C31" s="319" t="n"/>
      <c r="D31" s="319" t="n"/>
      <c r="E31" s="319" t="n"/>
      <c r="F31" s="319" t="n"/>
      <c r="G31" s="319" t="n"/>
      <c r="H31" s="320" t="n"/>
      <c r="I31" s="122" t="n"/>
      <c r="J31" s="122" t="n"/>
    </row>
    <row r="32">
      <c r="A32" s="250" t="n"/>
      <c r="B32" s="257" t="inlineStr">
        <is>
          <t>Основное оборудование</t>
        </is>
      </c>
      <c r="C32" s="319" t="n"/>
      <c r="D32" s="319" t="n"/>
      <c r="E32" s="319" t="n"/>
      <c r="F32" s="319" t="n"/>
      <c r="G32" s="319" t="n"/>
      <c r="H32" s="320" t="n"/>
      <c r="I32" s="122" t="n"/>
      <c r="J32" s="122" t="n"/>
    </row>
    <row r="33" ht="25.5" customHeight="1" s="194">
      <c r="A33" s="250" t="n">
        <v>12</v>
      </c>
      <c r="B33" s="182" t="inlineStr">
        <is>
          <t>БЦ.67.25</t>
        </is>
      </c>
      <c r="C33" s="169" t="inlineStr">
        <is>
          <t>КТП мачтового (шкафного, столбового) типа с одним трансформатором 6-20 кВ, мощность 250 кВА</t>
        </is>
      </c>
      <c r="D33" s="250" t="inlineStr">
        <is>
          <t>шт</t>
        </is>
      </c>
      <c r="E33" s="129" t="n">
        <v>1</v>
      </c>
      <c r="F33" s="26">
        <f>ROUND(I33/Прил.10!D14,2)</f>
        <v/>
      </c>
      <c r="G33" s="26">
        <f>ROUND(E33*F33,2)</f>
        <v/>
      </c>
      <c r="H33" s="125">
        <f>G33/$G$37</f>
        <v/>
      </c>
      <c r="I33" s="26" t="n">
        <v>1160377.36</v>
      </c>
      <c r="J33" s="26">
        <f>ROUND(I33*E33,2)</f>
        <v/>
      </c>
      <c r="M33" s="191" t="n"/>
      <c r="N33" s="191" t="n"/>
    </row>
    <row r="34">
      <c r="A34" s="250" t="n"/>
      <c r="B34" s="250" t="n"/>
      <c r="C34" s="257" t="inlineStr">
        <is>
          <t>Итого основное оборудование</t>
        </is>
      </c>
      <c r="D34" s="250" t="n"/>
      <c r="E34" s="123" t="n"/>
      <c r="F34" s="259" t="n"/>
      <c r="G34" s="26">
        <f>G33</f>
        <v/>
      </c>
      <c r="H34" s="260">
        <f>H33</f>
        <v/>
      </c>
      <c r="I34" s="124" t="n"/>
      <c r="J34" s="26">
        <f>J33</f>
        <v/>
      </c>
    </row>
    <row r="35">
      <c r="A35" s="250" t="n"/>
      <c r="B35" s="250" t="n"/>
      <c r="C35" s="257" t="inlineStr">
        <is>
          <t>Итого прочее оборудование</t>
        </is>
      </c>
      <c r="D35" s="250" t="n"/>
      <c r="E35" s="123" t="n"/>
      <c r="F35" s="259" t="n"/>
      <c r="G35" s="26" t="n">
        <v>0</v>
      </c>
      <c r="H35" s="260" t="n">
        <v>0</v>
      </c>
      <c r="I35" s="124" t="n"/>
      <c r="J35" s="26" t="n">
        <v>0</v>
      </c>
    </row>
    <row r="36">
      <c r="A36" s="250" t="n"/>
      <c r="B36" s="250" t="n"/>
      <c r="C36" s="240" t="inlineStr">
        <is>
          <t>Итого по разделу «Оборудование»</t>
        </is>
      </c>
      <c r="D36" s="250" t="n"/>
      <c r="E36" s="258" t="n"/>
      <c r="F36" s="259" t="n"/>
      <c r="G36" s="26">
        <f>G35+G34</f>
        <v/>
      </c>
      <c r="H36" s="260">
        <f>H35+H34</f>
        <v/>
      </c>
      <c r="I36" s="124" t="n"/>
      <c r="J36" s="26">
        <f>J35+J34</f>
        <v/>
      </c>
    </row>
    <row r="37" ht="25.5" customHeight="1" s="194">
      <c r="A37" s="250" t="n"/>
      <c r="B37" s="250" t="n"/>
      <c r="C37" s="257" t="inlineStr">
        <is>
          <t>в том числе технологическое оборудование</t>
        </is>
      </c>
      <c r="D37" s="250" t="n"/>
      <c r="E37" s="129" t="n"/>
      <c r="F37" s="259" t="n"/>
      <c r="G37" s="26">
        <f>G36</f>
        <v/>
      </c>
      <c r="H37" s="260" t="n"/>
      <c r="I37" s="124" t="n"/>
      <c r="J37" s="26">
        <f>J36</f>
        <v/>
      </c>
    </row>
    <row r="38" ht="14.25" customFormat="1" customHeight="1" s="191">
      <c r="A38" s="250" t="n"/>
      <c r="B38" s="240" t="inlineStr">
        <is>
          <t>Материалы</t>
        </is>
      </c>
      <c r="C38" s="319" t="n"/>
      <c r="D38" s="319" t="n"/>
      <c r="E38" s="319" t="n"/>
      <c r="F38" s="319" t="n"/>
      <c r="G38" s="319" t="n"/>
      <c r="H38" s="320" t="n"/>
      <c r="I38" s="122" t="n"/>
      <c r="J38" s="122" t="n"/>
    </row>
    <row r="39" ht="14.25" customFormat="1" customHeight="1" s="191">
      <c r="A39" s="251" t="n"/>
      <c r="B39" s="253" t="inlineStr">
        <is>
          <t>Основные материалы</t>
        </is>
      </c>
      <c r="C39" s="323" t="n"/>
      <c r="D39" s="323" t="n"/>
      <c r="E39" s="323" t="n"/>
      <c r="F39" s="323" t="n"/>
      <c r="G39" s="323" t="n"/>
      <c r="H39" s="324" t="n"/>
      <c r="I39" s="134" t="n"/>
      <c r="J39" s="134" t="n"/>
    </row>
    <row r="40" ht="25.5" customFormat="1" customHeight="1" s="191">
      <c r="A40" s="250" t="n">
        <v>13</v>
      </c>
      <c r="B40" s="181" t="inlineStr">
        <is>
          <t>07.2.07.04-0007</t>
        </is>
      </c>
      <c r="C40" s="257" t="inlineStr">
        <is>
          <t>Конструкции стальные индивидуальные: решетчатые сварные массой до 0,1 т</t>
        </is>
      </c>
      <c r="D40" s="250" t="inlineStr">
        <is>
          <t>т</t>
        </is>
      </c>
      <c r="E40" s="129" t="n">
        <v>0.533</v>
      </c>
      <c r="F40" s="259" t="n">
        <v>11500</v>
      </c>
      <c r="G40" s="26">
        <f>ROUND(E40*F40,2)</f>
        <v/>
      </c>
      <c r="H40" s="125">
        <f>G40/$G$63</f>
        <v/>
      </c>
      <c r="I40" s="26">
        <f>ROUND(F40*Прил.10!$D$13,2)</f>
        <v/>
      </c>
      <c r="J40" s="26">
        <f>ROUND(I40*E40,2)</f>
        <v/>
      </c>
    </row>
    <row r="41" ht="25.5" customFormat="1" customHeight="1" s="191">
      <c r="A41" s="250" t="n">
        <v>14</v>
      </c>
      <c r="B41" s="181" t="inlineStr">
        <is>
          <t>14.4.02.09-0301</t>
        </is>
      </c>
      <c r="C41" s="257" t="inlineStr">
        <is>
          <t>Композиция антикоррозионная цинкнаполненная</t>
        </is>
      </c>
      <c r="D41" s="250" t="inlineStr">
        <is>
          <t>кг</t>
        </is>
      </c>
      <c r="E41" s="129" t="n">
        <v>3.232</v>
      </c>
      <c r="F41" s="259" t="n">
        <v>238.48</v>
      </c>
      <c r="G41" s="26">
        <f>ROUND(E41*F41,2)</f>
        <v/>
      </c>
      <c r="H41" s="125">
        <f>G41/$G$63</f>
        <v/>
      </c>
      <c r="I41" s="26">
        <f>ROUND(F41*Прил.10!$D$13,2)</f>
        <v/>
      </c>
      <c r="J41" s="26">
        <f>ROUND(I41*E41,2)</f>
        <v/>
      </c>
    </row>
    <row r="42" ht="51" customFormat="1" customHeight="1" s="191">
      <c r="A42" s="250" t="n">
        <v>15</v>
      </c>
      <c r="B42" s="181" t="inlineStr">
        <is>
          <t>05.2.02.01-0053</t>
        </is>
      </c>
      <c r="C42" s="257" t="inlineStr">
        <is>
          <t>Блоки бетонные стен подвалов сплошные (ГОСТ 13579-78): ФБС24-4-6-Т /бетон В7,5 (М100), объем 0,543 м3, расход арматуры 1,46 кг/</t>
        </is>
      </c>
      <c r="D42" s="250" t="inlineStr">
        <is>
          <t>шт</t>
        </is>
      </c>
      <c r="E42" s="129" t="n">
        <v>2</v>
      </c>
      <c r="F42" s="259" t="n">
        <v>314.94</v>
      </c>
      <c r="G42" s="26">
        <f>ROUND(E42*F42,2)</f>
        <v/>
      </c>
      <c r="H42" s="125">
        <f>G42/$G$63</f>
        <v/>
      </c>
      <c r="I42" s="26">
        <f>ROUND(F42*Прил.10!$D$13,2)</f>
        <v/>
      </c>
      <c r="J42" s="26">
        <f>ROUND(I42*E42,2)</f>
        <v/>
      </c>
    </row>
    <row r="43" ht="14.25" customFormat="1" customHeight="1" s="191">
      <c r="A43" s="252" t="n"/>
      <c r="B43" s="136" t="n"/>
      <c r="C43" s="137" t="inlineStr">
        <is>
          <t>Итого основные материалы</t>
        </is>
      </c>
      <c r="D43" s="252" t="n"/>
      <c r="E43" s="138" t="n"/>
      <c r="F43" s="128" t="n"/>
      <c r="G43" s="128">
        <f>SUM(G40:G42)</f>
        <v/>
      </c>
      <c r="H43" s="125">
        <f>G43/$G$63</f>
        <v/>
      </c>
      <c r="I43" s="26" t="n"/>
      <c r="J43" s="128">
        <f>SUM(J40:J42)</f>
        <v/>
      </c>
    </row>
    <row r="44" hidden="1" outlineLevel="1" ht="51" customFormat="1" customHeight="1" s="191">
      <c r="A44" s="250" t="n">
        <v>16</v>
      </c>
      <c r="B44" s="181" t="inlineStr">
        <is>
          <t>05.2.02.01-0042</t>
        </is>
      </c>
      <c r="C44" s="257" t="inlineStr">
        <is>
          <t>Блоки бетонные стен подвалов сплошные (ГОСТ 13579-78): ФБС12-4-6-Т /бетон В7,5 (М100), объем 0,265 м3, расход арматуры 1,46 кг/</t>
        </is>
      </c>
      <c r="D44" s="250" t="inlineStr">
        <is>
          <t>шт</t>
        </is>
      </c>
      <c r="E44" s="123" t="n">
        <v>2</v>
      </c>
      <c r="F44" s="259" t="n">
        <v>164.3</v>
      </c>
      <c r="G44" s="26">
        <f>ROUND(E44*F44,2)</f>
        <v/>
      </c>
      <c r="H44" s="125">
        <f>G44/$G$63</f>
        <v/>
      </c>
      <c r="I44" s="26">
        <f>ROUND(F44*Прил.10!$D$13,2)</f>
        <v/>
      </c>
      <c r="J44" s="26">
        <f>ROUND(I44*E44,2)</f>
        <v/>
      </c>
    </row>
    <row r="45" hidden="1" outlineLevel="1" ht="14.25" customFormat="1" customHeight="1" s="191">
      <c r="A45" s="250" t="n">
        <v>17</v>
      </c>
      <c r="B45" s="181" t="inlineStr">
        <is>
          <t>01.7.15.03-0042</t>
        </is>
      </c>
      <c r="C45" s="257" t="inlineStr">
        <is>
          <t>Болты с гайками и шайбами строительные</t>
        </is>
      </c>
      <c r="D45" s="250" t="inlineStr">
        <is>
          <t>кг</t>
        </is>
      </c>
      <c r="E45" s="123" t="n">
        <v>14.39</v>
      </c>
      <c r="F45" s="259" t="n">
        <v>9.039999999999999</v>
      </c>
      <c r="G45" s="26">
        <f>ROUND(E45*F45,2)</f>
        <v/>
      </c>
      <c r="H45" s="125">
        <f>G45/$G$63</f>
        <v/>
      </c>
      <c r="I45" s="26">
        <f>ROUND(F45*Прил.10!$D$13,2)</f>
        <v/>
      </c>
      <c r="J45" s="26">
        <f>ROUND(I45*E45,2)</f>
        <v/>
      </c>
    </row>
    <row r="46" hidden="1" outlineLevel="1" ht="14.25" customFormat="1" customHeight="1" s="191">
      <c r="A46" s="250" t="n">
        <v>18</v>
      </c>
      <c r="B46" s="181" t="inlineStr">
        <is>
          <t>01.2.03.03-0013</t>
        </is>
      </c>
      <c r="C46" s="257" t="inlineStr">
        <is>
          <t>Мастика битумная кровельная горячая</t>
        </is>
      </c>
      <c r="D46" s="250" t="inlineStr">
        <is>
          <t>т</t>
        </is>
      </c>
      <c r="E46" s="123" t="n">
        <v>0.0161</v>
      </c>
      <c r="F46" s="259" t="n">
        <v>3390</v>
      </c>
      <c r="G46" s="26">
        <f>ROUND(E46*F46,2)</f>
        <v/>
      </c>
      <c r="H46" s="125">
        <f>G46/$G$63</f>
        <v/>
      </c>
      <c r="I46" s="26">
        <f>ROUND(F46*Прил.10!$D$13,2)</f>
        <v/>
      </c>
      <c r="J46" s="26">
        <f>ROUND(I46*E46,2)</f>
        <v/>
      </c>
    </row>
    <row r="47" hidden="1" outlineLevel="1" ht="14.25" customFormat="1" customHeight="1" s="191">
      <c r="A47" s="250" t="n">
        <v>19</v>
      </c>
      <c r="B47" s="181" t="inlineStr">
        <is>
          <t>01.7.11.07-0034</t>
        </is>
      </c>
      <c r="C47" s="257" t="inlineStr">
        <is>
          <t>Электроды диаметром: 4 мм Э42А</t>
        </is>
      </c>
      <c r="D47" s="250" t="inlineStr">
        <is>
          <t>кг</t>
        </is>
      </c>
      <c r="E47" s="123" t="n">
        <v>4.949</v>
      </c>
      <c r="F47" s="259" t="n">
        <v>10.57</v>
      </c>
      <c r="G47" s="26">
        <f>ROUND(E47*F47,2)</f>
        <v/>
      </c>
      <c r="H47" s="125">
        <f>G47/$G$63</f>
        <v/>
      </c>
      <c r="I47" s="26">
        <f>ROUND(F47*Прил.10!$D$13,2)</f>
        <v/>
      </c>
      <c r="J47" s="26">
        <f>ROUND(I47*E47,2)</f>
        <v/>
      </c>
    </row>
    <row r="48" hidden="1" outlineLevel="1" ht="14.25" customFormat="1" customHeight="1" s="191">
      <c r="A48" s="250" t="n">
        <v>20</v>
      </c>
      <c r="B48" s="181" t="inlineStr">
        <is>
          <t>01.7.15.07-0031</t>
        </is>
      </c>
      <c r="C48" s="257" t="inlineStr">
        <is>
          <t>Дюбели распорные с гайкой</t>
        </is>
      </c>
      <c r="D48" s="250" t="inlineStr">
        <is>
          <t>100 шт</t>
        </is>
      </c>
      <c r="E48" s="123" t="n">
        <v>0.4264</v>
      </c>
      <c r="F48" s="259" t="n">
        <v>110</v>
      </c>
      <c r="G48" s="26">
        <f>ROUND(E48*F48,2)</f>
        <v/>
      </c>
      <c r="H48" s="125">
        <f>G48/$G$63</f>
        <v/>
      </c>
      <c r="I48" s="26">
        <f>ROUND(F48*Прил.10!$D$13,2)</f>
        <v/>
      </c>
      <c r="J48" s="26">
        <f>ROUND(I48*E48,2)</f>
        <v/>
      </c>
    </row>
    <row r="49" hidden="1" outlineLevel="1" ht="25.5" customFormat="1" customHeight="1" s="191">
      <c r="A49" s="250" t="n">
        <v>21</v>
      </c>
      <c r="B49" s="181" t="inlineStr">
        <is>
          <t>03.2.01.01-0003</t>
        </is>
      </c>
      <c r="C49" s="257" t="inlineStr">
        <is>
          <t>Портландцемент общестроительного назначения бездобавочный, марки: 500</t>
        </is>
      </c>
      <c r="D49" s="250" t="inlineStr">
        <is>
          <t>т</t>
        </is>
      </c>
      <c r="E49" s="123" t="n">
        <v>0.0959</v>
      </c>
      <c r="F49" s="259" t="n">
        <v>480</v>
      </c>
      <c r="G49" s="26">
        <f>ROUND(E49*F49,2)</f>
        <v/>
      </c>
      <c r="H49" s="125">
        <f>G49/$G$63</f>
        <v/>
      </c>
      <c r="I49" s="26">
        <f>ROUND(F49*Прил.10!$D$13,2)</f>
        <v/>
      </c>
      <c r="J49" s="26">
        <f>ROUND(I49*E49,2)</f>
        <v/>
      </c>
    </row>
    <row r="50" hidden="1" outlineLevel="1" ht="25.5" customFormat="1" customHeight="1" s="191">
      <c r="A50" s="250" t="n">
        <v>22</v>
      </c>
      <c r="B50" s="181" t="inlineStr">
        <is>
          <t>08.3.07.01-0076</t>
        </is>
      </c>
      <c r="C50" s="257" t="inlineStr">
        <is>
          <t>Сталь полосовая, марка стали: Ст3сп шириной 50-200 мм толщиной 4-5 мм</t>
        </is>
      </c>
      <c r="D50" s="250" t="inlineStr">
        <is>
          <t>т</t>
        </is>
      </c>
      <c r="E50" s="123" t="n">
        <v>0.007</v>
      </c>
      <c r="F50" s="259" t="n">
        <v>5000</v>
      </c>
      <c r="G50" s="26">
        <f>ROUND(E50*F50,2)</f>
        <v/>
      </c>
      <c r="H50" s="125">
        <f>G50/$G$63</f>
        <v/>
      </c>
      <c r="I50" s="26">
        <f>ROUND(F50*Прил.10!$D$13,2)</f>
        <v/>
      </c>
      <c r="J50" s="26">
        <f>ROUND(I50*E50,2)</f>
        <v/>
      </c>
    </row>
    <row r="51" hidden="1" outlineLevel="1" ht="14.25" customFormat="1" customHeight="1" s="191">
      <c r="A51" s="250" t="n">
        <v>23</v>
      </c>
      <c r="B51" s="181" t="inlineStr">
        <is>
          <t>02.2.04.03-0003</t>
        </is>
      </c>
      <c r="C51" s="257" t="inlineStr">
        <is>
          <t>Смесь песчано-гравийная природная</t>
        </is>
      </c>
      <c r="D51" s="250" t="inlineStr">
        <is>
          <t>м3</t>
        </is>
      </c>
      <c r="E51" s="123" t="n">
        <v>0.5</v>
      </c>
      <c r="F51" s="259" t="n">
        <v>60</v>
      </c>
      <c r="G51" s="26">
        <f>ROUND(E51*F51,2)</f>
        <v/>
      </c>
      <c r="H51" s="125">
        <f>G51/$G$63</f>
        <v/>
      </c>
      <c r="I51" s="26">
        <f>ROUND(F51*Прил.10!$D$13,2)</f>
        <v/>
      </c>
      <c r="J51" s="26">
        <f>ROUND(I51*E51,2)</f>
        <v/>
      </c>
    </row>
    <row r="52" hidden="1" outlineLevel="1" ht="25.5" customFormat="1" customHeight="1" s="191">
      <c r="A52" s="250" t="n">
        <v>24</v>
      </c>
      <c r="B52" s="181" t="inlineStr">
        <is>
          <t>01.1.01.09-0024</t>
        </is>
      </c>
      <c r="C52" s="257" t="inlineStr">
        <is>
          <t>Шнур асбестовый общего назначения марки: ШАОН диаметром 3-5 мм</t>
        </is>
      </c>
      <c r="D52" s="250" t="inlineStr">
        <is>
          <t>т</t>
        </is>
      </c>
      <c r="E52" s="123" t="n">
        <v>0.001</v>
      </c>
      <c r="F52" s="259" t="n">
        <v>26950</v>
      </c>
      <c r="G52" s="26">
        <f>ROUND(E52*F52,2)</f>
        <v/>
      </c>
      <c r="H52" s="125">
        <f>G52/$G$63</f>
        <v/>
      </c>
      <c r="I52" s="26">
        <f>ROUND(F52*Прил.10!$D$13,2)</f>
        <v/>
      </c>
      <c r="J52" s="26">
        <f>ROUND(I52*E52,2)</f>
        <v/>
      </c>
    </row>
    <row r="53" hidden="1" outlineLevel="1" ht="25.5" customFormat="1" customHeight="1" s="191">
      <c r="A53" s="250" t="n">
        <v>25</v>
      </c>
      <c r="B53" s="181" t="inlineStr">
        <is>
          <t>999-9950</t>
        </is>
      </c>
      <c r="C53" s="257" t="inlineStr">
        <is>
          <t>Вспомогательные ненормируемые ресурсы (2% от Оплаты труда рабочих)</t>
        </is>
      </c>
      <c r="D53" s="250" t="inlineStr">
        <is>
          <t>руб.</t>
        </is>
      </c>
      <c r="E53" s="123" t="n">
        <v>15.806</v>
      </c>
      <c r="F53" s="259" t="n">
        <v>1</v>
      </c>
      <c r="G53" s="26">
        <f>ROUND(E53*F53,2)</f>
        <v/>
      </c>
      <c r="H53" s="125">
        <f>G53/$G$63</f>
        <v/>
      </c>
      <c r="I53" s="26">
        <f>ROUND(F53*Прил.10!$D$13,2)</f>
        <v/>
      </c>
      <c r="J53" s="26">
        <f>ROUND(I53*E53,2)</f>
        <v/>
      </c>
    </row>
    <row r="54" hidden="1" outlineLevel="1" ht="14.25" customFormat="1" customHeight="1" s="191">
      <c r="A54" s="250" t="n">
        <v>26</v>
      </c>
      <c r="B54" s="181" t="inlineStr">
        <is>
          <t>14.4.04.12-0008</t>
        </is>
      </c>
      <c r="C54" s="257" t="inlineStr">
        <is>
          <t>Эмаль эпоксидная: ЭП-140 защитная</t>
        </is>
      </c>
      <c r="D54" s="250" t="inlineStr">
        <is>
          <t>т</t>
        </is>
      </c>
      <c r="E54" s="123" t="n">
        <v>0.0002</v>
      </c>
      <c r="F54" s="259" t="n">
        <v>75000</v>
      </c>
      <c r="G54" s="26">
        <f>ROUND(E54*F54,2)</f>
        <v/>
      </c>
      <c r="H54" s="125">
        <f>G54/$G$63</f>
        <v/>
      </c>
      <c r="I54" s="26">
        <f>ROUND(F54*Прил.10!$D$13,2)</f>
        <v/>
      </c>
      <c r="J54" s="26">
        <f>ROUND(I54*E54,2)</f>
        <v/>
      </c>
    </row>
    <row r="55" hidden="1" outlineLevel="1" ht="38.25" customFormat="1" customHeight="1" s="191">
      <c r="A55" s="250" t="n">
        <v>27</v>
      </c>
      <c r="B55" s="181" t="inlineStr">
        <is>
          <t>08.3.05.02-0101</t>
        </is>
      </c>
      <c r="C55" s="257" t="inlineStr">
        <is>
          <t>Сталь листовая углеродистая обыкновенного качества марки ВСт3пс5 толщиной: 4-6 мм</t>
        </is>
      </c>
      <c r="D55" s="250" t="inlineStr">
        <is>
          <t>т</t>
        </is>
      </c>
      <c r="E55" s="123" t="n">
        <v>0.0018</v>
      </c>
      <c r="F55" s="259" t="n">
        <v>5763</v>
      </c>
      <c r="G55" s="26">
        <f>ROUND(E55*F55,2)</f>
        <v/>
      </c>
      <c r="H55" s="125">
        <f>G55/$G$63</f>
        <v/>
      </c>
      <c r="I55" s="26">
        <f>ROUND(F55*Прил.10!$D$13,2)</f>
        <v/>
      </c>
      <c r="J55" s="26">
        <f>ROUND(I55*E55,2)</f>
        <v/>
      </c>
    </row>
    <row r="56" hidden="1" outlineLevel="1" ht="25.5" customFormat="1" customHeight="1" s="191">
      <c r="A56" s="250" t="n">
        <v>28</v>
      </c>
      <c r="B56" s="181" t="inlineStr">
        <is>
          <t>04.3.01.12-0002</t>
        </is>
      </c>
      <c r="C56" s="257" t="inlineStr">
        <is>
          <t>Раствор готовый кладочный цементно-известковый марки: 25</t>
        </is>
      </c>
      <c r="D56" s="250" t="inlineStr">
        <is>
          <t>м3</t>
        </is>
      </c>
      <c r="E56" s="123" t="n">
        <v>0.0144</v>
      </c>
      <c r="F56" s="259" t="n">
        <v>497</v>
      </c>
      <c r="G56" s="26">
        <f>ROUND(E56*F56,2)</f>
        <v/>
      </c>
      <c r="H56" s="125">
        <f>G56/$G$63</f>
        <v/>
      </c>
      <c r="I56" s="26">
        <f>ROUND(F56*Прил.10!$D$13,2)</f>
        <v/>
      </c>
      <c r="J56" s="26">
        <f>ROUND(I56*E56,2)</f>
        <v/>
      </c>
    </row>
    <row r="57" hidden="1" outlineLevel="1" ht="25.5" customFormat="1" customHeight="1" s="191">
      <c r="A57" s="250" t="n">
        <v>29</v>
      </c>
      <c r="B57" s="181" t="inlineStr">
        <is>
          <t>02.3.01.02-0020</t>
        </is>
      </c>
      <c r="C57" s="257" t="inlineStr">
        <is>
          <t>Песок природный для строительных: растворов средний</t>
        </is>
      </c>
      <c r="D57" s="250" t="inlineStr">
        <is>
          <t>м3</t>
        </is>
      </c>
      <c r="E57" s="123" t="n">
        <v>0.08</v>
      </c>
      <c r="F57" s="259" t="n">
        <v>59.99</v>
      </c>
      <c r="G57" s="26">
        <f>ROUND(E57*F57,2)</f>
        <v/>
      </c>
      <c r="H57" s="125">
        <f>G57/$G$63</f>
        <v/>
      </c>
      <c r="I57" s="26">
        <f>ROUND(F57*Прил.10!$D$13,2)</f>
        <v/>
      </c>
      <c r="J57" s="26">
        <f>ROUND(I57*E57,2)</f>
        <v/>
      </c>
    </row>
    <row r="58" hidden="1" outlineLevel="1" ht="25.5" customFormat="1" customHeight="1" s="191">
      <c r="A58" s="250" t="n">
        <v>30</v>
      </c>
      <c r="B58" s="181" t="inlineStr">
        <is>
          <t>01.3.01.03-0002</t>
        </is>
      </c>
      <c r="C58" s="257" t="inlineStr">
        <is>
          <t>Керосин для технических целей марок КТ-1, КТ-2</t>
        </is>
      </c>
      <c r="D58" s="250" t="inlineStr">
        <is>
          <t>т</t>
        </is>
      </c>
      <c r="E58" s="123" t="n">
        <v>0.0016</v>
      </c>
      <c r="F58" s="259" t="n">
        <v>2606.9</v>
      </c>
      <c r="G58" s="26">
        <f>ROUND(E58*F58,2)</f>
        <v/>
      </c>
      <c r="H58" s="125">
        <f>G58/$G$63</f>
        <v/>
      </c>
      <c r="I58" s="26">
        <f>ROUND(F58*Прил.10!$D$13,2)</f>
        <v/>
      </c>
      <c r="J58" s="26">
        <f>ROUND(I58*E58,2)</f>
        <v/>
      </c>
    </row>
    <row r="59" hidden="1" outlineLevel="1" ht="25.5" customFormat="1" customHeight="1" s="191">
      <c r="A59" s="250" t="n">
        <v>31</v>
      </c>
      <c r="B59" s="181" t="inlineStr">
        <is>
          <t>01.2.01.02-0054</t>
        </is>
      </c>
      <c r="C59" s="257" t="inlineStr">
        <is>
          <t>Битумы нефтяные строительные марки: БН-90/10</t>
        </is>
      </c>
      <c r="D59" s="250" t="inlineStr">
        <is>
          <t>т</t>
        </is>
      </c>
      <c r="E59" s="123" t="n">
        <v>0.0011</v>
      </c>
      <c r="F59" s="259" t="n">
        <v>1383.1</v>
      </c>
      <c r="G59" s="26">
        <f>ROUND(E59*F59,2)</f>
        <v/>
      </c>
      <c r="H59" s="125">
        <f>G59/$G$63</f>
        <v/>
      </c>
      <c r="I59" s="26">
        <f>ROUND(F59*Прил.10!$D$13,2)</f>
        <v/>
      </c>
      <c r="J59" s="26">
        <f>ROUND(I59*E59,2)</f>
        <v/>
      </c>
    </row>
    <row r="60" hidden="1" outlineLevel="1" ht="14.25" customFormat="1" customHeight="1" s="191">
      <c r="A60" s="250" t="n">
        <v>32</v>
      </c>
      <c r="B60" s="181" t="inlineStr">
        <is>
          <t>01.7.03.01-0001</t>
        </is>
      </c>
      <c r="C60" s="257" t="inlineStr">
        <is>
          <t>Вода</t>
        </is>
      </c>
      <c r="D60" s="250" t="inlineStr">
        <is>
          <t>м3</t>
        </is>
      </c>
      <c r="E60" s="123" t="n">
        <v>0.0264</v>
      </c>
      <c r="F60" s="259" t="n">
        <v>2.44</v>
      </c>
      <c r="G60" s="26">
        <f>ROUND(E60*F60,2)</f>
        <v/>
      </c>
      <c r="H60" s="125">
        <f>G60/$G$63</f>
        <v/>
      </c>
      <c r="I60" s="26">
        <f>ROUND(F60*Прил.10!$D$13,2)</f>
        <v/>
      </c>
      <c r="J60" s="26">
        <f>ROUND(I60*E60,2)</f>
        <v/>
      </c>
    </row>
    <row r="61" hidden="1" outlineLevel="1" ht="14.25" customFormat="1" customHeight="1" s="191">
      <c r="A61" s="250" t="n">
        <v>33</v>
      </c>
      <c r="B61" s="181" t="inlineStr">
        <is>
          <t>01.7.20.08-0051</t>
        </is>
      </c>
      <c r="C61" s="257" t="inlineStr">
        <is>
          <t>Ветошь</t>
        </is>
      </c>
      <c r="D61" s="250" t="inlineStr">
        <is>
          <t>кг</t>
        </is>
      </c>
      <c r="E61" s="123" t="n">
        <v>0.0067</v>
      </c>
      <c r="F61" s="259" t="n">
        <v>1.82</v>
      </c>
      <c r="G61" s="26">
        <f>ROUND(E61*F61,2)</f>
        <v/>
      </c>
      <c r="H61" s="125">
        <f>G61/$G$63</f>
        <v/>
      </c>
      <c r="I61" s="26">
        <f>ROUND(F61*Прил.10!$D$13,2)</f>
        <v/>
      </c>
      <c r="J61" s="26">
        <f>ROUND(I61*E61,2)</f>
        <v/>
      </c>
    </row>
    <row r="62" collapsed="1" ht="14.25" customFormat="1" customHeight="1" s="191">
      <c r="A62" s="250" t="n"/>
      <c r="B62" s="250" t="n"/>
      <c r="C62" s="257" t="inlineStr">
        <is>
          <t>Итого прочие материалы</t>
        </is>
      </c>
      <c r="D62" s="250" t="n"/>
      <c r="E62" s="258" t="n"/>
      <c r="F62" s="259" t="n"/>
      <c r="G62" s="128">
        <f>SUM(G44:G61)</f>
        <v/>
      </c>
      <c r="H62" s="125">
        <f>G62/$G$63</f>
        <v/>
      </c>
      <c r="I62" s="26" t="n"/>
      <c r="J62" s="128">
        <f>SUM(J44:J61)</f>
        <v/>
      </c>
    </row>
    <row r="63" ht="14.25" customFormat="1" customHeight="1" s="191">
      <c r="A63" s="250" t="n"/>
      <c r="B63" s="250" t="n"/>
      <c r="C63" s="240" t="inlineStr">
        <is>
          <t>Итого по разделу «Материалы»</t>
        </is>
      </c>
      <c r="D63" s="250" t="n"/>
      <c r="E63" s="258" t="n"/>
      <c r="F63" s="259" t="n"/>
      <c r="G63" s="26">
        <f>G43+G62</f>
        <v/>
      </c>
      <c r="H63" s="125">
        <f>G63/$G$63</f>
        <v/>
      </c>
      <c r="I63" s="26" t="n"/>
      <c r="J63" s="26">
        <f>J43+J62</f>
        <v/>
      </c>
    </row>
    <row r="64" ht="14.25" customFormat="1" customHeight="1" s="191">
      <c r="A64" s="250" t="n"/>
      <c r="B64" s="250" t="n"/>
      <c r="C64" s="257" t="inlineStr">
        <is>
          <t>ИТОГО ПО РМ</t>
        </is>
      </c>
      <c r="D64" s="250" t="n"/>
      <c r="E64" s="258" t="n"/>
      <c r="F64" s="259" t="n"/>
      <c r="G64" s="26">
        <f>G14+G30+G63</f>
        <v/>
      </c>
      <c r="H64" s="260" t="n"/>
      <c r="I64" s="26" t="n"/>
      <c r="J64" s="26">
        <f>J14+J30+J63</f>
        <v/>
      </c>
    </row>
    <row r="65" ht="14.25" customFormat="1" customHeight="1" s="191">
      <c r="A65" s="250" t="n"/>
      <c r="B65" s="250" t="n"/>
      <c r="C65" s="257" t="inlineStr">
        <is>
          <t>Накладные расходы</t>
        </is>
      </c>
      <c r="D65" s="130">
        <f>ROUND(G65/(G$16+$G$14),2)</f>
        <v/>
      </c>
      <c r="E65" s="258" t="n"/>
      <c r="F65" s="259" t="n"/>
      <c r="G65" s="26" t="n">
        <v>1421.22</v>
      </c>
      <c r="H65" s="260" t="n"/>
      <c r="I65" s="26" t="n"/>
      <c r="J65" s="26">
        <f>ROUND(D65*(J14+J16),2)</f>
        <v/>
      </c>
    </row>
    <row r="66" ht="14.25" customFormat="1" customHeight="1" s="191">
      <c r="A66" s="250" t="n"/>
      <c r="B66" s="250" t="n"/>
      <c r="C66" s="257" t="inlineStr">
        <is>
          <t>Сметная прибыль</t>
        </is>
      </c>
      <c r="D66" s="130">
        <f>ROUND(G66/(G$14+G$16),2)</f>
        <v/>
      </c>
      <c r="E66" s="258" t="n"/>
      <c r="F66" s="259" t="n"/>
      <c r="G66" s="26" t="n">
        <v>953.11</v>
      </c>
      <c r="H66" s="260" t="n"/>
      <c r="I66" s="26" t="n"/>
      <c r="J66" s="26">
        <f>ROUND(D66*(J14+J16),2)</f>
        <v/>
      </c>
    </row>
    <row r="67" ht="14.25" customFormat="1" customHeight="1" s="191">
      <c r="A67" s="250" t="n"/>
      <c r="B67" s="250" t="n"/>
      <c r="C67" s="257" t="inlineStr">
        <is>
          <t>Итого СМР (с НР и СП)</t>
        </is>
      </c>
      <c r="D67" s="250" t="n"/>
      <c r="E67" s="258" t="n"/>
      <c r="F67" s="259" t="n"/>
      <c r="G67" s="26">
        <f>G14+G30+G63+G65+G66</f>
        <v/>
      </c>
      <c r="H67" s="260" t="n"/>
      <c r="I67" s="26" t="n"/>
      <c r="J67" s="26">
        <f>J14+J30+J63+J65+J66</f>
        <v/>
      </c>
    </row>
    <row r="68" ht="14.25" customFormat="1" customHeight="1" s="191">
      <c r="A68" s="250" t="n"/>
      <c r="B68" s="250" t="n"/>
      <c r="C68" s="257" t="inlineStr">
        <is>
          <t>ВСЕГО СМР + ОБОРУДОВАНИЕ</t>
        </is>
      </c>
      <c r="D68" s="250" t="n"/>
      <c r="E68" s="258" t="n"/>
      <c r="F68" s="259" t="n"/>
      <c r="G68" s="26">
        <f>G67+G36</f>
        <v/>
      </c>
      <c r="H68" s="260" t="n"/>
      <c r="I68" s="26" t="n"/>
      <c r="J68" s="26">
        <f>J67+J36</f>
        <v/>
      </c>
    </row>
    <row r="69" ht="34.5" customFormat="1" customHeight="1" s="191">
      <c r="A69" s="250" t="n"/>
      <c r="B69" s="250" t="n"/>
      <c r="C69" s="257" t="inlineStr">
        <is>
          <t>ИТОГО ПОКАЗАТЕЛЬ НА ЕД. ИЗМ.</t>
        </is>
      </c>
      <c r="D69" s="250" t="inlineStr">
        <is>
          <t>ед.</t>
        </is>
      </c>
      <c r="E69" s="258" t="n">
        <v>1</v>
      </c>
      <c r="F69" s="259" t="n"/>
      <c r="G69" s="26">
        <f>G68/E69</f>
        <v/>
      </c>
      <c r="H69" s="260" t="n"/>
      <c r="I69" s="26" t="n"/>
      <c r="J69" s="26">
        <f>J68/E69</f>
        <v/>
      </c>
    </row>
    <row r="71" ht="14.25" customFormat="1" customHeight="1" s="191">
      <c r="A71" s="190" t="inlineStr">
        <is>
          <t>Составил ______________________     Е. М. Добровольская</t>
        </is>
      </c>
    </row>
    <row r="72" ht="14.25" customFormat="1" customHeight="1" s="191">
      <c r="A72" s="193" t="inlineStr">
        <is>
          <t xml:space="preserve">                         (подпись, инициалы, фамилия)</t>
        </is>
      </c>
    </row>
    <row r="73" ht="14.25" customFormat="1" customHeight="1" s="191">
      <c r="A73" s="190" t="n"/>
    </row>
    <row r="74" ht="14.25" customFormat="1" customHeight="1" s="191">
      <c r="A74" s="190" t="inlineStr">
        <is>
          <t>Проверил ______________________        А.В. Костянецкая</t>
        </is>
      </c>
    </row>
    <row r="75" ht="14.25" customFormat="1" customHeight="1" s="191">
      <c r="A75" s="19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2:H32"/>
    <mergeCell ref="E9:E10"/>
    <mergeCell ref="A7:H7"/>
    <mergeCell ref="B31:H31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E19" sqref="E19"/>
    </sheetView>
  </sheetViews>
  <sheetFormatPr baseColWidth="8" defaultRowHeight="15"/>
  <cols>
    <col width="5.7109375" customWidth="1" style="194" min="1" max="1"/>
    <col width="17.5703125" customWidth="1" style="194" min="2" max="2"/>
    <col width="39.140625" customWidth="1" style="194" min="3" max="3"/>
    <col width="10.7109375" customWidth="1" style="194" min="4" max="4"/>
    <col width="13.85546875" customWidth="1" style="194" min="5" max="5"/>
    <col width="13.28515625" customWidth="1" style="194" min="6" max="6"/>
    <col width="14.140625" customWidth="1" style="194" min="7" max="7"/>
  </cols>
  <sheetData>
    <row r="1">
      <c r="A1" s="265" t="inlineStr">
        <is>
          <t>Приложение №6</t>
        </is>
      </c>
    </row>
    <row r="2" ht="21.75" customHeight="1" s="194">
      <c r="A2" s="265" t="n"/>
      <c r="B2" s="265" t="n"/>
      <c r="C2" s="265" t="n"/>
      <c r="D2" s="265" t="n"/>
      <c r="E2" s="265" t="n"/>
      <c r="F2" s="265" t="n"/>
      <c r="G2" s="265" t="n"/>
    </row>
    <row r="3">
      <c r="A3" s="226" t="inlineStr">
        <is>
          <t>Расчет стоимости оборудования</t>
        </is>
      </c>
    </row>
    <row r="4" ht="25.5" customHeight="1" s="194">
      <c r="A4" s="229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250 кВА</t>
        </is>
      </c>
    </row>
    <row r="5">
      <c r="A5" s="190" t="n"/>
      <c r="B5" s="190" t="n"/>
      <c r="C5" s="190" t="n"/>
      <c r="D5" s="190" t="n"/>
      <c r="E5" s="190" t="n"/>
      <c r="F5" s="190" t="n"/>
      <c r="G5" s="190" t="n"/>
    </row>
    <row r="6" ht="30" customHeight="1" s="194">
      <c r="A6" s="270" t="inlineStr">
        <is>
          <t>№ пп.</t>
        </is>
      </c>
      <c r="B6" s="270" t="inlineStr">
        <is>
          <t>Код ресурса</t>
        </is>
      </c>
      <c r="C6" s="270" t="inlineStr">
        <is>
          <t>Наименование</t>
        </is>
      </c>
      <c r="D6" s="270" t="inlineStr">
        <is>
          <t>Ед. изм.</t>
        </is>
      </c>
      <c r="E6" s="250" t="inlineStr">
        <is>
          <t>Кол-во единиц по проектным данным</t>
        </is>
      </c>
      <c r="F6" s="270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 s="194">
      <c r="A9" s="99" t="n"/>
      <c r="B9" s="257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194">
      <c r="A10" s="250" t="n"/>
      <c r="B10" s="240" t="n"/>
      <c r="C10" s="257" t="inlineStr">
        <is>
          <t>ИТОГО ИНЖЕНЕРНОЕ ОБОРУДОВАНИЕ</t>
        </is>
      </c>
      <c r="D10" s="240" t="n"/>
      <c r="E10" s="100" t="n"/>
      <c r="F10" s="259" t="n"/>
      <c r="G10" s="259" t="n">
        <v>0</v>
      </c>
    </row>
    <row r="11">
      <c r="A11" s="250" t="n"/>
      <c r="B11" s="257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 ht="41.25" customHeight="1" s="194">
      <c r="A12" s="250" t="n">
        <v>1</v>
      </c>
      <c r="B12" s="257">
        <f>'Прил.5 Расчет СМР и ОБ'!B33</f>
        <v/>
      </c>
      <c r="C12" s="257">
        <f>'Прил.5 Расчет СМР и ОБ'!C33</f>
        <v/>
      </c>
      <c r="D12" s="250">
        <f>'Прил.5 Расчет СМР и ОБ'!D33</f>
        <v/>
      </c>
      <c r="E12" s="123">
        <f>'Прил.5 Расчет СМР и ОБ'!E33</f>
        <v/>
      </c>
      <c r="F12" s="269">
        <f>'Прил.5 Расчет СМР и ОБ'!F33</f>
        <v/>
      </c>
      <c r="G12" s="26">
        <f>ROUND(E12*F12,2)</f>
        <v/>
      </c>
    </row>
    <row r="13" ht="25.5" customHeight="1" s="194">
      <c r="A13" s="250" t="n"/>
      <c r="B13" s="257" t="n"/>
      <c r="C13" s="257" t="inlineStr">
        <is>
          <t>ИТОГО ТЕХНОЛОГИЧЕСКОЕ ОБОРУДОВАНИЕ</t>
        </is>
      </c>
      <c r="D13" s="257" t="n"/>
      <c r="E13" s="269" t="n"/>
      <c r="F13" s="259" t="n"/>
      <c r="G13" s="26">
        <f>SUM(G12:G12)</f>
        <v/>
      </c>
    </row>
    <row r="14" ht="19.5" customHeight="1" s="194">
      <c r="A14" s="250" t="n"/>
      <c r="B14" s="257" t="n"/>
      <c r="C14" s="257" t="inlineStr">
        <is>
          <t>Всего по разделу «Оборудование»</t>
        </is>
      </c>
      <c r="D14" s="257" t="n"/>
      <c r="E14" s="269" t="n"/>
      <c r="F14" s="259" t="n"/>
      <c r="G14" s="26">
        <f>G10+G13</f>
        <v/>
      </c>
    </row>
    <row r="15">
      <c r="A15" s="192" t="n"/>
      <c r="B15" s="101" t="n"/>
      <c r="C15" s="192" t="n"/>
      <c r="D15" s="192" t="n"/>
      <c r="E15" s="192" t="n"/>
      <c r="F15" s="192" t="n"/>
      <c r="G15" s="192" t="n"/>
    </row>
    <row r="16">
      <c r="A16" s="190" t="inlineStr">
        <is>
          <t>Составил ______________________    Е. М. Добровольская</t>
        </is>
      </c>
      <c r="B16" s="191" t="n"/>
      <c r="C16" s="191" t="n"/>
      <c r="D16" s="192" t="n"/>
      <c r="E16" s="192" t="n"/>
      <c r="F16" s="192" t="n"/>
      <c r="G16" s="192" t="n"/>
    </row>
    <row r="17">
      <c r="A17" s="193" t="inlineStr">
        <is>
          <t xml:space="preserve">                         (подпись, инициалы, фамилия)</t>
        </is>
      </c>
      <c r="B17" s="191" t="n"/>
      <c r="C17" s="191" t="n"/>
      <c r="D17" s="192" t="n"/>
      <c r="E17" s="192" t="n"/>
      <c r="F17" s="192" t="n"/>
      <c r="G17" s="192" t="n"/>
    </row>
    <row r="18">
      <c r="A18" s="190" t="n"/>
      <c r="B18" s="191" t="n"/>
      <c r="C18" s="191" t="n"/>
      <c r="D18" s="192" t="n"/>
      <c r="E18" s="192" t="n"/>
      <c r="F18" s="192" t="n"/>
      <c r="G18" s="192" t="n"/>
    </row>
    <row r="19">
      <c r="A19" s="190" t="inlineStr">
        <is>
          <t>Проверил ______________________        А.В. Костянецкая</t>
        </is>
      </c>
      <c r="B19" s="191" t="n"/>
      <c r="C19" s="191" t="n"/>
      <c r="D19" s="192" t="n"/>
      <c r="E19" s="192" t="n"/>
      <c r="F19" s="192" t="n"/>
      <c r="G19" s="192" t="n"/>
    </row>
    <row r="20">
      <c r="A20" s="193" t="inlineStr">
        <is>
          <t xml:space="preserve">                        (подпись, инициалы, фамилия)</t>
        </is>
      </c>
      <c r="B20" s="191" t="n"/>
      <c r="C20" s="191" t="n"/>
      <c r="D20" s="192" t="n"/>
      <c r="E20" s="192" t="n"/>
      <c r="F20" s="192" t="n"/>
      <c r="G20" s="19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194" min="1" max="1"/>
    <col width="16.42578125" customWidth="1" style="194" min="2" max="2"/>
    <col width="37.140625" customWidth="1" style="194" min="3" max="3"/>
    <col width="49" customWidth="1" style="194" min="4" max="4"/>
    <col width="9.140625" customWidth="1" style="194" min="5" max="5"/>
  </cols>
  <sheetData>
    <row r="1" ht="15.75" customHeight="1" s="194">
      <c r="A1" s="196" t="n"/>
      <c r="B1" s="196" t="n"/>
      <c r="C1" s="196" t="n"/>
      <c r="D1" s="196" t="inlineStr">
        <is>
          <t>Приложение №7</t>
        </is>
      </c>
    </row>
    <row r="2" ht="15.75" customHeight="1" s="194">
      <c r="A2" s="196" t="n"/>
      <c r="B2" s="196" t="n"/>
      <c r="C2" s="196" t="n"/>
      <c r="D2" s="196" t="n"/>
    </row>
    <row r="3" ht="15.75" customHeight="1" s="194">
      <c r="A3" s="196" t="n"/>
      <c r="B3" s="185" t="inlineStr">
        <is>
          <t>Расчет показателя УНЦ</t>
        </is>
      </c>
      <c r="C3" s="196" t="n"/>
      <c r="D3" s="196" t="n"/>
    </row>
    <row r="4" ht="15.75" customHeight="1" s="194">
      <c r="A4" s="196" t="n"/>
      <c r="B4" s="196" t="n"/>
      <c r="C4" s="196" t="n"/>
      <c r="D4" s="196" t="n"/>
    </row>
    <row r="5" ht="47.25" customHeight="1" s="194">
      <c r="A5" s="271" t="inlineStr">
        <is>
          <t xml:space="preserve">Наименование разрабатываемого показателя УНЦ - </t>
        </is>
      </c>
      <c r="D5" s="271">
        <f>'Прил.5 Расчет СМР и ОБ'!D6:J6</f>
        <v/>
      </c>
    </row>
    <row r="6" ht="15.75" customHeight="1" s="194">
      <c r="A6" s="196" t="inlineStr">
        <is>
          <t>Единица измерения  — 1 ед</t>
        </is>
      </c>
      <c r="B6" s="196" t="n"/>
      <c r="C6" s="196" t="n"/>
      <c r="D6" s="196" t="n"/>
    </row>
    <row r="7" ht="15.75" customHeight="1" s="194">
      <c r="A7" s="196" t="n"/>
      <c r="B7" s="196" t="n"/>
      <c r="C7" s="196" t="n"/>
      <c r="D7" s="196" t="n"/>
    </row>
    <row r="8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>
      <c r="A9" s="322" t="n"/>
      <c r="B9" s="322" t="n"/>
      <c r="C9" s="322" t="n"/>
      <c r="D9" s="322" t="n"/>
    </row>
    <row r="10" ht="15.75" customHeight="1" s="194">
      <c r="A10" s="238" t="n">
        <v>1</v>
      </c>
      <c r="B10" s="238" t="n">
        <v>2</v>
      </c>
      <c r="C10" s="238" t="n">
        <v>3</v>
      </c>
      <c r="D10" s="238" t="n">
        <v>4</v>
      </c>
    </row>
    <row r="11" ht="110.25" customHeight="1" s="194">
      <c r="A11" s="238" t="inlineStr">
        <is>
          <t>Э2-07</t>
        </is>
      </c>
      <c r="B11" s="238" t="inlineStr">
        <is>
          <t>УНЦ КТП мачтового (шкафного, столбового) типа с одним трансформатором 6 - 20 кВ</t>
        </is>
      </c>
      <c r="C11" s="188">
        <f>D5</f>
        <v/>
      </c>
      <c r="D11" s="202">
        <f>'Прил.4 РМ'!C41/1000</f>
        <v/>
      </c>
    </row>
    <row r="13">
      <c r="A13" s="190" t="inlineStr">
        <is>
          <t>Составил ______________________     Е. М. Добровольская</t>
        </is>
      </c>
      <c r="B13" s="191" t="n"/>
      <c r="C13" s="191" t="n"/>
      <c r="D13" s="192" t="n"/>
    </row>
    <row r="14">
      <c r="A14" s="193" t="inlineStr">
        <is>
          <t xml:space="preserve">                         (подпись, инициалы, фамилия)</t>
        </is>
      </c>
      <c r="B14" s="191" t="n"/>
      <c r="C14" s="191" t="n"/>
      <c r="D14" s="192" t="n"/>
    </row>
    <row r="15">
      <c r="A15" s="190" t="n"/>
      <c r="B15" s="191" t="n"/>
      <c r="C15" s="191" t="n"/>
      <c r="D15" s="192" t="n"/>
    </row>
    <row r="16">
      <c r="A16" s="190" t="inlineStr">
        <is>
          <t>Проверил ______________________        А.В. Костянецкая</t>
        </is>
      </c>
      <c r="B16" s="191" t="n"/>
      <c r="C16" s="191" t="n"/>
      <c r="D16" s="192" t="n"/>
    </row>
    <row r="17" ht="20.25" customHeight="1" s="194">
      <c r="A17" s="193" t="inlineStr">
        <is>
          <t xml:space="preserve">                        (подпись, инициалы, фамилия)</t>
        </is>
      </c>
      <c r="B17" s="191" t="n"/>
      <c r="C17" s="191" t="n"/>
      <c r="D17" s="19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5" sqref="D25"/>
    </sheetView>
  </sheetViews>
  <sheetFormatPr baseColWidth="8" defaultRowHeight="15"/>
  <cols>
    <col width="9.140625" customWidth="1" style="194" min="1" max="1"/>
    <col width="40.7109375" customWidth="1" style="194" min="2" max="2"/>
    <col width="37" customWidth="1" style="194" min="3" max="3"/>
    <col width="32" customWidth="1" style="194" min="4" max="4"/>
    <col width="9.140625" customWidth="1" style="194" min="5" max="5"/>
  </cols>
  <sheetData>
    <row r="4" ht="15.75" customHeight="1" s="194">
      <c r="B4" s="233" t="inlineStr">
        <is>
          <t>Приложение № 10</t>
        </is>
      </c>
    </row>
    <row r="5" ht="18.75" customHeight="1" s="194">
      <c r="B5" s="115" t="n"/>
    </row>
    <row r="6" ht="15.75" customHeight="1" s="194">
      <c r="B6" s="234" t="inlineStr">
        <is>
          <t>Используемые индексы изменений сметной стоимости и нормы сопутствующих затрат</t>
        </is>
      </c>
    </row>
    <row r="7">
      <c r="B7" s="272" t="n"/>
    </row>
    <row r="8">
      <c r="B8" s="272" t="n"/>
      <c r="C8" s="272" t="n"/>
      <c r="D8" s="272" t="n"/>
      <c r="E8" s="272" t="n"/>
    </row>
    <row r="9" ht="47.25" customHeight="1" s="194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194">
      <c r="B10" s="238" t="n">
        <v>1</v>
      </c>
      <c r="C10" s="238" t="n">
        <v>2</v>
      </c>
      <c r="D10" s="238" t="n">
        <v>3</v>
      </c>
    </row>
    <row r="11" ht="45" customHeight="1" s="194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29.25" customHeight="1" s="194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  прил.1</t>
        </is>
      </c>
      <c r="D12" s="238" t="n">
        <v>13.47</v>
      </c>
    </row>
    <row r="13" ht="29.25" customHeight="1" s="194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8.039999999999999</v>
      </c>
    </row>
    <row r="14" ht="30.75" customHeight="1" s="194">
      <c r="B14" s="238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194">
      <c r="B15" s="238" t="inlineStr">
        <is>
          <t>Временные здания и сооружения</t>
        </is>
      </c>
      <c r="C15" s="23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0.025</v>
      </c>
    </row>
    <row r="16" ht="78.75" customHeight="1" s="194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31.5" customHeight="1" s="194">
      <c r="B17" s="238" t="inlineStr">
        <is>
          <t>Строительный контроль</t>
        </is>
      </c>
      <c r="C17" s="238" t="inlineStr">
        <is>
          <t>Постановление Правительства РФ от 21.06.10 г. № 468</t>
        </is>
      </c>
      <c r="D17" s="117" t="n">
        <v>0.0214</v>
      </c>
    </row>
    <row r="18" ht="31.5" customHeight="1" s="194">
      <c r="B18" s="238" t="inlineStr">
        <is>
          <t>Авторский надзор - 0,2%</t>
        </is>
      </c>
      <c r="C18" s="238" t="inlineStr">
        <is>
          <t>Приказ от 4.08.2020 № 421/пр п.173</t>
        </is>
      </c>
      <c r="D18" s="117" t="n">
        <v>0.002</v>
      </c>
    </row>
    <row r="19" ht="24" customHeight="1" s="194">
      <c r="B19" s="238" t="inlineStr">
        <is>
          <t>Непредвиденные расходы</t>
        </is>
      </c>
      <c r="C19" s="238" t="inlineStr">
        <is>
          <t>Приказ от 4.08.2020 № 421/пр п.179</t>
        </is>
      </c>
      <c r="D19" s="117" t="n">
        <v>0.03</v>
      </c>
    </row>
    <row r="20" ht="18.75" customHeight="1" s="194">
      <c r="B20" s="116" t="n"/>
    </row>
    <row r="21" ht="18.75" customHeight="1" s="194">
      <c r="B21" s="116" t="n"/>
    </row>
    <row r="22" ht="18.75" customHeight="1" s="194">
      <c r="B22" s="116" t="n"/>
    </row>
    <row r="23" ht="18.75" customHeight="1" s="194">
      <c r="B23" s="116" t="n"/>
    </row>
    <row r="26">
      <c r="B26" s="190" t="inlineStr">
        <is>
          <t>Составил ______________________        Е.А. Князева</t>
        </is>
      </c>
      <c r="C26" s="191" t="n"/>
    </row>
    <row r="27">
      <c r="B27" s="193" t="inlineStr">
        <is>
          <t xml:space="preserve">                         (подпись, инициалы, фамилия)</t>
        </is>
      </c>
      <c r="C27" s="191" t="n"/>
    </row>
    <row r="28">
      <c r="B28" s="190" t="n"/>
      <c r="C28" s="191" t="n"/>
    </row>
    <row r="29">
      <c r="B29" s="190" t="inlineStr">
        <is>
          <t>Проверил ______________________        А.В. Костянецкая</t>
        </is>
      </c>
      <c r="C29" s="191" t="n"/>
    </row>
    <row r="30">
      <c r="B30" s="193" t="inlineStr">
        <is>
          <t xml:space="preserve">                        (подпись, инициалы, фамилия)</t>
        </is>
      </c>
      <c r="C30" s="19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tabSelected="1" view="pageBreakPreview" workbookViewId="0">
      <selection activeCell="K11" sqref="K11"/>
    </sheetView>
  </sheetViews>
  <sheetFormatPr baseColWidth="8" defaultColWidth="9.140625" defaultRowHeight="15"/>
  <cols>
    <col width="9.140625" customWidth="1" style="194" min="1" max="1"/>
    <col width="44.85546875" customWidth="1" style="194" min="2" max="2"/>
    <col width="13" customWidth="1" style="194" min="3" max="3"/>
    <col width="22.85546875" customWidth="1" style="194" min="4" max="4"/>
    <col width="21.5703125" customWidth="1" style="194" min="5" max="5"/>
    <col width="43.85546875" customWidth="1" style="194" min="6" max="6"/>
    <col width="9.140625" customWidth="1" style="194" min="7" max="7"/>
  </cols>
  <sheetData>
    <row r="2" ht="17.25" customHeight="1" s="194">
      <c r="A2" s="23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4">
      <c r="A4" s="195" t="inlineStr">
        <is>
          <t>Составлен в уровне цен на 01.01.2023 г.</t>
        </is>
      </c>
      <c r="B4" s="196" t="n"/>
      <c r="C4" s="196" t="n"/>
      <c r="D4" s="196" t="n"/>
      <c r="E4" s="196" t="n"/>
      <c r="F4" s="196" t="n"/>
      <c r="G4" s="196" t="n"/>
    </row>
    <row r="5" ht="15.75" customHeight="1" s="194">
      <c r="A5" s="220" t="inlineStr">
        <is>
          <t>№ пп.</t>
        </is>
      </c>
      <c r="B5" s="220" t="inlineStr">
        <is>
          <t>Наименование элемента</t>
        </is>
      </c>
      <c r="C5" s="220" t="inlineStr">
        <is>
          <t>Обозначение</t>
        </is>
      </c>
      <c r="D5" s="220" t="inlineStr">
        <is>
          <t>Формула</t>
        </is>
      </c>
      <c r="E5" s="220" t="inlineStr">
        <is>
          <t>Величина элемента</t>
        </is>
      </c>
      <c r="F5" s="220" t="inlineStr">
        <is>
          <t>Наименования обосновывающих документов</t>
        </is>
      </c>
      <c r="G5" s="196" t="n"/>
    </row>
    <row r="6" ht="15.75" customHeight="1" s="194">
      <c r="A6" s="220" t="n">
        <v>1</v>
      </c>
      <c r="B6" s="220" t="n">
        <v>2</v>
      </c>
      <c r="C6" s="220" t="n">
        <v>3</v>
      </c>
      <c r="D6" s="220" t="n">
        <v>4</v>
      </c>
      <c r="E6" s="220" t="n">
        <v>5</v>
      </c>
      <c r="F6" s="220" t="n">
        <v>6</v>
      </c>
      <c r="G6" s="196" t="n"/>
    </row>
    <row r="7" ht="110.25" customHeight="1" s="194">
      <c r="A7" s="198" t="inlineStr">
        <is>
          <t>1.1</t>
        </is>
      </c>
      <c r="B7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201" t="n">
        <v>47872.94</v>
      </c>
      <c r="F7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6" t="n"/>
    </row>
    <row r="8" ht="31.5" customHeight="1" s="194">
      <c r="A8" s="198" t="inlineStr">
        <is>
          <t>1.2</t>
        </is>
      </c>
      <c r="B8" s="203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202">
        <f>1973/12</f>
        <v/>
      </c>
      <c r="F8" s="203" t="inlineStr">
        <is>
          <t>Производственный календарь 2023 год
(40-часов.неделя)</t>
        </is>
      </c>
      <c r="G8" s="205" t="n"/>
    </row>
    <row r="9" ht="15.75" customHeight="1" s="194">
      <c r="A9" s="198" t="inlineStr">
        <is>
          <t>1.3</t>
        </is>
      </c>
      <c r="B9" s="203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202" t="n">
        <v>1</v>
      </c>
      <c r="F9" s="203" t="n"/>
      <c r="G9" s="205" t="n"/>
    </row>
    <row r="10" ht="15.75" customHeight="1" s="194">
      <c r="A10" s="198" t="inlineStr">
        <is>
          <t>1.4</t>
        </is>
      </c>
      <c r="B10" s="203" t="inlineStr">
        <is>
          <t>Средний разряд работ</t>
        </is>
      </c>
      <c r="C10" s="238" t="n"/>
      <c r="D10" s="238" t="n"/>
      <c r="E10" s="206" t="n">
        <v>3.6</v>
      </c>
      <c r="F10" s="203" t="inlineStr">
        <is>
          <t>РТМ</t>
        </is>
      </c>
      <c r="G10" s="205" t="n"/>
    </row>
    <row r="11" ht="78.75" customHeight="1" s="194">
      <c r="A11" s="198" t="inlineStr">
        <is>
          <t>1.5</t>
        </is>
      </c>
      <c r="B11" s="203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207" t="n">
        <v>1.278</v>
      </c>
      <c r="F11" s="2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6" t="n"/>
    </row>
    <row r="12" ht="78.75" customHeight="1" s="194">
      <c r="A12" s="198" t="inlineStr">
        <is>
          <t>1.6</t>
        </is>
      </c>
      <c r="B12" s="208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209" t="n">
        <v>1.139</v>
      </c>
      <c r="F12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n"/>
    </row>
    <row r="13" ht="63" customHeight="1" s="194">
      <c r="A13" s="211" t="inlineStr">
        <is>
          <t>1.7</t>
        </is>
      </c>
      <c r="B13" s="212" t="inlineStr">
        <is>
          <t>Размер средств на оплату труда рабочих-строителей в текущем уровне цен (ФОТр.тек.), руб/чел.-ч</t>
        </is>
      </c>
      <c r="C13" s="213" t="inlineStr">
        <is>
          <t>ФОТр.тек.</t>
        </is>
      </c>
      <c r="D13" s="213" t="inlineStr">
        <is>
          <t>(С1ср/tср*КТ*Т*Кув)*Кинф</t>
        </is>
      </c>
      <c r="E13" s="214">
        <f>((E7*E9/E8)*E11)*E12</f>
        <v/>
      </c>
      <c r="F13" s="2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6" t="n"/>
    </row>
    <row r="14" ht="14.45" customHeight="1" s="194">
      <c r="A14" s="216" t="n"/>
      <c r="B14" s="274" t="inlineStr">
        <is>
          <t>Ведущий инженер</t>
        </is>
      </c>
      <c r="C14" s="319" t="n"/>
      <c r="D14" s="319" t="n"/>
      <c r="E14" s="319" t="n"/>
      <c r="F14" s="320" t="n"/>
    </row>
    <row r="15" ht="110.25" customHeight="1" s="194">
      <c r="A15" s="198" t="inlineStr">
        <is>
          <t>1.1</t>
        </is>
      </c>
      <c r="B15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38" t="inlineStr">
        <is>
          <t>С1ср</t>
        </is>
      </c>
      <c r="D15" s="238" t="inlineStr">
        <is>
          <t>-</t>
        </is>
      </c>
      <c r="E15" s="201" t="n">
        <v>47872.94</v>
      </c>
      <c r="F15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96" t="n"/>
    </row>
    <row r="16" ht="31.5" customHeight="1" s="194">
      <c r="A16" s="198" t="inlineStr">
        <is>
          <t>1.2</t>
        </is>
      </c>
      <c r="B16" s="203" t="inlineStr">
        <is>
          <t>Среднегодовое нормативное число часов работы одного рабочего в месяц, часы (ч.)</t>
        </is>
      </c>
      <c r="C16" s="238" t="inlineStr">
        <is>
          <t>tср</t>
        </is>
      </c>
      <c r="D16" s="238" t="inlineStr">
        <is>
          <t>1973ч/12мес.</t>
        </is>
      </c>
      <c r="E16" s="202">
        <f>1973/12</f>
        <v/>
      </c>
      <c r="F16" s="203" t="inlineStr">
        <is>
          <t>Производственный календарь 2023 год
(40-часов.неделя)</t>
        </is>
      </c>
      <c r="G16" s="205" t="n"/>
    </row>
    <row r="17" ht="15.75" customHeight="1" s="194">
      <c r="A17" s="198" t="inlineStr">
        <is>
          <t>1.3</t>
        </is>
      </c>
      <c r="B17" s="203" t="inlineStr">
        <is>
          <t>Коэффициент увеличения</t>
        </is>
      </c>
      <c r="C17" s="238" t="inlineStr">
        <is>
          <t>Кув</t>
        </is>
      </c>
      <c r="D17" s="238" t="inlineStr">
        <is>
          <t>-</t>
        </is>
      </c>
      <c r="E17" s="202" t="n">
        <v>1</v>
      </c>
      <c r="F17" s="203" t="n"/>
      <c r="G17" s="205" t="n"/>
    </row>
    <row r="18" ht="15.75" customHeight="1" s="194">
      <c r="A18" s="198" t="inlineStr">
        <is>
          <t>1.4</t>
        </is>
      </c>
      <c r="B18" s="203" t="inlineStr">
        <is>
          <t>Средний разряд работ</t>
        </is>
      </c>
      <c r="C18" s="238" t="n"/>
      <c r="D18" s="238" t="n"/>
      <c r="E18" s="206" t="n"/>
      <c r="F18" s="203" t="inlineStr">
        <is>
          <t>РТМ</t>
        </is>
      </c>
      <c r="G18" s="205" t="n"/>
    </row>
    <row r="19" ht="78.75" customHeight="1" s="194">
      <c r="A19" s="211" t="inlineStr">
        <is>
          <t>1.5</t>
        </is>
      </c>
      <c r="B19" s="215" t="inlineStr">
        <is>
          <t>Тарифный коэффициент среднего разряда работ</t>
        </is>
      </c>
      <c r="C19" s="213" t="inlineStr">
        <is>
          <t>КТ</t>
        </is>
      </c>
      <c r="D19" s="213" t="inlineStr">
        <is>
          <t>-</t>
        </is>
      </c>
      <c r="E19" s="217" t="n">
        <v>2.35</v>
      </c>
      <c r="F19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96" t="n"/>
    </row>
    <row r="20" ht="94.5" customHeight="1" s="194">
      <c r="A20" s="198" t="inlineStr">
        <is>
          <t>1.6</t>
        </is>
      </c>
      <c r="B20" s="208" t="inlineStr">
        <is>
          <t>Коэффициент инфляции, определяемый поквартально</t>
        </is>
      </c>
      <c r="C20" s="238" t="inlineStr">
        <is>
          <t>Кинф</t>
        </is>
      </c>
      <c r="D20" s="238" t="inlineStr">
        <is>
          <t>-</t>
        </is>
      </c>
      <c r="E20" s="209" t="n">
        <v>1.139</v>
      </c>
      <c r="F20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05" t="n"/>
    </row>
    <row r="21" ht="63" customHeight="1" s="194">
      <c r="A21" s="198" t="inlineStr">
        <is>
          <t>1.7</t>
        </is>
      </c>
      <c r="B21" s="218" t="inlineStr">
        <is>
          <t>Размер средств на оплату труда рабочих-строителей в текущем уровне цен (ФОТр.тек.), руб/чел.-ч</t>
        </is>
      </c>
      <c r="C21" s="238" t="inlineStr">
        <is>
          <t>ФОТр.тек.</t>
        </is>
      </c>
      <c r="D21" s="238" t="inlineStr">
        <is>
          <t>(С1ср/tср*КТ*Т*Кув)*Кинф</t>
        </is>
      </c>
      <c r="E21" s="219">
        <f>((E15*E17/E16)*E19)*E20</f>
        <v/>
      </c>
      <c r="F21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96" t="n"/>
    </row>
    <row r="22" ht="15.75" customHeight="1" s="194">
      <c r="A22" s="216" t="n"/>
      <c r="B22" s="274" t="inlineStr">
        <is>
          <t>Инженер I категории</t>
        </is>
      </c>
      <c r="C22" s="319" t="n"/>
      <c r="D22" s="319" t="n"/>
      <c r="E22" s="319" t="n"/>
      <c r="F22" s="320" t="n"/>
    </row>
    <row r="23" ht="110.25" customHeight="1" s="194">
      <c r="A23" s="198" t="inlineStr">
        <is>
          <t>1.1</t>
        </is>
      </c>
      <c r="B23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38" t="inlineStr">
        <is>
          <t>С1ср</t>
        </is>
      </c>
      <c r="D23" s="238" t="inlineStr">
        <is>
          <t>-</t>
        </is>
      </c>
      <c r="E23" s="201" t="n">
        <v>47872.94</v>
      </c>
      <c r="F23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96" t="n"/>
    </row>
    <row r="24" ht="31.5" customHeight="1" s="194">
      <c r="A24" s="198" t="inlineStr">
        <is>
          <t>1.2</t>
        </is>
      </c>
      <c r="B24" s="203" t="inlineStr">
        <is>
          <t>Среднегодовое нормативное число часов работы одного рабочего в месяц, часы (ч.)</t>
        </is>
      </c>
      <c r="C24" s="238" t="inlineStr">
        <is>
          <t>tср</t>
        </is>
      </c>
      <c r="D24" s="238" t="inlineStr">
        <is>
          <t>1973ч/12мес.</t>
        </is>
      </c>
      <c r="E24" s="202">
        <f>1973/12</f>
        <v/>
      </c>
      <c r="F24" s="203" t="inlineStr">
        <is>
          <t>Производственный календарь 2023 год
(40-часов.неделя)</t>
        </is>
      </c>
      <c r="G24" s="205" t="n"/>
    </row>
    <row r="25" ht="15.75" customHeight="1" s="194">
      <c r="A25" s="198" t="inlineStr">
        <is>
          <t>1.3</t>
        </is>
      </c>
      <c r="B25" s="203" t="inlineStr">
        <is>
          <t>Коэффициент увеличения</t>
        </is>
      </c>
      <c r="C25" s="238" t="inlineStr">
        <is>
          <t>Кув</t>
        </is>
      </c>
      <c r="D25" s="238" t="inlineStr">
        <is>
          <t>-</t>
        </is>
      </c>
      <c r="E25" s="202" t="n">
        <v>1</v>
      </c>
      <c r="F25" s="203" t="n"/>
      <c r="G25" s="205" t="n"/>
    </row>
    <row r="26" ht="15.75" customHeight="1" s="194">
      <c r="A26" s="198" t="inlineStr">
        <is>
          <t>1.4</t>
        </is>
      </c>
      <c r="B26" s="203" t="inlineStr">
        <is>
          <t>Средний разряд работ</t>
        </is>
      </c>
      <c r="C26" s="238" t="n"/>
      <c r="D26" s="238" t="n"/>
      <c r="E26" s="206" t="n">
        <v>1</v>
      </c>
      <c r="F26" s="203" t="inlineStr">
        <is>
          <t>РТМ</t>
        </is>
      </c>
      <c r="G26" s="205" t="n"/>
    </row>
    <row r="27" ht="78.75" customHeight="1" s="194">
      <c r="A27" s="211" t="inlineStr">
        <is>
          <t>1.5</t>
        </is>
      </c>
      <c r="B27" s="215" t="inlineStr">
        <is>
          <t>Тарифный коэффициент среднего разряда работ</t>
        </is>
      </c>
      <c r="C27" s="213" t="inlineStr">
        <is>
          <t>КТ</t>
        </is>
      </c>
      <c r="D27" s="213" t="inlineStr">
        <is>
          <t>-</t>
        </is>
      </c>
      <c r="E27" s="217" t="n">
        <v>2.15</v>
      </c>
      <c r="F27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96" t="n"/>
    </row>
    <row r="28" ht="94.5" customHeight="1" s="194">
      <c r="A28" s="198" t="inlineStr">
        <is>
          <t>1.6</t>
        </is>
      </c>
      <c r="B28" s="208" t="inlineStr">
        <is>
          <t>Коэффициент инфляции, определяемый поквартально</t>
        </is>
      </c>
      <c r="C28" s="238" t="inlineStr">
        <is>
          <t>Кинф</t>
        </is>
      </c>
      <c r="D28" s="238" t="inlineStr">
        <is>
          <t>-</t>
        </is>
      </c>
      <c r="E28" s="209" t="n">
        <v>1.139</v>
      </c>
      <c r="F28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05" t="n"/>
    </row>
    <row r="29" ht="63" customHeight="1" s="194">
      <c r="A29" s="198" t="inlineStr">
        <is>
          <t>1.7</t>
        </is>
      </c>
      <c r="B29" s="218" t="inlineStr">
        <is>
          <t>Размер средств на оплату труда рабочих-строителей в текущем уровне цен (ФОТр.тек.), руб/чел.-ч</t>
        </is>
      </c>
      <c r="C29" s="238" t="inlineStr">
        <is>
          <t>ФОТр.тек.</t>
        </is>
      </c>
      <c r="D29" s="238" t="inlineStr">
        <is>
          <t>(С1ср/tср*КТ*Т*Кув)*Кинф</t>
        </is>
      </c>
      <c r="E29" s="219">
        <f>((E23*E25/E24)*E27)*E28</f>
        <v/>
      </c>
      <c r="F29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96" t="n"/>
    </row>
    <row r="30" ht="15.75" customHeight="1" s="194">
      <c r="A30" s="216" t="n"/>
      <c r="B30" s="274" t="inlineStr">
        <is>
          <t>Инженер II категории</t>
        </is>
      </c>
      <c r="C30" s="319" t="n"/>
      <c r="D30" s="319" t="n"/>
      <c r="E30" s="319" t="n"/>
      <c r="F30" s="320" t="n"/>
    </row>
    <row r="31" ht="110.25" customHeight="1" s="194">
      <c r="A31" s="198" t="inlineStr">
        <is>
          <t>1.1</t>
        </is>
      </c>
      <c r="B31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38" t="inlineStr">
        <is>
          <t>С1ср</t>
        </is>
      </c>
      <c r="D31" s="238" t="inlineStr">
        <is>
          <t>-</t>
        </is>
      </c>
      <c r="E31" s="201" t="n">
        <v>47872.94</v>
      </c>
      <c r="F31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196" t="n"/>
    </row>
    <row r="32" ht="31.5" customHeight="1" s="194">
      <c r="A32" s="198" t="inlineStr">
        <is>
          <t>1.2</t>
        </is>
      </c>
      <c r="B32" s="203" t="inlineStr">
        <is>
          <t>Среднегодовое нормативное число часов работы одного рабочего в месяц, часы (ч.)</t>
        </is>
      </c>
      <c r="C32" s="238" t="inlineStr">
        <is>
          <t>tср</t>
        </is>
      </c>
      <c r="D32" s="238" t="inlineStr">
        <is>
          <t>1973ч/12мес.</t>
        </is>
      </c>
      <c r="E32" s="202">
        <f>1973/12</f>
        <v/>
      </c>
      <c r="F32" s="203" t="inlineStr">
        <is>
          <t>Производственный календарь 2023 год
(40-часов.неделя)</t>
        </is>
      </c>
      <c r="G32" s="205" t="n"/>
    </row>
    <row r="33" ht="15.75" customHeight="1" s="194">
      <c r="A33" s="198" t="inlineStr">
        <is>
          <t>1.3</t>
        </is>
      </c>
      <c r="B33" s="203" t="inlineStr">
        <is>
          <t>Коэффициент увеличения</t>
        </is>
      </c>
      <c r="C33" s="238" t="inlineStr">
        <is>
          <t>Кув</t>
        </is>
      </c>
      <c r="D33" s="238" t="inlineStr">
        <is>
          <t>-</t>
        </is>
      </c>
      <c r="E33" s="202" t="n">
        <v>1</v>
      </c>
      <c r="F33" s="203" t="n"/>
      <c r="G33" s="205" t="n"/>
    </row>
    <row r="34" ht="15.75" customHeight="1" s="194">
      <c r="A34" s="198" t="inlineStr">
        <is>
          <t>1.4</t>
        </is>
      </c>
      <c r="B34" s="203" t="inlineStr">
        <is>
          <t>Средний разряд работ</t>
        </is>
      </c>
      <c r="C34" s="238" t="n"/>
      <c r="D34" s="238" t="n"/>
      <c r="E34" s="206" t="n">
        <v>2</v>
      </c>
      <c r="F34" s="203" t="inlineStr">
        <is>
          <t>РТМ</t>
        </is>
      </c>
      <c r="G34" s="205" t="n"/>
    </row>
    <row r="35" ht="78.75" customHeight="1" s="194">
      <c r="A35" s="211" t="inlineStr">
        <is>
          <t>1.5</t>
        </is>
      </c>
      <c r="B35" s="215" t="inlineStr">
        <is>
          <t>Тарифный коэффициент среднего разряда работ</t>
        </is>
      </c>
      <c r="C35" s="213" t="inlineStr">
        <is>
          <t>КТ</t>
        </is>
      </c>
      <c r="D35" s="213" t="inlineStr">
        <is>
          <t>-</t>
        </is>
      </c>
      <c r="E35" s="217" t="n">
        <v>1.96</v>
      </c>
      <c r="F35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196" t="n"/>
    </row>
    <row r="36" ht="94.5" customHeight="1" s="194">
      <c r="A36" s="198" t="inlineStr">
        <is>
          <t>1.6</t>
        </is>
      </c>
      <c r="B36" s="208" t="inlineStr">
        <is>
          <t>Коэффициент инфляции, определяемый поквартально</t>
        </is>
      </c>
      <c r="C36" s="238" t="inlineStr">
        <is>
          <t>Кинф</t>
        </is>
      </c>
      <c r="D36" s="238" t="inlineStr">
        <is>
          <t>-</t>
        </is>
      </c>
      <c r="E36" s="209" t="n">
        <v>1.139</v>
      </c>
      <c r="F36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205" t="n"/>
    </row>
    <row r="37" ht="63" customHeight="1" s="194">
      <c r="A37" s="198" t="inlineStr">
        <is>
          <t>1.7</t>
        </is>
      </c>
      <c r="B37" s="218" t="inlineStr">
        <is>
          <t>Размер средств на оплату труда рабочих-строителей в текущем уровне цен (ФОТр.тек.), руб/чел.-ч</t>
        </is>
      </c>
      <c r="C37" s="238" t="inlineStr">
        <is>
          <t>ФОТр.тек.</t>
        </is>
      </c>
      <c r="D37" s="238" t="inlineStr">
        <is>
          <t>(С1ср/tср*КТ*Т*Кув)*Кинф</t>
        </is>
      </c>
      <c r="E37" s="219">
        <f>((E31*E33/E32)*E35)*E36</f>
        <v/>
      </c>
      <c r="F37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196" t="n"/>
    </row>
    <row r="38" ht="15.75" customHeight="1" s="194">
      <c r="A38" s="216" t="n"/>
      <c r="B38" s="274" t="inlineStr">
        <is>
          <t>Инженер III категории</t>
        </is>
      </c>
      <c r="C38" s="319" t="n"/>
      <c r="D38" s="319" t="n"/>
      <c r="E38" s="319" t="n"/>
      <c r="F38" s="320" t="n"/>
    </row>
    <row r="39" ht="110.25" customHeight="1" s="194">
      <c r="A39" s="198" t="inlineStr">
        <is>
          <t>1.1</t>
        </is>
      </c>
      <c r="B39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38" t="inlineStr">
        <is>
          <t>С1ср</t>
        </is>
      </c>
      <c r="D39" s="238" t="inlineStr">
        <is>
          <t>-</t>
        </is>
      </c>
      <c r="E39" s="201" t="n">
        <v>47872.94</v>
      </c>
      <c r="F39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196" t="n"/>
    </row>
    <row r="40" ht="31.5" customHeight="1" s="194">
      <c r="A40" s="198" t="inlineStr">
        <is>
          <t>1.2</t>
        </is>
      </c>
      <c r="B40" s="203" t="inlineStr">
        <is>
          <t>Среднегодовое нормативное число часов работы одного рабочего в месяц, часы (ч.)</t>
        </is>
      </c>
      <c r="C40" s="238" t="inlineStr">
        <is>
          <t>tср</t>
        </is>
      </c>
      <c r="D40" s="238" t="inlineStr">
        <is>
          <t>1973ч/12мес.</t>
        </is>
      </c>
      <c r="E40" s="202">
        <f>1973/12</f>
        <v/>
      </c>
      <c r="F40" s="203" t="inlineStr">
        <is>
          <t>Производственный календарь 2023 год
(40-часов.неделя)</t>
        </is>
      </c>
      <c r="G40" s="205" t="n"/>
    </row>
    <row r="41" ht="15.75" customHeight="1" s="194">
      <c r="A41" s="198" t="inlineStr">
        <is>
          <t>1.3</t>
        </is>
      </c>
      <c r="B41" s="203" t="inlineStr">
        <is>
          <t>Коэффициент увеличения</t>
        </is>
      </c>
      <c r="C41" s="238" t="inlineStr">
        <is>
          <t>Кув</t>
        </is>
      </c>
      <c r="D41" s="238" t="inlineStr">
        <is>
          <t>-</t>
        </is>
      </c>
      <c r="E41" s="202" t="n">
        <v>1</v>
      </c>
      <c r="F41" s="203" t="n"/>
      <c r="G41" s="205" t="n"/>
    </row>
    <row r="42" ht="15.75" customHeight="1" s="194">
      <c r="A42" s="198" t="inlineStr">
        <is>
          <t>1.4</t>
        </is>
      </c>
      <c r="B42" s="203" t="inlineStr">
        <is>
          <t>Средний разряд работ</t>
        </is>
      </c>
      <c r="C42" s="238" t="n"/>
      <c r="D42" s="238" t="n"/>
      <c r="E42" s="206" t="n">
        <v>3</v>
      </c>
      <c r="F42" s="203" t="inlineStr">
        <is>
          <t>РТМ</t>
        </is>
      </c>
      <c r="G42" s="205" t="n"/>
    </row>
    <row r="43" ht="78.75" customHeight="1" s="194">
      <c r="A43" s="211" t="inlineStr">
        <is>
          <t>1.5</t>
        </is>
      </c>
      <c r="B43" s="215" t="inlineStr">
        <is>
          <t>Тарифный коэффициент среднего разряда работ</t>
        </is>
      </c>
      <c r="C43" s="213" t="inlineStr">
        <is>
          <t>КТ</t>
        </is>
      </c>
      <c r="D43" s="213" t="inlineStr">
        <is>
          <t>-</t>
        </is>
      </c>
      <c r="E43" s="217" t="n">
        <v>1.76</v>
      </c>
      <c r="F43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196" t="n"/>
    </row>
    <row r="44" ht="94.5" customHeight="1" s="194">
      <c r="A44" s="198" t="inlineStr">
        <is>
          <t>1.6</t>
        </is>
      </c>
      <c r="B44" s="208" t="inlineStr">
        <is>
          <t>Коэффициент инфляции, определяемый поквартально</t>
        </is>
      </c>
      <c r="C44" s="238" t="inlineStr">
        <is>
          <t>Кинф</t>
        </is>
      </c>
      <c r="D44" s="238" t="inlineStr">
        <is>
          <t>-</t>
        </is>
      </c>
      <c r="E44" s="209" t="n">
        <v>1.139</v>
      </c>
      <c r="F44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205" t="n"/>
    </row>
    <row r="45" ht="63" customHeight="1" s="194">
      <c r="A45" s="198" t="inlineStr">
        <is>
          <t>1.7</t>
        </is>
      </c>
      <c r="B45" s="218" t="inlineStr">
        <is>
          <t>Размер средств на оплату труда рабочих-строителей в текущем уровне цен (ФОТр.тек.), руб/чел.-ч</t>
        </is>
      </c>
      <c r="C45" s="238" t="inlineStr">
        <is>
          <t>ФОТр.тек.</t>
        </is>
      </c>
      <c r="D45" s="238" t="inlineStr">
        <is>
          <t>(С1ср/tср*КТ*Т*Кув)*Кинф</t>
        </is>
      </c>
      <c r="E45" s="219">
        <f>((E39*E41/E40)*E43)*E44</f>
        <v/>
      </c>
      <c r="F45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196" t="n"/>
    </row>
    <row r="46" ht="15.75" customHeight="1" s="194">
      <c r="A46" s="216" t="n"/>
      <c r="B46" s="274" t="inlineStr">
        <is>
          <t>Техник I категории</t>
        </is>
      </c>
      <c r="C46" s="319" t="n"/>
      <c r="D46" s="319" t="n"/>
      <c r="E46" s="319" t="n"/>
      <c r="F46" s="320" t="n"/>
    </row>
    <row r="47" ht="110.25" customHeight="1" s="194">
      <c r="A47" s="198" t="inlineStr">
        <is>
          <t>1.1</t>
        </is>
      </c>
      <c r="B47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38" t="inlineStr">
        <is>
          <t>С1ср</t>
        </is>
      </c>
      <c r="D47" s="238" t="inlineStr">
        <is>
          <t>-</t>
        </is>
      </c>
      <c r="E47" s="201" t="n">
        <v>47872.94</v>
      </c>
      <c r="F47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196" t="n"/>
    </row>
    <row r="48" ht="31.5" customHeight="1" s="194">
      <c r="A48" s="198" t="inlineStr">
        <is>
          <t>1.2</t>
        </is>
      </c>
      <c r="B48" s="203" t="inlineStr">
        <is>
          <t>Среднегодовое нормативное число часов работы одного рабочего в месяц, часы (ч.)</t>
        </is>
      </c>
      <c r="C48" s="238" t="inlineStr">
        <is>
          <t>tср</t>
        </is>
      </c>
      <c r="D48" s="238" t="inlineStr">
        <is>
          <t>1973ч/12мес.</t>
        </is>
      </c>
      <c r="E48" s="202">
        <f>1973/12</f>
        <v/>
      </c>
      <c r="F48" s="203" t="inlineStr">
        <is>
          <t>Производственный календарь 2023 год
(40-часов.неделя)</t>
        </is>
      </c>
      <c r="G48" s="205" t="n"/>
    </row>
    <row r="49" ht="15.75" customHeight="1" s="194">
      <c r="A49" s="198" t="inlineStr">
        <is>
          <t>1.3</t>
        </is>
      </c>
      <c r="B49" s="203" t="inlineStr">
        <is>
          <t>Коэффициент увеличения</t>
        </is>
      </c>
      <c r="C49" s="238" t="inlineStr">
        <is>
          <t>Кув</t>
        </is>
      </c>
      <c r="D49" s="238" t="inlineStr">
        <is>
          <t>-</t>
        </is>
      </c>
      <c r="E49" s="202" t="n">
        <v>1</v>
      </c>
      <c r="F49" s="203" t="n"/>
      <c r="G49" s="205" t="n"/>
    </row>
    <row r="50" ht="15.75" customHeight="1" s="194">
      <c r="A50" s="198" t="inlineStr">
        <is>
          <t>1.4</t>
        </is>
      </c>
      <c r="B50" s="203" t="inlineStr">
        <is>
          <t>Средний разряд работ</t>
        </is>
      </c>
      <c r="C50" s="238" t="n"/>
      <c r="D50" s="238" t="n"/>
      <c r="E50" s="206" t="n">
        <v>1</v>
      </c>
      <c r="F50" s="203" t="inlineStr">
        <is>
          <t>РТМ</t>
        </is>
      </c>
      <c r="G50" s="205" t="n"/>
    </row>
    <row r="51" ht="78.75" customHeight="1" s="194">
      <c r="A51" s="211" t="inlineStr">
        <is>
          <t>1.5</t>
        </is>
      </c>
      <c r="B51" s="215" t="inlineStr">
        <is>
          <t>Тарифный коэффициент среднего разряда работ</t>
        </is>
      </c>
      <c r="C51" s="213" t="inlineStr">
        <is>
          <t>КТ</t>
        </is>
      </c>
      <c r="D51" s="213" t="inlineStr">
        <is>
          <t>-</t>
        </is>
      </c>
      <c r="E51" s="217" t="n">
        <v>1.42</v>
      </c>
      <c r="F51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196" t="n"/>
    </row>
    <row r="52" ht="94.5" customHeight="1" s="194">
      <c r="A52" s="198" t="inlineStr">
        <is>
          <t>1.6</t>
        </is>
      </c>
      <c r="B52" s="208" t="inlineStr">
        <is>
          <t>Коэффициент инфляции, определяемый поквартально</t>
        </is>
      </c>
      <c r="C52" s="238" t="inlineStr">
        <is>
          <t>Кинф</t>
        </is>
      </c>
      <c r="D52" s="238" t="inlineStr">
        <is>
          <t>-</t>
        </is>
      </c>
      <c r="E52" s="209" t="n">
        <v>1.139</v>
      </c>
      <c r="F52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205" t="n"/>
    </row>
    <row r="53" ht="63" customHeight="1" s="194">
      <c r="A53" s="198" t="inlineStr">
        <is>
          <t>1.7</t>
        </is>
      </c>
      <c r="B53" s="218" t="inlineStr">
        <is>
          <t>Размер средств на оплату труда рабочих-строителей в текущем уровне цен (ФОТр.тек.), руб/чел.-ч</t>
        </is>
      </c>
      <c r="C53" s="238" t="inlineStr">
        <is>
          <t>ФОТр.тек.</t>
        </is>
      </c>
      <c r="D53" s="238" t="inlineStr">
        <is>
          <t>(С1ср/tср*КТ*Т*Кув)*Кинф</t>
        </is>
      </c>
      <c r="E53" s="219">
        <f>((E47*E49/E48)*E51)*E52</f>
        <v/>
      </c>
      <c r="F53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196" t="n"/>
    </row>
  </sheetData>
  <mergeCells count="6">
    <mergeCell ref="B30:F30"/>
    <mergeCell ref="A2:F2"/>
    <mergeCell ref="B38:F38"/>
    <mergeCell ref="B46:F46"/>
    <mergeCell ref="B22:F22"/>
    <mergeCell ref="B14:F14"/>
  </mergeCells>
  <pageMargins left="0.7" right="0.7" top="0.75" bottom="0.75" header="0.3" footer="0.3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2025-01-24T12:19:25Z</dcterms:modified>
  <cp:lastModifiedBy>REDMIBOOK</cp:lastModifiedBy>
  <cp:lastPrinted>2023-11-30T12:47:46Z</cp:lastPrinted>
</cp:coreProperties>
</file>