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891" firstSheet="0" activeTab="4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Toc132270798" localSheetId="0">'Прил.1 Сравнит табл'!$B$3</definedName>
    <definedName name="_Hlk133322969" localSheetId="1">'Прил.2 Расч стоим'!$B$4</definedName>
    <definedName name="_Toc132270799" localSheetId="2">Прил.3!$A$4</definedName>
    <definedName name="_xlnm.Print_Titles" localSheetId="2">'Прил.3'!$9:$11</definedName>
    <definedName name="_xlnm.Print_Area" localSheetId="2">'Прил.3'!$A$1:$H$136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РМ'!$B$4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ОБ'!$A$1:$J$144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5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8">
    <numFmt numFmtId="164" formatCode="_-* #,##0.00_-;\-* #,##0.00_-;_-* &quot;-&quot;??_-;_-@_-"/>
    <numFmt numFmtId="165" formatCode="#,##0.0000"/>
    <numFmt numFmtId="166" formatCode="#,##0.00000"/>
    <numFmt numFmtId="167" formatCode="0.0000"/>
    <numFmt numFmtId="168" formatCode="#,##0.0"/>
    <numFmt numFmtId="169" formatCode="#,##0.000"/>
    <numFmt numFmtId="170" formatCode="0.0"/>
    <numFmt numFmtId="171" formatCode="_-* #,##0.00\ _₽_-;\-* #,##0.00\ _₽_-;_-* &quot;-&quot;??\ _₽_-;_-@_-"/>
  </numFmts>
  <fonts count="17">
    <font>
      <name val="Calibri"/>
      <color rgb="FF000000"/>
      <sz val="11"/>
    </font>
    <font>
      <name val="Arial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9"/>
    </font>
    <font>
      <name val="Arial Cyr"/>
      <color rgb="FF0563C1"/>
      <sz val="10"/>
      <u val="single"/>
    </font>
    <font>
      <name val="Calibri"/>
      <color rgb="FF0563C1"/>
      <sz val="11"/>
      <u val="single"/>
    </font>
    <font>
      <name val="Times New Roman"/>
      <color rgb="FF000000"/>
      <sz val="14"/>
    </font>
    <font>
      <name val="Times New Roman"/>
      <color rgb="FF000000"/>
      <sz val="12"/>
    </font>
    <font>
      <name val="Arial"/>
      <color rgb="FF000000"/>
      <sz val="8"/>
    </font>
    <font>
      <name val="Arial"/>
      <b val="1"/>
      <color rgb="FFC00000"/>
      <sz val="11"/>
    </font>
    <font>
      <name val="Times New Roman"/>
      <color rgb="FFFF0000"/>
      <sz val="12"/>
    </font>
    <font>
      <name val="Times New Roman"/>
      <color rgb="FF000000"/>
      <sz val="14"/>
      <vertAlign val="superscript"/>
    </font>
    <font>
      <name val="Arial"/>
      <b val="1"/>
      <color rgb="FF000000"/>
      <sz val="11"/>
    </font>
    <font>
      <name val="Times New Roman"/>
      <b val="1"/>
      <color rgb="FF000000"/>
      <sz val="12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</fonts>
  <fills count="3">
    <fill>
      <patternFill/>
    </fill>
    <fill>
      <patternFill patternType="gray125"/>
    </fill>
    <fill>
      <patternFill patternType="solid">
        <fgColor rgb="FFFFFFFF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56">
    <xf numFmtId="0" fontId="0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2" fillId="0" borderId="2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2" fillId="0" borderId="0" pivotButton="0" quotePrefix="0" xfId="0"/>
    <xf numFmtId="0" fontId="2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justify" vertical="center"/>
    </xf>
    <xf numFmtId="164" fontId="0" fillId="0" borderId="0" pivotButton="0" quotePrefix="0" xfId="0"/>
    <xf numFmtId="4" fontId="0" fillId="0" borderId="0" pivotButton="0" quotePrefix="0" xfId="0"/>
    <xf numFmtId="0" fontId="2" fillId="0" borderId="0" applyAlignment="1" pivotButton="0" quotePrefix="0" xfId="0">
      <alignment vertical="center"/>
    </xf>
    <xf numFmtId="0" fontId="0" fillId="0" borderId="0" pivotButton="0" quotePrefix="0" xfId="0"/>
    <xf numFmtId="0" fontId="5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7" fillId="0" borderId="0" applyAlignment="1" pivotButton="0" quotePrefix="0" xfId="0">
      <alignment horizontal="right" vertical="center"/>
    </xf>
    <xf numFmtId="0" fontId="7" fillId="0" borderId="0" applyAlignment="1" pivotButton="0" quotePrefix="0" xfId="0">
      <alignment horizontal="justify" vertical="center"/>
    </xf>
    <xf numFmtId="0" fontId="8" fillId="0" borderId="1" applyAlignment="1" pivotButton="0" quotePrefix="0" xfId="0">
      <alignment horizontal="center" vertical="center" wrapText="1"/>
    </xf>
    <xf numFmtId="0" fontId="8" fillId="0" borderId="1" applyAlignment="1" pivotButton="0" quotePrefix="0" xfId="0">
      <alignment horizontal="justify" vertical="center" wrapText="1"/>
    </xf>
    <xf numFmtId="0" fontId="2" fillId="0" borderId="0" applyAlignment="1" pivotButton="0" quotePrefix="0" xfId="0">
      <alignment horizontal="right"/>
    </xf>
    <xf numFmtId="10" fontId="8" fillId="0" borderId="1" applyAlignment="1" pivotButton="0" quotePrefix="0" xfId="0">
      <alignment horizontal="center" vertical="center" wrapText="1"/>
    </xf>
    <xf numFmtId="0" fontId="8" fillId="0" borderId="1" applyAlignment="1" pivotButton="0" quotePrefix="0" xfId="0">
      <alignment horizontal="center" vertical="center" wrapText="1"/>
    </xf>
    <xf numFmtId="10" fontId="8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2" fillId="0" borderId="1" applyAlignment="1" pivotButton="0" quotePrefix="0" xfId="0">
      <alignment vertical="center" wrapText="1"/>
    </xf>
    <xf numFmtId="4" fontId="2" fillId="0" borderId="1" applyAlignment="1" pivotButton="0" quotePrefix="0" xfId="0">
      <alignment horizontal="right" vertical="center"/>
    </xf>
    <xf numFmtId="10" fontId="2" fillId="0" borderId="1" applyAlignment="1" pivotButton="0" quotePrefix="0" xfId="0">
      <alignment vertical="center"/>
    </xf>
    <xf numFmtId="0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vertical="center" wrapText="1"/>
    </xf>
    <xf numFmtId="10" fontId="2" fillId="0" borderId="1" applyAlignment="1" pivotButton="0" quotePrefix="0" xfId="0">
      <alignment horizontal="right" vertical="center"/>
    </xf>
    <xf numFmtId="0" fontId="1" fillId="0" borderId="0" pivotButton="0" quotePrefix="0" xfId="0"/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10" fontId="2" fillId="0" borderId="0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10" fontId="2" fillId="0" borderId="1" applyAlignment="1" pivotButton="0" quotePrefix="0" xfId="0">
      <alignment horizontal="right" vertical="center" wrapText="1"/>
    </xf>
    <xf numFmtId="164" fontId="1" fillId="0" borderId="0" pivotButton="0" quotePrefix="0" xfId="0"/>
    <xf numFmtId="0" fontId="2" fillId="0" borderId="1" applyAlignment="1" pivotButton="0" quotePrefix="0" xfId="0">
      <alignment horizontal="left" vertical="center" wrapText="1"/>
    </xf>
    <xf numFmtId="165" fontId="2" fillId="0" borderId="1" applyAlignment="1" pivotButton="0" quotePrefix="0" xfId="0">
      <alignment horizontal="center" vertical="center" wrapText="1"/>
    </xf>
    <xf numFmtId="10" fontId="2" fillId="0" borderId="1" applyAlignment="1" pivotButton="0" quotePrefix="0" xfId="0">
      <alignment horizontal="right" vertical="center" wrapText="1"/>
    </xf>
    <xf numFmtId="49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right" vertical="center" wrapText="1"/>
    </xf>
    <xf numFmtId="166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3" fillId="0" borderId="3" applyAlignment="1" pivotButton="0" quotePrefix="0" xfId="0">
      <alignment horizontal="left" vertical="center" wrapText="1"/>
    </xf>
    <xf numFmtId="2" fontId="2" fillId="0" borderId="3" applyAlignment="1" pivotButton="0" quotePrefix="0" xfId="0">
      <alignment horizontal="center" vertical="center" wrapText="1"/>
    </xf>
    <xf numFmtId="4" fontId="2" fillId="0" borderId="3" applyAlignment="1" pivotButton="0" quotePrefix="0" xfId="0">
      <alignment horizontal="right" vertical="center" wrapText="1"/>
    </xf>
    <xf numFmtId="10" fontId="2" fillId="0" borderId="3" applyAlignment="1" pivotButton="0" quotePrefix="0" xfId="0">
      <alignment horizontal="right" vertical="center" wrapText="1"/>
    </xf>
    <xf numFmtId="0" fontId="1" fillId="0" borderId="0" pivotButton="0" quotePrefix="0" xfId="0"/>
    <xf numFmtId="2" fontId="2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center" vertical="center" wrapText="1"/>
    </xf>
    <xf numFmtId="10" fontId="1" fillId="0" borderId="0" pivotButton="0" quotePrefix="0" xfId="0"/>
    <xf numFmtId="4" fontId="1" fillId="0" borderId="0" pivotButton="0" quotePrefix="0" xfId="0"/>
    <xf numFmtId="4" fontId="2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right" vertical="center" wrapText="1"/>
    </xf>
    <xf numFmtId="10" fontId="2" fillId="0" borderId="0" applyAlignment="1" applyProtection="1" pivotButton="0" quotePrefix="0" xfId="0">
      <alignment horizontal="center" vertical="center" wrapText="1"/>
      <protection locked="0" hidden="0"/>
    </xf>
    <xf numFmtId="0" fontId="2" fillId="0" borderId="1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right"/>
    </xf>
    <xf numFmtId="10" fontId="2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0" fillId="0" borderId="0" pivotButton="0" quotePrefix="0" xfId="0"/>
    <xf numFmtId="0" fontId="2" fillId="0" borderId="0" pivotButton="0" quotePrefix="0" xfId="0"/>
    <xf numFmtId="0" fontId="1" fillId="0" borderId="0" pivotButton="0" quotePrefix="0" xfId="0"/>
    <xf numFmtId="0" fontId="9" fillId="0" borderId="0" applyAlignment="1" pivotButton="0" quotePrefix="0" xfId="0">
      <alignment vertical="center"/>
    </xf>
    <xf numFmtId="0" fontId="2" fillId="0" borderId="1" applyAlignment="1" pivotButton="0" quotePrefix="0" xfId="0">
      <alignment horizontal="center" vertical="center" wrapText="1"/>
    </xf>
    <xf numFmtId="10" fontId="2" fillId="0" borderId="1" applyAlignment="1" pivotButton="0" quotePrefix="0" xfId="0">
      <alignment horizontal="right" vertical="center" wrapText="1"/>
    </xf>
    <xf numFmtId="0" fontId="0" fillId="0" borderId="0" pivotButton="0" quotePrefix="0" xfId="0"/>
    <xf numFmtId="2" fontId="2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10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167" fontId="1" fillId="0" borderId="0" pivotButton="0" quotePrefix="0" xfId="0"/>
    <xf numFmtId="0" fontId="10" fillId="0" borderId="0" applyAlignment="1" pivotButton="0" quotePrefix="0" xfId="0">
      <alignment horizontal="left"/>
    </xf>
    <xf numFmtId="49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4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165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right" vertical="center" wrapText="1"/>
    </xf>
    <xf numFmtId="0" fontId="0" fillId="0" borderId="1" pivotButton="0" quotePrefix="0" xfId="0"/>
    <xf numFmtId="2" fontId="2" fillId="0" borderId="1" applyAlignment="1" pivotButton="0" quotePrefix="0" xfId="0">
      <alignment horizontal="center" vertical="center" wrapText="1"/>
    </xf>
    <xf numFmtId="1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justify" vertical="center"/>
    </xf>
    <xf numFmtId="0" fontId="8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center" vertical="center"/>
    </xf>
    <xf numFmtId="0" fontId="11" fillId="0" borderId="0" pivotButton="0" quotePrefix="0" xfId="0"/>
    <xf numFmtId="0" fontId="8" fillId="0" borderId="1" applyAlignment="1" pivotButton="0" quotePrefix="0" xfId="0">
      <alignment vertical="center" wrapText="1"/>
    </xf>
    <xf numFmtId="0" fontId="8" fillId="0" borderId="1" applyAlignment="1" pivotButton="0" quotePrefix="0" xfId="0">
      <alignment horizontal="justify" vertical="center" wrapText="1"/>
    </xf>
    <xf numFmtId="0" fontId="11" fillId="0" borderId="0" applyAlignment="1" pivotButton="0" quotePrefix="0" xfId="0">
      <alignment wrapText="1"/>
    </xf>
    <xf numFmtId="49" fontId="8" fillId="0" borderId="1" applyAlignment="1" pivotButton="0" quotePrefix="0" xfId="0">
      <alignment horizontal="center" vertical="center" wrapText="1"/>
    </xf>
    <xf numFmtId="0" fontId="8" fillId="0" borderId="5" applyAlignment="1" pivotButton="0" quotePrefix="0" xfId="0">
      <alignment vertical="center" wrapText="1"/>
    </xf>
    <xf numFmtId="0" fontId="8" fillId="0" borderId="5" applyAlignment="1" pivotButton="0" quotePrefix="0" xfId="0">
      <alignment horizontal="justify" vertical="center" wrapText="1"/>
    </xf>
    <xf numFmtId="0" fontId="8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 wrapText="1"/>
    </xf>
    <xf numFmtId="0" fontId="12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167" fontId="13" fillId="0" borderId="0" pivotButton="0" quotePrefix="0" xfId="0"/>
    <xf numFmtId="4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left" vertical="center" wrapText="1"/>
    </xf>
    <xf numFmtId="10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10" fontId="2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10" fontId="2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0" fontId="8" fillId="0" borderId="0" applyAlignment="1" pivotButton="0" quotePrefix="0" xfId="0">
      <alignment horizontal="justify" vertical="center"/>
    </xf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right" vertical="top" wrapText="1"/>
    </xf>
    <xf numFmtId="0" fontId="2" fillId="0" borderId="1" applyAlignment="1" pivotButton="0" quotePrefix="0" xfId="0">
      <alignment horizontal="right" vertical="top"/>
    </xf>
    <xf numFmtId="0" fontId="8" fillId="0" borderId="0" pivotButton="0" quotePrefix="0" xfId="0"/>
    <xf numFmtId="0" fontId="0" fillId="0" borderId="0" pivotButton="0" quotePrefix="0" xfId="0"/>
    <xf numFmtId="0" fontId="14" fillId="0" borderId="0" pivotButton="0" quotePrefix="0" xfId="0"/>
    <xf numFmtId="4" fontId="8" fillId="0" borderId="0" applyAlignment="1" pivotButton="0" quotePrefix="0" xfId="0">
      <alignment horizontal="left" vertical="center" wrapText="1"/>
    </xf>
    <xf numFmtId="0" fontId="8" fillId="0" borderId="0" pivotButton="0" quotePrefix="0" xfId="0"/>
    <xf numFmtId="0" fontId="8" fillId="0" borderId="1" applyAlignment="1" pivotButton="0" quotePrefix="0" xfId="0">
      <alignment horizontal="center" vertical="center" wrapText="1"/>
    </xf>
    <xf numFmtId="4" fontId="8" fillId="0" borderId="1" applyAlignment="1" pivotButton="0" quotePrefix="0" xfId="0">
      <alignment vertical="center" wrapText="1"/>
    </xf>
    <xf numFmtId="4" fontId="8" fillId="0" borderId="1" applyAlignment="1" pivotButton="0" quotePrefix="0" xfId="0">
      <alignment horizontal="center" vertical="center"/>
    </xf>
    <xf numFmtId="0" fontId="2" fillId="0" borderId="0" pivotButton="0" quotePrefix="0" xfId="0"/>
    <xf numFmtId="0" fontId="1" fillId="0" borderId="0" pivotButton="0" quotePrefix="0" xfId="0"/>
    <xf numFmtId="0" fontId="4" fillId="0" borderId="0" pivotButton="0" quotePrefix="0" xfId="0"/>
    <xf numFmtId="0" fontId="9" fillId="0" borderId="0" applyAlignment="1" pivotButton="0" quotePrefix="0" xfId="0">
      <alignment vertical="center"/>
    </xf>
    <xf numFmtId="49" fontId="8" fillId="0" borderId="1" applyAlignment="1" pivotButton="0" quotePrefix="0" xfId="0">
      <alignment horizontal="center" vertical="center"/>
    </xf>
    <xf numFmtId="0" fontId="8" fillId="0" borderId="1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center" vertical="center" wrapText="1"/>
    </xf>
    <xf numFmtId="4" fontId="8" fillId="0" borderId="1" applyAlignment="1" pivotButton="0" quotePrefix="0" xfId="0">
      <alignment horizontal="center" vertical="center"/>
    </xf>
    <xf numFmtId="168" fontId="8" fillId="0" borderId="1" applyAlignment="1" pivotButton="0" quotePrefix="0" xfId="0">
      <alignment horizontal="center" vertical="center"/>
    </xf>
    <xf numFmtId="169" fontId="8" fillId="0" borderId="1" applyAlignment="1" pivotButton="0" quotePrefix="0" xfId="0">
      <alignment horizontal="center" vertical="center"/>
    </xf>
    <xf numFmtId="0" fontId="8" fillId="0" borderId="1" applyAlignment="1" pivotButton="0" quotePrefix="0" xfId="0">
      <alignment vertical="center" wrapText="1"/>
    </xf>
    <xf numFmtId="167" fontId="8" fillId="2" borderId="1" applyAlignment="1" pivotButton="0" quotePrefix="0" xfId="0">
      <alignment horizontal="center" vertical="center"/>
    </xf>
    <xf numFmtId="0" fontId="8" fillId="0" borderId="1" applyAlignment="1" pivotButton="0" quotePrefix="0" xfId="0">
      <alignment wrapText="1"/>
    </xf>
    <xf numFmtId="0" fontId="14" fillId="0" borderId="1" applyAlignment="1" pivotButton="0" quotePrefix="0" xfId="0">
      <alignment vertical="center" wrapText="1"/>
    </xf>
    <xf numFmtId="4" fontId="14" fillId="0" borderId="1" applyAlignment="1" pivotButton="0" quotePrefix="0" xfId="0">
      <alignment horizontal="center" vertical="center"/>
    </xf>
    <xf numFmtId="0" fontId="8" fillId="0" borderId="0" pivotButton="0" quotePrefix="0" xfId="0"/>
    <xf numFmtId="49" fontId="8" fillId="0" borderId="0" applyAlignment="1" pivotButton="0" quotePrefix="0" xfId="0">
      <alignment horizontal="left" vertical="center"/>
    </xf>
    <xf numFmtId="0" fontId="8" fillId="0" borderId="1" applyAlignment="1" pivotButton="0" quotePrefix="0" xfId="0">
      <alignment horizontal="center" vertical="center"/>
    </xf>
    <xf numFmtId="0" fontId="8" fillId="0" borderId="1" applyAlignment="1" pivotButton="0" quotePrefix="0" xfId="0">
      <alignment horizontal="center" vertical="center" wrapText="1"/>
    </xf>
    <xf numFmtId="0" fontId="8" fillId="0" borderId="0" pivotButton="0" quotePrefix="0" xfId="0"/>
    <xf numFmtId="0" fontId="0" fillId="0" borderId="0" pivotButton="0" quotePrefix="0" xfId="0"/>
    <xf numFmtId="0" fontId="8" fillId="0" borderId="0" applyAlignment="1" pivotButton="0" quotePrefix="0" xfId="0">
      <alignment horizontal="justify" vertical="center"/>
    </xf>
    <xf numFmtId="0" fontId="8" fillId="0" borderId="0" applyAlignment="1" pivotButton="0" quotePrefix="0" xfId="0">
      <alignment horizontal="left" vertical="center"/>
    </xf>
    <xf numFmtId="0" fontId="8" fillId="0" borderId="1" applyAlignment="1" pivotButton="0" quotePrefix="0" xfId="0">
      <alignment horizontal="center" vertical="center" wrapText="1"/>
    </xf>
    <xf numFmtId="0" fontId="8" fillId="0" borderId="3" applyAlignment="1" pivotButton="0" quotePrefix="0" xfId="0">
      <alignment horizontal="center" vertical="center" wrapText="1"/>
    </xf>
    <xf numFmtId="170" fontId="11" fillId="0" borderId="0" pivotButton="0" quotePrefix="0" xfId="0"/>
    <xf numFmtId="4" fontId="14" fillId="0" borderId="1" applyAlignment="1" pivotButton="0" quotePrefix="0" xfId="0">
      <alignment vertical="top"/>
    </xf>
    <xf numFmtId="0" fontId="14" fillId="0" borderId="0" pivotButton="0" quotePrefix="0" xfId="0"/>
    <xf numFmtId="0" fontId="8" fillId="0" borderId="1" applyAlignment="1" pivotButton="0" quotePrefix="0" xfId="0">
      <alignment vertical="top"/>
    </xf>
    <xf numFmtId="14" fontId="8" fillId="0" borderId="1" applyAlignment="1" pivotButton="0" quotePrefix="0" xfId="0">
      <alignment horizontal="center" vertical="center"/>
    </xf>
    <xf numFmtId="49" fontId="8" fillId="0" borderId="1" applyAlignment="1" pivotButton="0" quotePrefix="0" xfId="0">
      <alignment horizontal="center" vertical="top" wrapText="1"/>
    </xf>
    <xf numFmtId="0" fontId="8" fillId="0" borderId="1" applyAlignment="1" pivotButton="0" quotePrefix="0" xfId="0">
      <alignment vertical="top" wrapText="1"/>
    </xf>
    <xf numFmtId="4" fontId="8" fillId="0" borderId="1" applyAlignment="1" pivotButton="0" quotePrefix="0" xfId="0">
      <alignment vertical="top"/>
    </xf>
    <xf numFmtId="49" fontId="0" fillId="0" borderId="0" pivotButton="0" quotePrefix="0" xfId="0"/>
    <xf numFmtId="0" fontId="14" fillId="0" borderId="1" applyAlignment="1" pivotButton="0" quotePrefix="0" xfId="0">
      <alignment vertical="top"/>
    </xf>
    <xf numFmtId="0" fontId="8" fillId="0" borderId="1" applyAlignment="1" pivotButton="0" quotePrefix="0" xfId="0">
      <alignment horizontal="center" vertical="center"/>
    </xf>
    <xf numFmtId="0" fontId="8" fillId="0" borderId="1" applyAlignment="1" pivotButton="0" quotePrefix="0" xfId="0">
      <alignment horizontal="center" vertical="top" wrapText="1"/>
    </xf>
    <xf numFmtId="4" fontId="8" fillId="0" borderId="0" applyAlignment="1" pivotButton="0" quotePrefix="0" xfId="0">
      <alignment horizontal="left"/>
    </xf>
    <xf numFmtId="0" fontId="8" fillId="0" borderId="1" applyAlignment="1" pivotButton="0" quotePrefix="0" xfId="0">
      <alignment horizontal="center" vertical="top"/>
    </xf>
    <xf numFmtId="0" fontId="8" fillId="0" borderId="0" applyAlignment="1" pivotButton="0" quotePrefix="0" xfId="0">
      <alignment vertical="center"/>
    </xf>
    <xf numFmtId="164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justify" vertical="center"/>
    </xf>
    <xf numFmtId="0" fontId="8" fillId="0" borderId="1" applyAlignment="1" pivotButton="0" quotePrefix="0" xfId="0">
      <alignment horizontal="center" vertical="center" wrapText="1"/>
    </xf>
    <xf numFmtId="0" fontId="8" fillId="0" borderId="1" applyAlignment="1" pivotButton="0" quotePrefix="0" xfId="0">
      <alignment horizontal="center" vertical="center" wrapText="1"/>
    </xf>
    <xf numFmtId="10" fontId="8" fillId="0" borderId="1" applyAlignment="1" pivotButton="0" quotePrefix="0" xfId="0">
      <alignment horizontal="center" vertical="center" wrapText="1"/>
    </xf>
    <xf numFmtId="4" fontId="8" fillId="0" borderId="1" applyAlignment="1" pivotButton="0" quotePrefix="0" xfId="0">
      <alignment horizontal="center" vertical="center" wrapText="1"/>
    </xf>
    <xf numFmtId="14" fontId="8" fillId="0" borderId="1" applyAlignment="1" pivotButton="0" quotePrefix="0" xfId="0">
      <alignment horizontal="center" vertical="center" wrapText="1"/>
    </xf>
    <xf numFmtId="0" fontId="8" fillId="0" borderId="1" applyAlignment="1" pivotButton="0" quotePrefix="0" xfId="0">
      <alignment horizontal="center" vertical="center" wrapText="1"/>
    </xf>
    <xf numFmtId="49" fontId="8" fillId="0" borderId="1" applyAlignment="1" pivotButton="0" quotePrefix="0" xfId="0">
      <alignment horizontal="center" vertical="center" wrapText="1"/>
    </xf>
    <xf numFmtId="0" fontId="8" fillId="0" borderId="1" applyAlignment="1" pivotButton="0" quotePrefix="0" xfId="0">
      <alignment vertical="center" wrapText="1"/>
    </xf>
    <xf numFmtId="164" fontId="8" fillId="0" borderId="1" applyAlignment="1" pivotButton="0" quotePrefix="0" xfId="0">
      <alignment vertical="center" wrapText="1"/>
    </xf>
    <xf numFmtId="171" fontId="8" fillId="0" borderId="0" pivotButton="0" quotePrefix="0" xfId="0"/>
    <xf numFmtId="164" fontId="14" fillId="0" borderId="2" applyAlignment="1" pivotButton="0" quotePrefix="0" xfId="0">
      <alignment vertical="center" wrapText="1"/>
    </xf>
    <xf numFmtId="164" fontId="14" fillId="0" borderId="1" applyAlignment="1" pivotButton="0" quotePrefix="0" xfId="0">
      <alignment vertical="center" wrapText="1"/>
    </xf>
    <xf numFmtId="0" fontId="8" fillId="0" borderId="0" applyAlignment="1" pivotButton="0" quotePrefix="0" xfId="0">
      <alignment horizontal="right" vertical="center"/>
    </xf>
    <xf numFmtId="0" fontId="14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justify" vertical="center"/>
    </xf>
    <xf numFmtId="0" fontId="8" fillId="0" borderId="0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center" vertical="center" wrapText="1"/>
    </xf>
    <xf numFmtId="0" fontId="14" fillId="0" borderId="1" applyAlignment="1" pivotButton="0" quotePrefix="0" xfId="0">
      <alignment horizontal="right" vertical="center" wrapText="1"/>
    </xf>
    <xf numFmtId="0" fontId="14" fillId="0" borderId="1" applyAlignment="1" pivotButton="0" quotePrefix="0" xfId="0">
      <alignment vertical="top"/>
    </xf>
    <xf numFmtId="0" fontId="8" fillId="0" borderId="1" applyAlignment="1" pivotButton="0" quotePrefix="0" xfId="0">
      <alignment vertical="top"/>
    </xf>
    <xf numFmtId="0" fontId="8" fillId="0" borderId="1" applyAlignment="1" pivotButton="0" quotePrefix="0" xfId="0">
      <alignment vertical="top" wrapText="1"/>
    </xf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5" applyAlignment="1" pivotButton="0" quotePrefix="0" xfId="0">
      <alignment horizontal="right" vertical="center" wrapText="1"/>
    </xf>
    <xf numFmtId="0" fontId="3" fillId="0" borderId="3" applyAlignment="1" pivotButton="0" quotePrefix="0" xfId="0">
      <alignment horizontal="left" vertical="center" wrapText="1"/>
    </xf>
    <xf numFmtId="0" fontId="3" fillId="0" borderId="7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left" vertical="center" wrapText="1"/>
    </xf>
    <xf numFmtId="0" fontId="3" fillId="0" borderId="8" applyAlignment="1" pivotButton="0" quotePrefix="0" xfId="0">
      <alignment horizontal="left" vertical="center" wrapText="1"/>
    </xf>
    <xf numFmtId="0" fontId="2" fillId="0" borderId="5" applyAlignment="1" pivotButton="0" quotePrefix="0" xfId="0">
      <alignment horizontal="center" vertical="center" wrapText="1"/>
    </xf>
    <xf numFmtId="0" fontId="2" fillId="0" borderId="6" applyAlignment="1" pivotButton="0" quotePrefix="0" xfId="0">
      <alignment horizontal="center" vertical="center" wrapText="1"/>
    </xf>
    <xf numFmtId="4" fontId="2" fillId="0" borderId="0" applyAlignment="1" pivotButton="0" quotePrefix="0" xfId="0">
      <alignment horizontal="left" vertical="center" wrapText="1"/>
    </xf>
    <xf numFmtId="0" fontId="3" fillId="0" borderId="1" applyAlignment="1" pivotButton="0" quotePrefix="0" xfId="0">
      <alignment horizontal="left" vertical="center" wrapText="1"/>
    </xf>
    <xf numFmtId="10" fontId="2" fillId="0" borderId="1" applyAlignment="1" pivotButton="0" quotePrefix="0" xfId="0">
      <alignment horizontal="right" vertical="center" wrapText="1"/>
    </xf>
    <xf numFmtId="0" fontId="2" fillId="0" borderId="3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5" applyAlignment="1" pivotButton="0" quotePrefix="0" xfId="0">
      <alignment horizontal="left" vertical="center" wrapText="1"/>
    </xf>
    <xf numFmtId="0" fontId="2" fillId="0" borderId="9" applyAlignment="1" pivotButton="0" quotePrefix="0" xfId="0">
      <alignment horizontal="left" vertical="center" wrapText="1"/>
    </xf>
    <xf numFmtId="0" fontId="2" fillId="0" borderId="6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0" fontId="2" fillId="0" borderId="1" applyAlignment="1" pivotButton="0" quotePrefix="0" xfId="0">
      <alignment horizontal="center" vertical="top" wrapText="1"/>
    </xf>
    <xf numFmtId="0" fontId="8" fillId="0" borderId="0" applyAlignment="1" pivotButton="0" quotePrefix="0" xfId="0">
      <alignment horizontal="center" vertical="center" wrapText="1"/>
    </xf>
    <xf numFmtId="4" fontId="8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0" fillId="0" borderId="9" pivotButton="0" quotePrefix="0" xfId="0"/>
    <xf numFmtId="0" fontId="0" fillId="0" borderId="6" pivotButton="0" quotePrefix="0" xfId="0"/>
    <xf numFmtId="0" fontId="0" fillId="0" borderId="12" pivotButton="0" quotePrefix="0" xfId="0"/>
    <xf numFmtId="0" fontId="0" fillId="0" borderId="2" pivotButton="0" quotePrefix="0" xfId="0"/>
    <xf numFmtId="171" fontId="8" fillId="0" borderId="0" pivotButton="0" quotePrefix="0" xfId="0"/>
    <xf numFmtId="0" fontId="0" fillId="0" borderId="10" pivotButton="0" quotePrefix="0" xfId="0"/>
    <xf numFmtId="0" fontId="0" fillId="0" borderId="11" pivotButton="0" quotePrefix="0" xfId="0"/>
    <xf numFmtId="0" fontId="3" fillId="0" borderId="12" applyAlignment="1" pivotButton="0" quotePrefix="0" xfId="0">
      <alignment horizontal="left" vertical="center" wrapText="1"/>
    </xf>
    <xf numFmtId="0" fontId="0" fillId="0" borderId="8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1:I35"/>
  <sheetViews>
    <sheetView view="pageBreakPreview" topLeftCell="A24" zoomScale="115" zoomScaleNormal="85" workbookViewId="0">
      <selection activeCell="D29" sqref="D29"/>
    </sheetView>
  </sheetViews>
  <sheetFormatPr baseColWidth="8" defaultRowHeight="15.75"/>
  <cols>
    <col width="9.140625" customWidth="1" style="175" min="1" max="2"/>
    <col width="36.85546875" customWidth="1" style="175" min="3" max="3"/>
    <col width="54.7109375" customWidth="1" style="175" min="4" max="4"/>
    <col width="14.28515625" customWidth="1" style="176" min="5" max="5"/>
    <col width="12.140625" customWidth="1" style="176" min="6" max="6"/>
    <col width="12.28515625" customWidth="1" style="176" min="7" max="7"/>
    <col width="15" customWidth="1" style="176" min="8" max="8"/>
    <col width="9.140625" customWidth="1" style="176" min="9" max="9"/>
  </cols>
  <sheetData>
    <row r="1">
      <c r="E1" s="175" t="n"/>
      <c r="F1" s="175" t="n"/>
      <c r="G1" s="175" t="n"/>
      <c r="H1" s="175" t="n"/>
      <c r="I1" s="175" t="n"/>
    </row>
    <row r="2">
      <c r="E2" s="175" t="n"/>
      <c r="F2" s="175" t="n"/>
      <c r="G2" s="175" t="n"/>
      <c r="H2" s="175" t="n"/>
      <c r="I2" s="175" t="n"/>
    </row>
    <row r="3">
      <c r="B3" s="210" t="inlineStr">
        <is>
          <t>Приложение № 1</t>
        </is>
      </c>
      <c r="E3" s="175" t="n"/>
      <c r="F3" s="175" t="n"/>
      <c r="G3" s="175" t="n"/>
      <c r="H3" s="175" t="n"/>
      <c r="I3" s="175" t="n"/>
    </row>
    <row r="4">
      <c r="B4" s="211" t="inlineStr">
        <is>
          <t>Сравнительная таблица отбора объекта-представителя</t>
        </is>
      </c>
      <c r="E4" s="175" t="n"/>
      <c r="F4" s="175" t="n"/>
      <c r="G4" s="175" t="n"/>
      <c r="H4" s="175" t="n"/>
      <c r="I4" s="175" t="n"/>
    </row>
    <row r="5">
      <c r="B5" s="112" t="n"/>
      <c r="C5" s="112" t="n"/>
      <c r="D5" s="112" t="n"/>
      <c r="E5" s="175" t="n"/>
      <c r="F5" s="175" t="n"/>
      <c r="G5" s="175" t="n"/>
      <c r="H5" s="175" t="n"/>
      <c r="I5" s="175" t="n"/>
    </row>
    <row r="6">
      <c r="B6" s="112" t="n"/>
      <c r="C6" s="112" t="n"/>
      <c r="D6" s="112" t="n"/>
      <c r="E6" s="175" t="n"/>
      <c r="F6" s="175" t="n"/>
      <c r="G6" s="175" t="n"/>
      <c r="H6" s="175" t="n"/>
      <c r="I6" s="175" t="n"/>
    </row>
    <row r="7" ht="54.75" customHeight="1" s="176">
      <c r="B7" s="212">
        <f>_xlfn.CONCAT(TEXT('Прил.5 Расчет СМР и ОБ'!A6,0)," - ",TEXT('Прил.5 Расчет СМР и ОБ'!D6,0))</f>
        <v/>
      </c>
      <c r="E7" s="113" t="n"/>
      <c r="F7" s="175" t="n"/>
      <c r="G7" s="175" t="n"/>
      <c r="H7" s="175" t="n"/>
      <c r="I7" s="175" t="n"/>
    </row>
    <row r="8" ht="15.75" customHeight="1" s="176">
      <c r="B8" s="195" t="inlineStr">
        <is>
          <t xml:space="preserve">Сопоставимый уровень цен: </t>
        </is>
      </c>
      <c r="C8" s="195" t="n"/>
      <c r="D8" s="195" t="n"/>
      <c r="E8" s="175" t="n"/>
      <c r="F8" s="175" t="n"/>
      <c r="G8" s="175" t="n"/>
      <c r="H8" s="175" t="n"/>
      <c r="I8" s="175" t="n"/>
    </row>
    <row r="9" ht="15.75" customHeight="1" s="176">
      <c r="B9" s="195" t="inlineStr">
        <is>
          <t>Единица измерения  — 1 ед.</t>
        </is>
      </c>
      <c r="C9" s="212" t="n"/>
      <c r="D9" s="212" t="n"/>
      <c r="E9" s="113" t="n"/>
      <c r="F9" s="175" t="n"/>
      <c r="G9" s="175" t="n"/>
      <c r="H9" s="175" t="n"/>
      <c r="I9" s="175" t="n"/>
    </row>
    <row r="10">
      <c r="B10" s="212" t="n"/>
      <c r="E10" s="175" t="n"/>
      <c r="F10" s="175" t="n"/>
      <c r="G10" s="175" t="n"/>
      <c r="H10" s="175" t="n"/>
      <c r="I10" s="175" t="n"/>
    </row>
    <row r="11">
      <c r="B11" s="214" t="inlineStr">
        <is>
          <t>№ п/п</t>
        </is>
      </c>
      <c r="C11" s="214" t="inlineStr">
        <is>
          <t>Параметр</t>
        </is>
      </c>
      <c r="D11" s="214" t="inlineStr">
        <is>
          <t>Объект-представитель 1</t>
        </is>
      </c>
      <c r="E11" s="113" t="n"/>
      <c r="F11" s="175" t="n"/>
      <c r="G11" s="175" t="n"/>
      <c r="H11" s="175" t="n"/>
      <c r="I11" s="175" t="n"/>
    </row>
    <row r="12" ht="63" customHeight="1" s="176">
      <c r="B12" s="214" t="n">
        <v>1</v>
      </c>
      <c r="C12" s="205" t="inlineStr">
        <is>
          <t>Наименование объекта-представителя</t>
        </is>
      </c>
      <c r="D12" s="214" t="inlineStr">
        <is>
          <t>Блочная комплектная двухтрансформаторная подстанция из панелей типа "Сэндвич" с силовыми трансформаторами мощностью от 100 до 1000кВА. 2КТПНУ-1000/10(6)/0,4кВ. Типовой проект</t>
        </is>
      </c>
      <c r="E12" s="175" t="n"/>
      <c r="F12" s="175" t="n"/>
      <c r="G12" s="175" t="n"/>
      <c r="H12" s="175" t="n"/>
      <c r="I12" s="175" t="n"/>
    </row>
    <row r="13" ht="31.5" customHeight="1" s="176">
      <c r="B13" s="214" t="n">
        <v>2</v>
      </c>
      <c r="C13" s="205" t="inlineStr">
        <is>
          <t>Наименование субъекта Российской Федерации</t>
        </is>
      </c>
      <c r="D13" s="214" t="inlineStr">
        <is>
          <t>Московская область</t>
        </is>
      </c>
      <c r="E13" s="175" t="n"/>
      <c r="F13" s="175" t="n"/>
      <c r="G13" s="175" t="n"/>
      <c r="H13" s="175" t="n"/>
      <c r="I13" s="175" t="n"/>
    </row>
    <row r="14">
      <c r="B14" s="214" t="n">
        <v>3</v>
      </c>
      <c r="C14" s="205" t="inlineStr">
        <is>
          <t>Климатический район и подрайон</t>
        </is>
      </c>
      <c r="D14" s="214" t="inlineStr">
        <is>
          <t>IIВ</t>
        </is>
      </c>
      <c r="E14" s="175" t="n"/>
      <c r="F14" s="175" t="n"/>
      <c r="G14" s="175" t="n"/>
      <c r="H14" s="175" t="n"/>
      <c r="I14" s="175" t="n"/>
    </row>
    <row r="15">
      <c r="B15" s="214" t="n">
        <v>4</v>
      </c>
      <c r="C15" s="205" t="inlineStr">
        <is>
          <t>Мощность объекта</t>
        </is>
      </c>
      <c r="D15" s="214" t="n">
        <v>1</v>
      </c>
      <c r="E15" s="175" t="n"/>
      <c r="F15" s="175" t="n"/>
      <c r="G15" s="175" t="n"/>
      <c r="H15" s="175" t="n"/>
      <c r="I15" s="175" t="n"/>
    </row>
    <row r="16" ht="100.5" customHeight="1" s="176">
      <c r="B16" s="214" t="n">
        <v>5</v>
      </c>
      <c r="C16" s="115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14" t="inlineStr">
        <is>
          <t>КТП  блочного типа (бетонные, сэндвич-панели) 6-20 кВ</t>
        </is>
      </c>
      <c r="E16" s="175" t="n"/>
      <c r="F16" s="175" t="n"/>
      <c r="G16" s="175" t="n"/>
      <c r="H16" s="175" t="n"/>
      <c r="I16" s="175" t="n"/>
    </row>
    <row r="17" ht="82.5" customHeight="1" s="176">
      <c r="B17" s="214" t="n">
        <v>6</v>
      </c>
      <c r="C17" s="115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01">
        <f>SUM(D18:D21)</f>
        <v/>
      </c>
      <c r="E17" s="116" t="n"/>
      <c r="F17" s="175" t="n"/>
      <c r="G17" s="175" t="n"/>
      <c r="H17" s="175" t="n"/>
      <c r="I17" s="175" t="n"/>
    </row>
    <row r="18">
      <c r="B18" s="204" t="inlineStr">
        <is>
          <t>6.1</t>
        </is>
      </c>
      <c r="C18" s="205" t="inlineStr">
        <is>
          <t>строительно-монтажные работы</t>
        </is>
      </c>
      <c r="D18" s="201">
        <f>32.94418+38.62804</f>
        <v/>
      </c>
      <c r="E18" s="175" t="n"/>
      <c r="F18" s="175" t="n"/>
      <c r="G18" s="175" t="n"/>
      <c r="H18" s="175" t="n"/>
      <c r="I18" s="175" t="n"/>
    </row>
    <row r="19">
      <c r="B19" s="204" t="inlineStr">
        <is>
          <t>6.2</t>
        </is>
      </c>
      <c r="C19" s="205" t="inlineStr">
        <is>
          <t>оборудование и инвентарь</t>
        </is>
      </c>
      <c r="D19" s="201" t="n">
        <v>1058.25231</v>
      </c>
      <c r="E19" s="175" t="n"/>
      <c r="F19" s="175" t="n"/>
      <c r="G19" s="175" t="n"/>
      <c r="H19" s="175" t="n"/>
      <c r="I19" s="175" t="n"/>
    </row>
    <row r="20">
      <c r="B20" s="204" t="inlineStr">
        <is>
          <t>6.3</t>
        </is>
      </c>
      <c r="C20" s="205" t="inlineStr">
        <is>
          <t>пусконаладочные работы</t>
        </is>
      </c>
      <c r="D20" s="201" t="n"/>
      <c r="E20" s="175" t="n"/>
      <c r="F20" s="175" t="n"/>
      <c r="G20" s="175" t="n"/>
      <c r="H20" s="175" t="n"/>
      <c r="I20" s="175" t="n"/>
    </row>
    <row r="21">
      <c r="B21" s="204" t="inlineStr">
        <is>
          <t>6.4</t>
        </is>
      </c>
      <c r="C21" s="118" t="inlineStr">
        <is>
          <t>прочие и лимитированные затраты</t>
        </is>
      </c>
      <c r="D21" s="201">
        <f>D18*2.5%+(D18+D18*2.5%)*1.9%*0.9</f>
        <v/>
      </c>
      <c r="E21" s="175" t="n"/>
      <c r="F21" s="175" t="n"/>
      <c r="G21" s="175" t="n"/>
      <c r="H21" s="175" t="n"/>
      <c r="I21" s="175" t="n"/>
    </row>
    <row r="22">
      <c r="B22" s="214" t="n">
        <v>7</v>
      </c>
      <c r="C22" s="118" t="inlineStr">
        <is>
          <t>Сопоставимый уровень цен</t>
        </is>
      </c>
      <c r="D22" s="202" t="inlineStr">
        <is>
          <t>3 кв. 2017</t>
        </is>
      </c>
      <c r="E22" s="116" t="n"/>
      <c r="F22" s="175" t="n"/>
      <c r="G22" s="175" t="n"/>
      <c r="H22" s="175" t="n"/>
      <c r="I22" s="175" t="n"/>
    </row>
    <row r="23" ht="119.25" customHeight="1" s="176">
      <c r="B23" s="214" t="n">
        <v>8</v>
      </c>
      <c r="C23" s="119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01">
        <f>D17</f>
        <v/>
      </c>
      <c r="E23" s="175" t="n"/>
      <c r="F23" s="175" t="n"/>
      <c r="G23" s="175" t="n"/>
      <c r="H23" s="175" t="n"/>
      <c r="I23" s="175" t="n"/>
    </row>
    <row r="24" ht="47.25" customHeight="1" s="176">
      <c r="B24" s="214" t="n">
        <v>9</v>
      </c>
      <c r="C24" s="115" t="inlineStr">
        <is>
          <t>Приведенная сметная стоимость на единицу мощности, тыс. руб. (строка 8/строку 4)</t>
        </is>
      </c>
      <c r="D24" s="201">
        <f>D23/D15</f>
        <v/>
      </c>
      <c r="E24" s="116" t="n"/>
      <c r="F24" s="175" t="n"/>
      <c r="G24" s="175" t="n"/>
      <c r="H24" s="175" t="n"/>
      <c r="I24" s="175" t="n"/>
    </row>
    <row r="25">
      <c r="B25" s="214" t="n">
        <v>10</v>
      </c>
      <c r="C25" s="205" t="inlineStr">
        <is>
          <t>Примечание</t>
        </is>
      </c>
      <c r="D25" s="205" t="n"/>
      <c r="E25" s="175" t="n"/>
      <c r="F25" s="175" t="n"/>
      <c r="G25" s="175" t="n"/>
      <c r="H25" s="175" t="n"/>
      <c r="I25" s="175" t="n"/>
    </row>
    <row r="26">
      <c r="B26" s="244" t="n"/>
      <c r="C26" s="121" t="n"/>
      <c r="D26" s="121" t="n"/>
      <c r="E26" s="175" t="n"/>
      <c r="F26" s="175" t="n"/>
      <c r="G26" s="175" t="n"/>
      <c r="H26" s="175" t="n"/>
      <c r="I26" s="175" t="n"/>
    </row>
    <row r="27">
      <c r="B27" s="195" t="n"/>
      <c r="E27" s="175" t="n"/>
      <c r="F27" s="175" t="n"/>
      <c r="G27" s="175" t="n"/>
      <c r="H27" s="175" t="n"/>
      <c r="I27" s="175" t="n"/>
    </row>
    <row r="28">
      <c r="B28" s="175" t="inlineStr">
        <is>
          <t>Составил ______________________        Д.Ю. Нефедова</t>
        </is>
      </c>
      <c r="E28" s="175" t="n"/>
      <c r="F28" s="175" t="n"/>
      <c r="G28" s="175" t="n"/>
      <c r="H28" s="175" t="n"/>
      <c r="I28" s="175" t="n"/>
    </row>
    <row r="29" ht="22.5" customHeight="1" s="176">
      <c r="B29" s="122" t="inlineStr">
        <is>
          <t xml:space="preserve">                         (подпись, инициалы, фамилия)</t>
        </is>
      </c>
      <c r="E29" s="175" t="n"/>
      <c r="F29" s="175" t="n"/>
      <c r="G29" s="175" t="n"/>
      <c r="H29" s="175" t="n"/>
      <c r="I29" s="175" t="n"/>
    </row>
    <row r="30">
      <c r="E30" s="175" t="n"/>
      <c r="F30" s="175" t="n"/>
      <c r="G30" s="175" t="n"/>
      <c r="H30" s="175" t="n"/>
      <c r="I30" s="175" t="n"/>
    </row>
    <row r="31">
      <c r="B31" s="175" t="inlineStr">
        <is>
          <t>Проверил ______________________        А.В. Костянецкая</t>
        </is>
      </c>
      <c r="E31" s="175" t="n"/>
      <c r="F31" s="175" t="n"/>
      <c r="G31" s="175" t="n"/>
      <c r="H31" s="175" t="n"/>
      <c r="I31" s="175" t="n"/>
    </row>
    <row r="32" ht="22.5" customHeight="1" s="176">
      <c r="B32" s="122" t="inlineStr">
        <is>
          <t xml:space="preserve">                        (подпись, инициалы, фамилия)</t>
        </is>
      </c>
      <c r="E32" s="175" t="n"/>
      <c r="F32" s="175" t="n"/>
      <c r="G32" s="175" t="n"/>
      <c r="H32" s="175" t="n"/>
      <c r="I32" s="175" t="n"/>
    </row>
    <row r="33">
      <c r="E33" s="175" t="n"/>
      <c r="F33" s="175" t="n"/>
      <c r="G33" s="175" t="n"/>
      <c r="H33" s="175" t="n"/>
      <c r="I33" s="175" t="n"/>
    </row>
    <row r="34">
      <c r="E34" s="175" t="n"/>
      <c r="F34" s="175" t="n"/>
      <c r="G34" s="175" t="n"/>
      <c r="H34" s="175" t="n"/>
      <c r="I34" s="175" t="n"/>
    </row>
    <row r="35">
      <c r="E35" s="175" t="n"/>
      <c r="F35" s="175" t="n"/>
      <c r="G35" s="175" t="n"/>
      <c r="H35" s="175" t="n"/>
      <c r="I35" s="175" t="n"/>
    </row>
  </sheetData>
  <mergeCells count="3">
    <mergeCell ref="B7:D7"/>
    <mergeCell ref="B3:D3"/>
    <mergeCell ref="B4:D4"/>
  </mergeCells>
  <pageMargins left="0.7" right="0.7" top="0.75" bottom="0.75" header="0.3" footer="0.3"/>
  <pageSetup orientation="portrait" paperSize="9" scale="80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L29"/>
  <sheetViews>
    <sheetView view="pageBreakPreview" workbookViewId="0">
      <selection activeCell="G18" sqref="G18"/>
    </sheetView>
  </sheetViews>
  <sheetFormatPr baseColWidth="8" defaultRowHeight="15"/>
  <cols>
    <col width="5.5703125" customWidth="1" style="176" min="1" max="1"/>
    <col width="9.140625" customWidth="1" style="176" min="2" max="2"/>
    <col width="35.28515625" customWidth="1" style="176" min="3" max="3"/>
    <col width="13.85546875" customWidth="1" style="176" min="4" max="4"/>
    <col width="24.85546875" customWidth="1" style="176" min="5" max="5"/>
    <col width="12.7109375" customWidth="1" style="176" min="6" max="6"/>
    <col width="14.85546875" customWidth="1" style="176" min="7" max="7"/>
    <col width="16.7109375" customWidth="1" style="176" min="8" max="8"/>
    <col width="13" customWidth="1" style="176" min="9" max="10"/>
    <col width="9.140625" customWidth="1" style="176" min="11" max="11"/>
  </cols>
  <sheetData>
    <row r="1" ht="15.75" customHeight="1" s="176">
      <c r="A1" s="175" t="n"/>
      <c r="B1" s="175" t="n"/>
      <c r="C1" s="175" t="n"/>
      <c r="D1" s="175" t="n"/>
      <c r="E1" s="175" t="n"/>
      <c r="F1" s="175" t="n"/>
      <c r="G1" s="175" t="n"/>
      <c r="H1" s="175" t="n"/>
      <c r="I1" s="175" t="n"/>
      <c r="J1" s="175" t="n"/>
    </row>
    <row r="2" ht="15.75" customHeight="1" s="176">
      <c r="A2" s="175" t="n"/>
      <c r="B2" s="175" t="n"/>
      <c r="C2" s="175" t="n"/>
      <c r="D2" s="175" t="n"/>
      <c r="E2" s="175" t="n"/>
      <c r="F2" s="175" t="n"/>
      <c r="G2" s="175" t="n"/>
      <c r="H2" s="175" t="n"/>
      <c r="I2" s="175" t="n"/>
      <c r="J2" s="175" t="n"/>
    </row>
    <row r="3" ht="15.75" customHeight="1" s="176">
      <c r="A3" s="175" t="n"/>
      <c r="B3" s="210" t="inlineStr">
        <is>
          <t>Приложение № 2</t>
        </is>
      </c>
    </row>
    <row r="4" ht="15.75" customHeight="1" s="176">
      <c r="A4" s="175" t="n"/>
      <c r="B4" s="211" t="inlineStr">
        <is>
          <t>Расчет стоимости основных видов работ для выбора объекта-представителя</t>
        </is>
      </c>
    </row>
    <row r="5" ht="15.75" customHeight="1" s="176">
      <c r="A5" s="175" t="n"/>
      <c r="B5" s="112" t="n"/>
      <c r="C5" s="112" t="n"/>
      <c r="D5" s="112" t="n"/>
      <c r="E5" s="112" t="n"/>
      <c r="F5" s="112" t="n"/>
      <c r="G5" s="112" t="n"/>
      <c r="H5" s="112" t="n"/>
      <c r="I5" s="112" t="n"/>
      <c r="J5" s="112" t="n"/>
    </row>
    <row r="6" ht="38.25" customHeight="1" s="176">
      <c r="A6" s="175" t="n"/>
      <c r="B6" s="213">
        <f>'Прил.1 Сравнит табл'!B7</f>
        <v/>
      </c>
    </row>
    <row r="7" ht="15.75" customHeight="1" s="176">
      <c r="A7" s="175" t="n"/>
      <c r="B7" s="212">
        <f>'Прил.1 Сравнит табл'!B9</f>
        <v/>
      </c>
    </row>
    <row r="8" ht="15.75" customHeight="1" s="176">
      <c r="A8" s="175" t="n"/>
      <c r="B8" s="212" t="n"/>
      <c r="C8" s="175" t="n"/>
      <c r="D8" s="175" t="n"/>
      <c r="E8" s="175" t="n"/>
      <c r="F8" s="175" t="n"/>
      <c r="G8" s="175" t="n"/>
      <c r="H8" s="175" t="n"/>
      <c r="I8" s="175" t="n"/>
      <c r="J8" s="175" t="n"/>
    </row>
    <row r="9" ht="15.75" customFormat="1" customHeight="1" s="175">
      <c r="B9" s="214" t="inlineStr">
        <is>
          <t>№ п/п</t>
        </is>
      </c>
      <c r="C9" s="214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14" t="inlineStr">
        <is>
          <t>Объект-представитель 1</t>
        </is>
      </c>
      <c r="E9" s="247" t="n"/>
      <c r="F9" s="247" t="n"/>
      <c r="G9" s="247" t="n"/>
      <c r="H9" s="247" t="n"/>
      <c r="I9" s="247" t="n"/>
      <c r="J9" s="248" t="n"/>
    </row>
    <row r="10" ht="15.75" customFormat="1" customHeight="1" s="175">
      <c r="B10" s="249" t="n"/>
      <c r="C10" s="249" t="n"/>
      <c r="D10" s="214" t="inlineStr">
        <is>
          <t>Номер сметы</t>
        </is>
      </c>
      <c r="E10" s="214" t="inlineStr">
        <is>
          <t>Наименование сметы</t>
        </is>
      </c>
      <c r="F10" s="214" t="inlineStr">
        <is>
          <t>Сметная стоимость в уровне цен 3 кв. 2017 г., тыс. руб.</t>
        </is>
      </c>
      <c r="G10" s="247" t="n"/>
      <c r="H10" s="247" t="n"/>
      <c r="I10" s="247" t="n"/>
      <c r="J10" s="248" t="n"/>
    </row>
    <row r="11" ht="31.5" customFormat="1" customHeight="1" s="175">
      <c r="B11" s="250" t="n"/>
      <c r="C11" s="250" t="n"/>
      <c r="D11" s="250" t="n"/>
      <c r="E11" s="250" t="n"/>
      <c r="F11" s="214" t="inlineStr">
        <is>
          <t>Строительные работы</t>
        </is>
      </c>
      <c r="G11" s="214" t="inlineStr">
        <is>
          <t>Монтажные работы</t>
        </is>
      </c>
      <c r="H11" s="214" t="inlineStr">
        <is>
          <t>Оборудование</t>
        </is>
      </c>
      <c r="I11" s="214" t="inlineStr">
        <is>
          <t>Прочее</t>
        </is>
      </c>
      <c r="J11" s="214" t="inlineStr">
        <is>
          <t>Всего</t>
        </is>
      </c>
    </row>
    <row r="12" ht="63" customFormat="1" customHeight="1" s="175">
      <c r="B12" s="214" t="n">
        <v>1</v>
      </c>
      <c r="C12" s="214" t="inlineStr">
        <is>
          <t>КТП  блочного типа (бетонные, сэндвич-панели) 6-20 кВ, мощность 25 кВА, кол-во трансформаторов 1 шт.</t>
        </is>
      </c>
      <c r="D12" s="204" t="inlineStr">
        <is>
          <t>2-4</t>
        </is>
      </c>
      <c r="E12" s="205" t="inlineStr">
        <is>
          <t>КТП-250-10-0,4 кВ (КТП №5)</t>
        </is>
      </c>
      <c r="F12" s="206">
        <f>4747/1000*6.94</f>
        <v/>
      </c>
      <c r="G12" s="206">
        <f>5566/1000*6.94</f>
        <v/>
      </c>
      <c r="H12" s="206">
        <f>242163/1000*4.37</f>
        <v/>
      </c>
      <c r="I12" s="206" t="n"/>
      <c r="J12" s="206">
        <f>SUM(F12:I12)</f>
        <v/>
      </c>
      <c r="K12" s="251" t="n"/>
      <c r="L12" s="251" t="n"/>
    </row>
    <row r="13" ht="15.6" customFormat="1" customHeight="1" s="175">
      <c r="B13" s="215" t="inlineStr">
        <is>
          <t>Всего по объекту:</t>
        </is>
      </c>
      <c r="C13" s="247" t="n"/>
      <c r="D13" s="247" t="n"/>
      <c r="E13" s="248" t="n"/>
      <c r="F13" s="208">
        <f>SUM(F12:F12)</f>
        <v/>
      </c>
      <c r="G13" s="208">
        <f>SUM(G12:G12)</f>
        <v/>
      </c>
      <c r="H13" s="208">
        <f>SUM(H12:H12)</f>
        <v/>
      </c>
      <c r="I13" s="208">
        <f>SUM(I12:I12)</f>
        <v/>
      </c>
      <c r="J13" s="208">
        <f>SUM(F13:I13)</f>
        <v/>
      </c>
    </row>
    <row r="14" ht="28.5" customFormat="1" customHeight="1" s="175">
      <c r="B14" s="215" t="inlineStr">
        <is>
          <t>Всего по объекту в сопоставимом уровне цен 3 кв. 2017 г:</t>
        </is>
      </c>
      <c r="C14" s="247" t="n"/>
      <c r="D14" s="247" t="n"/>
      <c r="E14" s="248" t="n"/>
      <c r="F14" s="209">
        <f>F13</f>
        <v/>
      </c>
      <c r="G14" s="209">
        <f>G13</f>
        <v/>
      </c>
      <c r="H14" s="209">
        <f>H13</f>
        <v/>
      </c>
      <c r="I14" s="209">
        <f>I13</f>
        <v/>
      </c>
      <c r="J14" s="209">
        <f>SUM(F14:I14)</f>
        <v/>
      </c>
    </row>
    <row r="15" ht="15.6" customFormat="1" customHeight="1" s="175">
      <c r="B15" s="212" t="n"/>
    </row>
    <row r="16" ht="15.6" customFormat="1" customHeight="1" s="175"/>
    <row r="17" ht="15.6" customFormat="1" customHeight="1" s="175"/>
    <row r="18" ht="15.6" customFormat="1" customHeight="1" s="175">
      <c r="C18" s="175" t="inlineStr">
        <is>
          <t>Составил ______________________         Д.Ю. Нефедова</t>
        </is>
      </c>
    </row>
    <row r="19" ht="15.6" customFormat="1" customHeight="1" s="175">
      <c r="C19" s="195" t="inlineStr">
        <is>
          <t xml:space="preserve">                         (подпись, инициалы, фамилия)</t>
        </is>
      </c>
    </row>
    <row r="20" ht="15.6" customFormat="1" customHeight="1" s="175"/>
    <row r="21" ht="15.6" customFormat="1" customHeight="1" s="175">
      <c r="C21" s="175" t="inlineStr">
        <is>
          <t>Проверил ______________________         А.В. Костянецкая</t>
        </is>
      </c>
    </row>
    <row r="22" ht="15.6" customFormat="1" customHeight="1" s="175">
      <c r="C22" s="195" t="inlineStr">
        <is>
          <t xml:space="preserve">                        (подпись, инициалы, фамилия)</t>
        </is>
      </c>
    </row>
    <row r="23" ht="15.6" customFormat="1" customHeight="1" s="175"/>
    <row r="24" s="176"/>
    <row r="25" s="176"/>
    <row r="26" s="176"/>
    <row r="27" ht="14.25" customHeight="1" s="176">
      <c r="A27" s="175" t="n"/>
      <c r="B27" s="175" t="n"/>
      <c r="C27" s="175" t="n"/>
      <c r="D27" s="175" t="n"/>
      <c r="E27" s="175" t="n"/>
      <c r="F27" s="175" t="n"/>
      <c r="G27" s="175" t="n"/>
      <c r="H27" s="175" t="n"/>
      <c r="I27" s="175" t="n"/>
      <c r="J27" s="175" t="n"/>
      <c r="K27" s="175" t="n"/>
    </row>
    <row r="28" ht="14.25" customHeight="1" s="176">
      <c r="A28" s="175" t="n"/>
      <c r="B28" s="175" t="n"/>
      <c r="C28" s="175" t="n"/>
      <c r="D28" s="175" t="n"/>
      <c r="E28" s="175" t="n"/>
      <c r="F28" s="175" t="n"/>
      <c r="G28" s="175" t="n"/>
      <c r="H28" s="175" t="n"/>
      <c r="I28" s="175" t="n"/>
      <c r="J28" s="175" t="n"/>
      <c r="K28" s="175" t="n"/>
    </row>
    <row r="29" ht="15.75" customHeight="1" s="176">
      <c r="A29" s="175" t="n"/>
      <c r="B29" s="175" t="n"/>
      <c r="C29" s="175" t="n"/>
      <c r="D29" s="175" t="n"/>
      <c r="E29" s="175" t="n"/>
      <c r="F29" s="175" t="n"/>
      <c r="G29" s="175" t="n"/>
      <c r="H29" s="175" t="n"/>
      <c r="I29" s="175" t="n"/>
      <c r="J29" s="175" t="n"/>
      <c r="K29" s="175" t="n"/>
    </row>
  </sheetData>
  <mergeCells count="12">
    <mergeCell ref="B7:J7"/>
    <mergeCell ref="B3:J3"/>
    <mergeCell ref="D10:D11"/>
    <mergeCell ref="D9:J9"/>
    <mergeCell ref="B13:E13"/>
    <mergeCell ref="F10:J10"/>
    <mergeCell ref="B6:J6"/>
    <mergeCell ref="B9:B11"/>
    <mergeCell ref="B4:J4"/>
    <mergeCell ref="E10:E11"/>
    <mergeCell ref="C9:C11"/>
    <mergeCell ref="B14:E14"/>
  </mergeCells>
  <pageMargins left="0.7" right="0.7" top="0.75" bottom="0.75" header="0.3" footer="0.3"/>
  <pageSetup orientation="portrait" paperSize="9" scale="55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L136"/>
  <sheetViews>
    <sheetView view="pageBreakPreview" topLeftCell="A120" zoomScaleSheetLayoutView="100" workbookViewId="0">
      <selection activeCell="F133" sqref="F132:F133"/>
    </sheetView>
  </sheetViews>
  <sheetFormatPr baseColWidth="8" defaultRowHeight="15.75"/>
  <cols>
    <col width="9.140625" customWidth="1" style="175" min="1" max="1"/>
    <col width="12.5703125" customWidth="1" style="175" min="2" max="2"/>
    <col width="22.42578125" customWidth="1" style="175" min="3" max="3"/>
    <col width="49.7109375" customWidth="1" style="175" min="4" max="4"/>
    <col width="10.140625" customWidth="1" style="175" min="5" max="5"/>
    <col width="20.7109375" customWidth="1" style="175" min="6" max="6"/>
    <col width="16.140625" customWidth="1" style="175" min="7" max="7"/>
    <col width="16.7109375" customWidth="1" style="175" min="8" max="8"/>
    <col width="9.140625" customWidth="1" style="175" min="9" max="9"/>
    <col width="15.42578125" customWidth="1" style="175" min="10" max="10"/>
    <col width="13" customWidth="1" style="176" min="11" max="11"/>
    <col width="9.140625" customWidth="1" style="176" min="12" max="14"/>
  </cols>
  <sheetData>
    <row r="1">
      <c r="K1" s="175" t="n"/>
    </row>
    <row r="2" s="176">
      <c r="A2" s="175" t="n"/>
      <c r="B2" s="175" t="n"/>
      <c r="C2" s="175" t="n"/>
      <c r="D2" s="175" t="n"/>
      <c r="E2" s="175" t="n"/>
      <c r="F2" s="175" t="n"/>
      <c r="G2" s="175" t="n"/>
      <c r="H2" s="175" t="n"/>
      <c r="I2" s="175" t="n"/>
      <c r="J2" s="175" t="n"/>
      <c r="K2" s="175" t="n"/>
    </row>
    <row r="3" s="176">
      <c r="A3" s="175" t="n"/>
      <c r="B3" s="175" t="n"/>
      <c r="C3" s="175" t="n"/>
      <c r="D3" s="175" t="n"/>
      <c r="E3" s="175" t="n"/>
      <c r="F3" s="175" t="n"/>
      <c r="G3" s="175" t="n"/>
      <c r="H3" s="175" t="n"/>
      <c r="I3" s="175" t="n"/>
      <c r="J3" s="175" t="n"/>
      <c r="K3" s="175" t="n"/>
    </row>
    <row r="4">
      <c r="A4" s="210" t="inlineStr">
        <is>
          <t xml:space="preserve">Приложение № 3 </t>
        </is>
      </c>
      <c r="K4" s="175" t="n"/>
    </row>
    <row r="5">
      <c r="A5" s="211" t="inlineStr">
        <is>
          <t>Объектная ресурсная ведомость</t>
        </is>
      </c>
      <c r="K5" s="175" t="n"/>
    </row>
    <row r="6" ht="18.75" customHeight="1" s="176">
      <c r="A6" s="212" t="n"/>
      <c r="K6" s="175" t="n"/>
    </row>
    <row r="7" ht="36.75" customHeight="1" s="176">
      <c r="A7" s="213">
        <f>'Прил.1 Сравнит табл'!B7</f>
        <v/>
      </c>
      <c r="K7" s="175" t="n"/>
    </row>
    <row r="8">
      <c r="A8" s="178" t="n"/>
      <c r="B8" s="178" t="n"/>
      <c r="C8" s="178" t="n"/>
      <c r="D8" s="178" t="n"/>
      <c r="E8" s="178" t="n"/>
      <c r="F8" s="178" t="n"/>
      <c r="G8" s="178" t="n"/>
      <c r="H8" s="178" t="n"/>
      <c r="K8" s="175" t="n"/>
    </row>
    <row r="9" ht="33" customHeight="1" s="176">
      <c r="A9" s="214" t="inlineStr">
        <is>
          <t>п/п</t>
        </is>
      </c>
      <c r="B9" s="214" t="inlineStr">
        <is>
          <t>№ЛСР</t>
        </is>
      </c>
      <c r="C9" s="214" t="inlineStr">
        <is>
          <t>Код ресурса</t>
        </is>
      </c>
      <c r="D9" s="214" t="inlineStr">
        <is>
          <t>Наименование ресурса</t>
        </is>
      </c>
      <c r="E9" s="214" t="inlineStr">
        <is>
          <t>Ед. изм.</t>
        </is>
      </c>
      <c r="F9" s="214" t="inlineStr">
        <is>
          <t>Кол-во единиц по данным объекта-представителя</t>
        </is>
      </c>
      <c r="G9" s="214" t="inlineStr">
        <is>
          <t>Сметная стоимость в ценах на 01.01.2000 (руб.)</t>
        </is>
      </c>
      <c r="H9" s="248" t="n"/>
      <c r="K9" s="175" t="n"/>
    </row>
    <row r="10" ht="33" customHeight="1" s="176">
      <c r="A10" s="250" t="n"/>
      <c r="B10" s="250" t="n"/>
      <c r="C10" s="250" t="n"/>
      <c r="D10" s="250" t="n"/>
      <c r="E10" s="250" t="n"/>
      <c r="F10" s="250" t="n"/>
      <c r="G10" s="214" t="inlineStr">
        <is>
          <t>на ед.изм.</t>
        </is>
      </c>
      <c r="H10" s="214" t="inlineStr">
        <is>
          <t>общая</t>
        </is>
      </c>
      <c r="K10" s="175" t="n"/>
    </row>
    <row r="11">
      <c r="A11" s="180" t="n">
        <v>1</v>
      </c>
      <c r="B11" s="180" t="n"/>
      <c r="C11" s="180" t="n">
        <v>2</v>
      </c>
      <c r="D11" s="180" t="inlineStr">
        <is>
          <t>З</t>
        </is>
      </c>
      <c r="E11" s="180" t="n">
        <v>4</v>
      </c>
      <c r="F11" s="180" t="n">
        <v>5</v>
      </c>
      <c r="G11" s="180" t="n">
        <v>6</v>
      </c>
      <c r="H11" s="180" t="n">
        <v>7</v>
      </c>
      <c r="I11" s="181" t="n"/>
      <c r="K11" s="175" t="n"/>
    </row>
    <row r="12">
      <c r="A12" s="216" t="inlineStr">
        <is>
          <t>Затраты труда рабочих</t>
        </is>
      </c>
      <c r="B12" s="247" t="n"/>
      <c r="C12" s="247" t="n"/>
      <c r="D12" s="247" t="n"/>
      <c r="E12" s="248" t="n"/>
      <c r="F12" s="182">
        <f>SUM(F13:F26)</f>
        <v/>
      </c>
      <c r="G12" s="182" t="n"/>
      <c r="H12" s="182">
        <f>SUM(H13:H26)</f>
        <v/>
      </c>
      <c r="I12" s="183" t="n"/>
      <c r="J12" s="183" t="n"/>
      <c r="K12" s="183" t="n"/>
    </row>
    <row r="13">
      <c r="A13" s="217" t="n">
        <v>1</v>
      </c>
      <c r="B13" s="185" t="n"/>
      <c r="C13" s="186" t="inlineStr">
        <is>
          <t>1-3-8</t>
        </is>
      </c>
      <c r="D13" s="218" t="inlineStr">
        <is>
          <t>Затраты труда рабочих (ср 3,8)</t>
        </is>
      </c>
      <c r="E13" s="217" t="inlineStr">
        <is>
          <t>чел.-ч</t>
        </is>
      </c>
      <c r="F13" s="217" t="n">
        <v>499.9286</v>
      </c>
      <c r="G13" s="188" t="n">
        <v>9.4</v>
      </c>
      <c r="H13" s="188">
        <f>ROUND(F13*G13,2)</f>
        <v/>
      </c>
      <c r="K13" s="175" t="n"/>
    </row>
    <row r="14" ht="15" customHeight="1" s="176">
      <c r="A14" s="217" t="n">
        <v>2</v>
      </c>
      <c r="B14" s="185" t="n"/>
      <c r="C14" s="186" t="inlineStr">
        <is>
          <t>1-3-3</t>
        </is>
      </c>
      <c r="D14" s="218" t="inlineStr">
        <is>
          <t>Затраты труда рабочих (ср 3,3)</t>
        </is>
      </c>
      <c r="E14" s="217" t="inlineStr">
        <is>
          <t>чел.-ч</t>
        </is>
      </c>
      <c r="F14" s="217" t="n">
        <v>134.7255</v>
      </c>
      <c r="G14" s="188" t="n">
        <v>8.859999999999999</v>
      </c>
      <c r="H14" s="188">
        <f>ROUND(F14*G14,2)</f>
        <v/>
      </c>
      <c r="K14" s="175" t="n"/>
    </row>
    <row r="15">
      <c r="A15" s="217" t="n">
        <v>3</v>
      </c>
      <c r="B15" s="185" t="n"/>
      <c r="C15" s="186" t="inlineStr">
        <is>
          <t>1-3-2</t>
        </is>
      </c>
      <c r="D15" s="218" t="inlineStr">
        <is>
          <t>Затраты труда рабочих (ср 3,2)</t>
        </is>
      </c>
      <c r="E15" s="217" t="inlineStr">
        <is>
          <t>чел.-ч</t>
        </is>
      </c>
      <c r="F15" s="217" t="n">
        <v>107.88</v>
      </c>
      <c r="G15" s="188" t="n">
        <v>8.74</v>
      </c>
      <c r="H15" s="188">
        <f>ROUND(F15*G15,2)</f>
        <v/>
      </c>
      <c r="K15" s="175" t="n"/>
    </row>
    <row r="16">
      <c r="A16" s="217" t="n">
        <v>4</v>
      </c>
      <c r="B16" s="185" t="n"/>
      <c r="C16" s="186" t="inlineStr">
        <is>
          <t>1-2-0</t>
        </is>
      </c>
      <c r="D16" s="218" t="inlineStr">
        <is>
          <t>Затраты труда рабочих (ср 2)</t>
        </is>
      </c>
      <c r="E16" s="217" t="inlineStr">
        <is>
          <t>чел.-ч</t>
        </is>
      </c>
      <c r="F16" s="217" t="n">
        <v>92.56536</v>
      </c>
      <c r="G16" s="188" t="n">
        <v>7.8</v>
      </c>
      <c r="H16" s="188">
        <f>ROUND(F16*G16,2)</f>
        <v/>
      </c>
      <c r="K16" s="175" t="n"/>
    </row>
    <row r="17">
      <c r="A17" s="217" t="n">
        <v>5</v>
      </c>
      <c r="B17" s="185" t="n"/>
      <c r="C17" s="186" t="inlineStr">
        <is>
          <t>1-3-5</t>
        </is>
      </c>
      <c r="D17" s="218" t="inlineStr">
        <is>
          <t>Затраты труда рабочих (ср 3,5)</t>
        </is>
      </c>
      <c r="E17" s="217" t="inlineStr">
        <is>
          <t>чел.-ч</t>
        </is>
      </c>
      <c r="F17" s="217" t="n">
        <v>79.0536</v>
      </c>
      <c r="G17" s="188" t="n">
        <v>9.07</v>
      </c>
      <c r="H17" s="188">
        <f>ROUND(F17*G17,2)</f>
        <v/>
      </c>
      <c r="K17" s="175" t="n"/>
    </row>
    <row r="18">
      <c r="A18" s="217" t="n">
        <v>6</v>
      </c>
      <c r="B18" s="185" t="n"/>
      <c r="C18" s="186" t="inlineStr">
        <is>
          <t>1-1-5</t>
        </is>
      </c>
      <c r="D18" s="218" t="inlineStr">
        <is>
          <t>Затраты труда рабочих (ср 1,5)</t>
        </is>
      </c>
      <c r="E18" s="217" t="inlineStr">
        <is>
          <t>чел.-ч</t>
        </is>
      </c>
      <c r="F18" s="217" t="n">
        <v>54.7638</v>
      </c>
      <c r="G18" s="188" t="n">
        <v>7.5</v>
      </c>
      <c r="H18" s="188">
        <f>ROUND(F18*G18,2)</f>
        <v/>
      </c>
      <c r="K18" s="175" t="n"/>
    </row>
    <row r="19">
      <c r="A19" s="217" t="n">
        <v>7</v>
      </c>
      <c r="B19" s="185" t="n"/>
      <c r="C19" s="186" t="inlineStr">
        <is>
          <t>1-3-6</t>
        </is>
      </c>
      <c r="D19" s="218" t="inlineStr">
        <is>
          <t>Затраты труда рабочих (ср 3,6)</t>
        </is>
      </c>
      <c r="E19" s="217" t="inlineStr">
        <is>
          <t>чел.-ч</t>
        </is>
      </c>
      <c r="F19" s="217" t="n">
        <v>38.9664</v>
      </c>
      <c r="G19" s="188" t="n">
        <v>9.18</v>
      </c>
      <c r="H19" s="188">
        <f>ROUND(F19*G19,2)</f>
        <v/>
      </c>
      <c r="K19" s="175" t="n"/>
    </row>
    <row r="20">
      <c r="A20" s="217" t="n">
        <v>8</v>
      </c>
      <c r="B20" s="185" t="n"/>
      <c r="C20" s="186" t="inlineStr">
        <is>
          <t>1-4-2</t>
        </is>
      </c>
      <c r="D20" s="218" t="inlineStr">
        <is>
          <t>Затраты труда рабочих (ср 4,2)</t>
        </is>
      </c>
      <c r="E20" s="217" t="inlineStr">
        <is>
          <t>чел.-ч</t>
        </is>
      </c>
      <c r="F20" s="217" t="n">
        <v>21.5064</v>
      </c>
      <c r="G20" s="188" t="n">
        <v>9.92</v>
      </c>
      <c r="H20" s="188">
        <f>ROUND(F20*G20,2)</f>
        <v/>
      </c>
      <c r="K20" s="175" t="n"/>
    </row>
    <row r="21">
      <c r="A21" s="217" t="n">
        <v>9</v>
      </c>
      <c r="B21" s="185" t="n"/>
      <c r="C21" s="186" t="inlineStr">
        <is>
          <t>1-3-0</t>
        </is>
      </c>
      <c r="D21" s="218" t="inlineStr">
        <is>
          <t>Затраты труда рабочих (ср 3)</t>
        </is>
      </c>
      <c r="E21" s="217" t="inlineStr">
        <is>
          <t>чел.-ч</t>
        </is>
      </c>
      <c r="F21" s="217" t="n">
        <v>22.5259</v>
      </c>
      <c r="G21" s="188" t="n">
        <v>8.529999999999999</v>
      </c>
      <c r="H21" s="188">
        <f>ROUND(F21*G21,2)</f>
        <v/>
      </c>
      <c r="K21" s="175" t="n"/>
      <c r="L21" s="189" t="n"/>
    </row>
    <row r="22">
      <c r="A22" s="217" t="n">
        <v>10</v>
      </c>
      <c r="B22" s="185" t="n"/>
      <c r="C22" s="186" t="inlineStr">
        <is>
          <t>1-2-2</t>
        </is>
      </c>
      <c r="D22" s="218" t="inlineStr">
        <is>
          <t>Затраты труда рабочих (ср 2,2)</t>
        </is>
      </c>
      <c r="E22" s="217" t="inlineStr">
        <is>
          <t>чел.-ч</t>
        </is>
      </c>
      <c r="F22" s="217" t="n">
        <v>19.1838</v>
      </c>
      <c r="G22" s="188" t="n">
        <v>7.94</v>
      </c>
      <c r="H22" s="188">
        <f>ROUND(F22*G22,2)</f>
        <v/>
      </c>
      <c r="K22" s="175" t="n"/>
    </row>
    <row r="23">
      <c r="A23" s="217" t="n">
        <v>11</v>
      </c>
      <c r="B23" s="185" t="n"/>
      <c r="C23" s="186" t="inlineStr">
        <is>
          <t>1-4-7</t>
        </is>
      </c>
      <c r="D23" s="218" t="inlineStr">
        <is>
          <t>Затраты труда рабочих (ср 4,7)</t>
        </is>
      </c>
      <c r="E23" s="217" t="inlineStr">
        <is>
          <t>чел.-ч</t>
        </is>
      </c>
      <c r="F23" s="217" t="n">
        <v>10.1952</v>
      </c>
      <c r="G23" s="188" t="n">
        <v>10.65</v>
      </c>
      <c r="H23" s="188">
        <f>ROUND(F23*G23,2)</f>
        <v/>
      </c>
      <c r="K23" s="175" t="n"/>
    </row>
    <row r="24" ht="15" customHeight="1" s="176">
      <c r="A24" s="217" t="n">
        <v>12</v>
      </c>
      <c r="B24" s="185" t="n"/>
      <c r="C24" s="186" t="inlineStr">
        <is>
          <t>1-4-4</t>
        </is>
      </c>
      <c r="D24" s="218" t="inlineStr">
        <is>
          <t>Затраты труда рабочих (ср 4,4)</t>
        </is>
      </c>
      <c r="E24" s="217" t="inlineStr">
        <is>
          <t>чел.-ч</t>
        </is>
      </c>
      <c r="F24" s="217" t="n">
        <v>4.368</v>
      </c>
      <c r="G24" s="188" t="n">
        <v>10.21</v>
      </c>
      <c r="H24" s="188">
        <f>ROUND(F24*G24,2)</f>
        <v/>
      </c>
      <c r="K24" s="175" t="n"/>
    </row>
    <row r="25">
      <c r="A25" s="217" t="n">
        <v>13</v>
      </c>
      <c r="B25" s="185" t="n"/>
      <c r="C25" s="186" t="inlineStr">
        <is>
          <t>1-3-7</t>
        </is>
      </c>
      <c r="D25" s="218" t="inlineStr">
        <is>
          <t>Затраты труда рабочих (ср 3,7)</t>
        </is>
      </c>
      <c r="E25" s="217" t="inlineStr">
        <is>
          <t>чел.-ч</t>
        </is>
      </c>
      <c r="F25" s="217" t="n">
        <v>3.935888</v>
      </c>
      <c r="G25" s="188" t="n">
        <v>9.289999999999999</v>
      </c>
      <c r="H25" s="188">
        <f>ROUND(F25*G25,2)</f>
        <v/>
      </c>
      <c r="K25" s="175" t="n"/>
      <c r="L25" s="189" t="n"/>
    </row>
    <row r="26" ht="15" customHeight="1" s="176">
      <c r="A26" s="217" t="n">
        <v>14</v>
      </c>
      <c r="B26" s="185" t="n"/>
      <c r="C26" s="186" t="inlineStr">
        <is>
          <t>1-2-5</t>
        </is>
      </c>
      <c r="D26" s="218" t="inlineStr">
        <is>
          <t>Затраты труда рабочих (ср 2,5)</t>
        </is>
      </c>
      <c r="E26" s="217" t="inlineStr">
        <is>
          <t>чел.-ч</t>
        </is>
      </c>
      <c r="F26" s="217" t="n">
        <v>1.463</v>
      </c>
      <c r="G26" s="188" t="n">
        <v>8.17</v>
      </c>
      <c r="H26" s="188">
        <f>ROUND(F26*G26,2)</f>
        <v/>
      </c>
      <c r="K26" s="175" t="n"/>
    </row>
    <row r="27">
      <c r="A27" s="216" t="inlineStr">
        <is>
          <t>Затраты труда машинистов</t>
        </is>
      </c>
      <c r="B27" s="247" t="n"/>
      <c r="C27" s="247" t="n"/>
      <c r="D27" s="247" t="n"/>
      <c r="E27" s="248" t="n"/>
      <c r="F27" s="216">
        <f>F28</f>
        <v/>
      </c>
      <c r="G27" s="182" t="n"/>
      <c r="H27" s="182">
        <f>H28</f>
        <v/>
      </c>
      <c r="K27" s="175" t="n"/>
    </row>
    <row r="28">
      <c r="A28" s="217" t="n">
        <v>15</v>
      </c>
      <c r="B28" s="191" t="n"/>
      <c r="C28" s="192" t="n">
        <v>2</v>
      </c>
      <c r="D28" s="218" t="inlineStr">
        <is>
          <t>Затраты труда машинистов</t>
        </is>
      </c>
      <c r="E28" s="217" t="inlineStr">
        <is>
          <t>чел.-ч</t>
        </is>
      </c>
      <c r="F28" s="217" t="n">
        <v>75.39168600000001</v>
      </c>
      <c r="G28" s="188" t="n"/>
      <c r="H28" s="188" t="n">
        <v>1014.62</v>
      </c>
      <c r="K28" s="175" t="n"/>
    </row>
    <row r="29">
      <c r="A29" s="216" t="inlineStr">
        <is>
          <t>Машины и механизмы</t>
        </is>
      </c>
      <c r="B29" s="247" t="n"/>
      <c r="C29" s="247" t="n"/>
      <c r="D29" s="247" t="n"/>
      <c r="E29" s="248" t="n"/>
      <c r="F29" s="216" t="n"/>
      <c r="G29" s="182" t="n"/>
      <c r="H29" s="182">
        <f>SUM(H30:H59)</f>
        <v/>
      </c>
      <c r="I29" s="183" t="n"/>
      <c r="J29" s="183" t="n"/>
      <c r="K29" s="183" t="n"/>
    </row>
    <row r="30" ht="31.5" customHeight="1" s="176">
      <c r="A30" s="217" t="n">
        <v>16</v>
      </c>
      <c r="B30" s="191" t="n"/>
      <c r="C30" s="218" t="inlineStr">
        <is>
          <t>91.05.08-009</t>
        </is>
      </c>
      <c r="D30" s="218" t="inlineStr">
        <is>
          <t>Краны на пневмоколесном ходу, грузоподъемность 63 т</t>
        </is>
      </c>
      <c r="E30" s="217" t="inlineStr">
        <is>
          <t>маш.час</t>
        </is>
      </c>
      <c r="F30" s="217" t="n">
        <v>27.8</v>
      </c>
      <c r="G30" s="188" t="n">
        <v>271.77</v>
      </c>
      <c r="H30" s="188">
        <f>ROUND(F30*G30,2)</f>
        <v/>
      </c>
      <c r="K30" s="175" t="n"/>
    </row>
    <row r="31" ht="31.5" customHeight="1" s="176">
      <c r="A31" s="217" t="n">
        <v>17</v>
      </c>
      <c r="B31" s="191" t="n"/>
      <c r="C31" s="218" t="inlineStr">
        <is>
          <t>91.05.06-009</t>
        </is>
      </c>
      <c r="D31" s="218" t="inlineStr">
        <is>
          <t>Краны на гусеничном ходу, грузоподъемность 50-63 т</t>
        </is>
      </c>
      <c r="E31" s="217" t="inlineStr">
        <is>
          <t>маш.час</t>
        </is>
      </c>
      <c r="F31" s="217" t="n">
        <v>8</v>
      </c>
      <c r="G31" s="188" t="n">
        <v>290.01</v>
      </c>
      <c r="H31" s="188">
        <f>ROUND(F31*G31,2)</f>
        <v/>
      </c>
      <c r="I31" s="183" t="n"/>
      <c r="J31" s="183" t="n"/>
      <c r="K31" s="183" t="n"/>
    </row>
    <row r="32">
      <c r="A32" s="217" t="n">
        <v>18</v>
      </c>
      <c r="B32" s="191" t="n"/>
      <c r="C32" s="218" t="inlineStr">
        <is>
          <t>91.05.01-017</t>
        </is>
      </c>
      <c r="D32" s="218" t="inlineStr">
        <is>
          <t>Краны башенные, грузоподъемность 8 т</t>
        </is>
      </c>
      <c r="E32" s="217" t="inlineStr">
        <is>
          <t>маш.час</t>
        </is>
      </c>
      <c r="F32" s="217" t="n">
        <v>9.535871999999999</v>
      </c>
      <c r="G32" s="188" t="n">
        <v>86.40000000000001</v>
      </c>
      <c r="H32" s="188">
        <f>ROUND(F32*G32,2)</f>
        <v/>
      </c>
      <c r="K32" s="175" t="n"/>
    </row>
    <row r="33" ht="31.5" customHeight="1" s="176">
      <c r="A33" s="217" t="n">
        <v>19</v>
      </c>
      <c r="B33" s="191" t="n"/>
      <c r="C33" s="218" t="inlineStr">
        <is>
          <t>91.15.02-024</t>
        </is>
      </c>
      <c r="D33" s="218" t="inlineStr">
        <is>
          <t>Тракторы на гусеничном ходу, мощность 79 кВт (108 л.с.)</t>
        </is>
      </c>
      <c r="E33" s="217" t="inlineStr">
        <is>
          <t>маш.час</t>
        </is>
      </c>
      <c r="F33" s="217" t="n">
        <v>6.2</v>
      </c>
      <c r="G33" s="188" t="n">
        <v>83.09999999999999</v>
      </c>
      <c r="H33" s="188">
        <f>ROUND(F33*G33,2)</f>
        <v/>
      </c>
      <c r="K33" s="175" t="n"/>
    </row>
    <row r="34">
      <c r="A34" s="217" t="n">
        <v>20</v>
      </c>
      <c r="B34" s="191" t="n"/>
      <c r="C34" s="218" t="inlineStr">
        <is>
          <t>91.14.02-001</t>
        </is>
      </c>
      <c r="D34" s="218" t="inlineStr">
        <is>
          <t>Автомобили бортовые, грузоподъемность до 5 т</t>
        </is>
      </c>
      <c r="E34" s="217" t="inlineStr">
        <is>
          <t>маш.час</t>
        </is>
      </c>
      <c r="F34" s="217" t="n">
        <v>7.431529</v>
      </c>
      <c r="G34" s="188" t="n">
        <v>65.70999999999999</v>
      </c>
      <c r="H34" s="188">
        <f>ROUND(F34*G34,2)</f>
        <v/>
      </c>
      <c r="K34" s="175" t="n"/>
    </row>
    <row r="35" ht="31.5" customHeight="1" s="176">
      <c r="A35" s="217" t="n">
        <v>21</v>
      </c>
      <c r="B35" s="191" t="n"/>
      <c r="C35" s="218" t="inlineStr">
        <is>
          <t>91.17.04-233</t>
        </is>
      </c>
      <c r="D35" s="218" t="inlineStr">
        <is>
          <t>Установки для сварки ручной дуговой (постоянного тока)</t>
        </is>
      </c>
      <c r="E35" s="217" t="inlineStr">
        <is>
          <t>маш.час</t>
        </is>
      </c>
      <c r="F35" s="217" t="n">
        <v>41.72991</v>
      </c>
      <c r="G35" s="188" t="n">
        <v>8.1</v>
      </c>
      <c r="H35" s="188">
        <f>ROUND(F35*G35,2)</f>
        <v/>
      </c>
      <c r="K35" s="175" t="n"/>
    </row>
    <row r="36" ht="31.5" customHeight="1" s="176">
      <c r="A36" s="217" t="n">
        <v>22</v>
      </c>
      <c r="B36" s="191" t="n"/>
      <c r="C36" s="218" t="inlineStr">
        <is>
          <t>91.05.05-015</t>
        </is>
      </c>
      <c r="D36" s="218" t="inlineStr">
        <is>
          <t>Краны на автомобильном ходу, грузоподъемность 16 т</t>
        </is>
      </c>
      <c r="E36" s="217" t="inlineStr">
        <is>
          <t>маш.час</t>
        </is>
      </c>
      <c r="F36" s="217" t="n">
        <v>1.759978</v>
      </c>
      <c r="G36" s="188" t="n">
        <v>115.4</v>
      </c>
      <c r="H36" s="188">
        <f>ROUND(F36*G36,2)</f>
        <v/>
      </c>
      <c r="K36" s="175" t="n"/>
    </row>
    <row r="37" ht="31.5" customHeight="1" s="176">
      <c r="A37" s="217" t="n">
        <v>23</v>
      </c>
      <c r="B37" s="191" t="n"/>
      <c r="C37" s="218" t="inlineStr">
        <is>
          <t>91.01.05-084</t>
        </is>
      </c>
      <c r="D37" s="218" t="inlineStr">
        <is>
          <t>Экскаваторы одноковшовые дизельные на гусеничном ходу, емкость ковша 0,4 м3</t>
        </is>
      </c>
      <c r="E37" s="217" t="inlineStr">
        <is>
          <t>маш.час</t>
        </is>
      </c>
      <c r="F37" s="217" t="n">
        <v>2.73856</v>
      </c>
      <c r="G37" s="188" t="n">
        <v>54.81</v>
      </c>
      <c r="H37" s="188">
        <f>ROUND(F37*G37,2)</f>
        <v/>
      </c>
      <c r="K37" s="175" t="n"/>
    </row>
    <row r="38" ht="47.25" customHeight="1" s="176">
      <c r="A38" s="217" t="n">
        <v>24</v>
      </c>
      <c r="B38" s="191" t="n"/>
      <c r="C38" s="218" t="inlineStr">
        <is>
          <t>91.06.05-057</t>
        </is>
      </c>
      <c r="D38" s="218" t="inlineStr">
        <is>
          <t>Погрузчики одноковшовые универсальные фронтальные пневмоколесные, грузоподъемность 3 т</t>
        </is>
      </c>
      <c r="E38" s="217" t="inlineStr">
        <is>
          <t>маш.час</t>
        </is>
      </c>
      <c r="F38" s="217" t="n">
        <v>1.6485</v>
      </c>
      <c r="G38" s="188" t="n">
        <v>90.40000000000001</v>
      </c>
      <c r="H38" s="188">
        <f>ROUND(F38*G38,2)</f>
        <v/>
      </c>
      <c r="K38" s="175" t="n"/>
    </row>
    <row r="39">
      <c r="A39" s="217" t="n">
        <v>25</v>
      </c>
      <c r="B39" s="191" t="n"/>
      <c r="C39" s="218" t="inlineStr">
        <is>
          <t>91.05.01-025</t>
        </is>
      </c>
      <c r="D39" s="218" t="inlineStr">
        <is>
          <t>Краны башенные, грузоподъемность 25-75 т</t>
        </is>
      </c>
      <c r="E39" s="217" t="inlineStr">
        <is>
          <t>маш.час</t>
        </is>
      </c>
      <c r="F39" s="217" t="n">
        <v>0.1904</v>
      </c>
      <c r="G39" s="188" t="n">
        <v>312.21</v>
      </c>
      <c r="H39" s="188">
        <f>ROUND(F39*G39,2)</f>
        <v/>
      </c>
      <c r="K39" s="175" t="n"/>
    </row>
    <row r="40">
      <c r="A40" s="217" t="n">
        <v>26</v>
      </c>
      <c r="B40" s="191" t="n"/>
      <c r="C40" s="218" t="inlineStr">
        <is>
          <t>91.05.02-005</t>
        </is>
      </c>
      <c r="D40" s="218" t="inlineStr">
        <is>
          <t>Краны козловые, грузоподъемность 32 т</t>
        </is>
      </c>
      <c r="E40" s="217" t="inlineStr">
        <is>
          <t>маш.час</t>
        </is>
      </c>
      <c r="F40" s="217" t="n">
        <v>0.47502</v>
      </c>
      <c r="G40" s="188" t="n">
        <v>120.24</v>
      </c>
      <c r="H40" s="188">
        <f>ROUND(F40*G40,2)</f>
        <v/>
      </c>
      <c r="K40" s="175" t="n"/>
    </row>
    <row r="41">
      <c r="A41" s="217" t="n">
        <v>27</v>
      </c>
      <c r="B41" s="191" t="n"/>
      <c r="C41" s="218" t="inlineStr">
        <is>
          <t>91.01.01-034</t>
        </is>
      </c>
      <c r="D41" s="218" t="inlineStr">
        <is>
          <t>Бульдозеры, мощность 59 кВт (80 л.с.)</t>
        </is>
      </c>
      <c r="E41" s="217" t="inlineStr">
        <is>
          <t>маш.час</t>
        </is>
      </c>
      <c r="F41" s="217" t="n">
        <v>0.9152</v>
      </c>
      <c r="G41" s="188" t="n">
        <v>59.47</v>
      </c>
      <c r="H41" s="188">
        <f>ROUND(F41*G41,2)</f>
        <v/>
      </c>
      <c r="K41" s="175" t="n"/>
    </row>
    <row r="42" ht="31.5" customHeight="1" s="176">
      <c r="A42" s="217" t="n">
        <v>28</v>
      </c>
      <c r="B42" s="191" t="n"/>
      <c r="C42" s="218" t="inlineStr">
        <is>
          <t>91.08.09-024</t>
        </is>
      </c>
      <c r="D42" s="218" t="inlineStr">
        <is>
          <t>Трамбовки пневматические при работе от стационарного компрессора</t>
        </is>
      </c>
      <c r="E42" s="217" t="inlineStr">
        <is>
          <t>маш.час</t>
        </is>
      </c>
      <c r="F42" s="217" t="n">
        <v>8.9436</v>
      </c>
      <c r="G42" s="188" t="n">
        <v>4.91</v>
      </c>
      <c r="H42" s="188">
        <f>ROUND(F42*G42,2)</f>
        <v/>
      </c>
      <c r="K42" s="175" t="n"/>
    </row>
    <row r="43" ht="63" customHeight="1" s="176">
      <c r="A43" s="217" t="n">
        <v>29</v>
      </c>
      <c r="B43" s="191" t="n"/>
      <c r="C43" s="218" t="inlineStr">
        <is>
          <t>91.10.09-012</t>
        </is>
      </c>
      <c r="D43" s="218" t="inlineStr">
        <is>
          <t>Установки для гидравлических испытаний трубопроводов, давление нагнетания низкое 0,1 МПа (1 кгс/см2), высокое 10 МПа (100 кгс/см2) при работе от передвижных электростанций</t>
        </is>
      </c>
      <c r="E43" s="217" t="inlineStr">
        <is>
          <t>маш.час</t>
        </is>
      </c>
      <c r="F43" s="217" t="n">
        <v>1.44</v>
      </c>
      <c r="G43" s="188" t="n">
        <v>26.32</v>
      </c>
      <c r="H43" s="188">
        <f>ROUND(F43*G43,2)</f>
        <v/>
      </c>
      <c r="K43" s="175" t="n"/>
    </row>
    <row r="44" ht="31.5" customHeight="1" s="176">
      <c r="A44" s="217" t="n">
        <v>30</v>
      </c>
      <c r="B44" s="191" t="n"/>
      <c r="C44" s="218" t="inlineStr">
        <is>
          <t>91.05.06-012</t>
        </is>
      </c>
      <c r="D44" s="218" t="inlineStr">
        <is>
          <t>Краны на гусеничном ходу, грузоподъемность до 16 т</t>
        </is>
      </c>
      <c r="E44" s="217" t="inlineStr">
        <is>
          <t>маш.час</t>
        </is>
      </c>
      <c r="F44" s="217" t="n">
        <v>0.3597</v>
      </c>
      <c r="G44" s="188" t="n">
        <v>96.89</v>
      </c>
      <c r="H44" s="188">
        <f>ROUND(F44*G44,2)</f>
        <v/>
      </c>
      <c r="K44" s="175" t="n"/>
    </row>
    <row r="45" ht="31.5" customHeight="1" s="176">
      <c r="A45" s="217" t="n">
        <v>31</v>
      </c>
      <c r="B45" s="191" t="n"/>
      <c r="C45" s="218" t="inlineStr">
        <is>
          <t>91.06.03-061</t>
        </is>
      </c>
      <c r="D45" s="218" t="inlineStr">
        <is>
          <t>Лебедки электрические тяговым усилием до 12,26 кН (1,25 т)</t>
        </is>
      </c>
      <c r="E45" s="217" t="inlineStr">
        <is>
          <t>маш.час</t>
        </is>
      </c>
      <c r="F45" s="217" t="n">
        <v>10.1734</v>
      </c>
      <c r="G45" s="188" t="n">
        <v>3.28</v>
      </c>
      <c r="H45" s="188">
        <f>ROUND(F45*G45,2)</f>
        <v/>
      </c>
      <c r="K45" s="175" t="n"/>
    </row>
    <row r="46" ht="47.25" customHeight="1" s="176">
      <c r="A46" s="217" t="n">
        <v>32</v>
      </c>
      <c r="B46" s="191" t="n"/>
      <c r="C46" s="218" t="inlineStr">
        <is>
          <t>91.21.01-012</t>
        </is>
      </c>
      <c r="D46" s="218" t="inlineStr">
        <is>
          <t>Агрегаты окрасочные высокого давления для окраски поверхностей конструкций, мощность 1 кВт</t>
        </is>
      </c>
      <c r="E46" s="217" t="inlineStr">
        <is>
          <t>маш.час</t>
        </is>
      </c>
      <c r="F46" s="217" t="n">
        <v>3.3984</v>
      </c>
      <c r="G46" s="188" t="n">
        <v>6.82</v>
      </c>
      <c r="H46" s="188">
        <f>ROUND(F46*G46,2)</f>
        <v/>
      </c>
      <c r="K46" s="175" t="n"/>
    </row>
    <row r="47" ht="31.5" customHeight="1" s="176">
      <c r="A47" s="217" t="n">
        <v>33</v>
      </c>
      <c r="B47" s="191" t="n"/>
      <c r="C47" s="218" t="inlineStr">
        <is>
          <t>91.08.09-001</t>
        </is>
      </c>
      <c r="D47" s="218" t="inlineStr">
        <is>
          <t>Виброплиты с двигателем внутреннего сгорания</t>
        </is>
      </c>
      <c r="E47" s="217" t="inlineStr">
        <is>
          <t>маш.час</t>
        </is>
      </c>
      <c r="F47" s="217" t="n">
        <v>0.233046</v>
      </c>
      <c r="G47" s="188" t="n">
        <v>60</v>
      </c>
      <c r="H47" s="188">
        <f>ROUND(F47*G47,2)</f>
        <v/>
      </c>
      <c r="K47" s="175" t="n"/>
    </row>
    <row r="48">
      <c r="A48" s="217" t="n">
        <v>34</v>
      </c>
      <c r="B48" s="191" t="n"/>
      <c r="C48" s="218" t="inlineStr">
        <is>
          <t>91.07.04-001</t>
        </is>
      </c>
      <c r="D48" s="218" t="inlineStr">
        <is>
          <t>Вибраторы глубинные</t>
        </is>
      </c>
      <c r="E48" s="217" t="inlineStr">
        <is>
          <t>маш.час</t>
        </is>
      </c>
      <c r="F48" s="217" t="n">
        <v>6.4233</v>
      </c>
      <c r="G48" s="188" t="n">
        <v>1.9</v>
      </c>
      <c r="H48" s="188">
        <f>ROUND(F48*G48,2)</f>
        <v/>
      </c>
      <c r="K48" s="175" t="n"/>
    </row>
    <row r="49">
      <c r="A49" s="217" t="n">
        <v>35</v>
      </c>
      <c r="B49" s="191" t="n"/>
      <c r="C49" s="218" t="inlineStr">
        <is>
          <t>91.06.05-011</t>
        </is>
      </c>
      <c r="D49" s="218" t="inlineStr">
        <is>
          <t>Погрузчики, грузоподъемность 5 т</t>
        </is>
      </c>
      <c r="E49" s="217" t="inlineStr">
        <is>
          <t>маш.час</t>
        </is>
      </c>
      <c r="F49" s="217" t="n">
        <v>0.103887</v>
      </c>
      <c r="G49" s="188" t="n">
        <v>89.98999999999999</v>
      </c>
      <c r="H49" s="188">
        <f>ROUND(F49*G49,2)</f>
        <v/>
      </c>
      <c r="K49" s="175" t="n"/>
    </row>
    <row r="50" ht="31.5" customHeight="1" s="176">
      <c r="A50" s="217" t="n">
        <v>36</v>
      </c>
      <c r="B50" s="191" t="n"/>
      <c r="C50" s="218" t="inlineStr">
        <is>
          <t>91.06.01-003</t>
        </is>
      </c>
      <c r="D50" s="218" t="inlineStr">
        <is>
          <t>Домкраты гидравлические, грузоподъемность 63-100 т</t>
        </is>
      </c>
      <c r="E50" s="217" t="inlineStr">
        <is>
          <t>маш.час</t>
        </is>
      </c>
      <c r="F50" s="217" t="n">
        <v>10.23016</v>
      </c>
      <c r="G50" s="188" t="n">
        <v>0.9</v>
      </c>
      <c r="H50" s="188">
        <f>ROUND(F50*G50,2)</f>
        <v/>
      </c>
      <c r="K50" s="175" t="n"/>
    </row>
    <row r="51" ht="31.5" customHeight="1" s="176">
      <c r="A51" s="217" t="n">
        <v>37</v>
      </c>
      <c r="B51" s="191" t="n"/>
      <c r="C51" s="218" t="inlineStr">
        <is>
          <t>91.17.04-171</t>
        </is>
      </c>
      <c r="D51" s="218" t="inlineStr">
        <is>
          <t>Преобразователи сварочные номинальным сварочным током 315-500 А</t>
        </is>
      </c>
      <c r="E51" s="217" t="inlineStr">
        <is>
          <t>маш.час</t>
        </is>
      </c>
      <c r="F51" s="217" t="n">
        <v>0.70134</v>
      </c>
      <c r="G51" s="188" t="n">
        <v>12.31</v>
      </c>
      <c r="H51" s="188">
        <f>ROUND(F51*G51,2)</f>
        <v/>
      </c>
      <c r="K51" s="175" t="n"/>
    </row>
    <row r="52">
      <c r="A52" s="217" t="n">
        <v>38</v>
      </c>
      <c r="B52" s="191" t="n"/>
      <c r="C52" s="218" t="inlineStr">
        <is>
          <t>91.21.16-012</t>
        </is>
      </c>
      <c r="D52" s="218" t="inlineStr">
        <is>
          <t>Прессы гидравлические с электроприводом</t>
        </is>
      </c>
      <c r="E52" s="217" t="inlineStr">
        <is>
          <t>маш.час</t>
        </is>
      </c>
      <c r="F52" s="217" t="n">
        <v>7.5888</v>
      </c>
      <c r="G52" s="188" t="n">
        <v>1.11</v>
      </c>
      <c r="H52" s="188">
        <f>ROUND(F52*G52,2)</f>
        <v/>
      </c>
      <c r="K52" s="175" t="n"/>
    </row>
    <row r="53">
      <c r="A53" s="217" t="n">
        <v>39</v>
      </c>
      <c r="B53" s="191" t="n"/>
      <c r="C53" s="218" t="inlineStr">
        <is>
          <t>91.08.04-021</t>
        </is>
      </c>
      <c r="D53" s="218" t="inlineStr">
        <is>
          <t>Котлы битумные передвижные 400 л</t>
        </is>
      </c>
      <c r="E53" s="217" t="inlineStr">
        <is>
          <t>маш.час</t>
        </is>
      </c>
      <c r="F53" s="217" t="n">
        <v>0.27208</v>
      </c>
      <c r="G53" s="188" t="n">
        <v>30</v>
      </c>
      <c r="H53" s="188">
        <f>ROUND(F53*G53,2)</f>
        <v/>
      </c>
      <c r="K53" s="175" t="n"/>
    </row>
    <row r="54">
      <c r="A54" s="217" t="n">
        <v>40</v>
      </c>
      <c r="B54" s="191" t="n"/>
      <c r="C54" s="218" t="inlineStr">
        <is>
          <t>91.16.01-002</t>
        </is>
      </c>
      <c r="D54" s="218" t="inlineStr">
        <is>
          <t>Электростанции передвижные, мощность 4 кВт</t>
        </is>
      </c>
      <c r="E54" s="217" t="inlineStr">
        <is>
          <t>маш.час</t>
        </is>
      </c>
      <c r="F54" s="217" t="n">
        <v>0.16704</v>
      </c>
      <c r="G54" s="188" t="n">
        <v>27.11</v>
      </c>
      <c r="H54" s="188">
        <f>ROUND(F54*G54,2)</f>
        <v/>
      </c>
      <c r="K54" s="175" t="n"/>
    </row>
    <row r="55">
      <c r="A55" s="217" t="n">
        <v>41</v>
      </c>
      <c r="B55" s="191" t="n"/>
      <c r="C55" s="218" t="inlineStr">
        <is>
          <t>91.17.04-042</t>
        </is>
      </c>
      <c r="D55" s="218" t="inlineStr">
        <is>
          <t>Аппараты для газовой сварки и резки</t>
        </is>
      </c>
      <c r="E55" s="217" t="inlineStr">
        <is>
          <t>маш.час</t>
        </is>
      </c>
      <c r="F55" s="217" t="n">
        <v>3.37728</v>
      </c>
      <c r="G55" s="188" t="n">
        <v>1.2</v>
      </c>
      <c r="H55" s="188">
        <f>ROUND(F55*G55,2)</f>
        <v/>
      </c>
      <c r="K55" s="175" t="n"/>
    </row>
    <row r="56">
      <c r="A56" s="217" t="n">
        <v>42</v>
      </c>
      <c r="B56" s="191" t="n"/>
      <c r="C56" s="218" t="inlineStr">
        <is>
          <t>91.08.02-001</t>
        </is>
      </c>
      <c r="D56" s="218" t="inlineStr">
        <is>
          <t>Автогудронаторы, емкость цистерны 3500 л</t>
        </is>
      </c>
      <c r="E56" s="217" t="inlineStr">
        <is>
          <t>маш.час</t>
        </is>
      </c>
      <c r="F56" s="217" t="n">
        <v>0.033</v>
      </c>
      <c r="G56" s="188" t="n">
        <v>118.47</v>
      </c>
      <c r="H56" s="188">
        <f>ROUND(F56*G56,2)</f>
        <v/>
      </c>
      <c r="K56" s="175" t="n"/>
    </row>
    <row r="57" ht="31.5" customHeight="1" s="176">
      <c r="A57" s="217" t="n">
        <v>43</v>
      </c>
      <c r="B57" s="191" t="n"/>
      <c r="C57" s="218" t="inlineStr">
        <is>
          <t>91.06.03-055</t>
        </is>
      </c>
      <c r="D57" s="218" t="inlineStr">
        <is>
          <t>Лебедки электрические тяговым усилием 19,62 кН (2 т)</t>
        </is>
      </c>
      <c r="E57" s="217" t="inlineStr">
        <is>
          <t>маш.час</t>
        </is>
      </c>
      <c r="F57" s="217" t="n">
        <v>0.032</v>
      </c>
      <c r="G57" s="188" t="n">
        <v>6.66</v>
      </c>
      <c r="H57" s="188">
        <f>ROUND(F57*G57,2)</f>
        <v/>
      </c>
      <c r="K57" s="175" t="n"/>
    </row>
    <row r="58" ht="31.5" customHeight="1" s="176">
      <c r="A58" s="217" t="n">
        <v>44</v>
      </c>
      <c r="B58" s="191" t="n"/>
      <c r="C58" s="218" t="inlineStr">
        <is>
          <t>91.06.03-060</t>
        </is>
      </c>
      <c r="D58" s="218" t="inlineStr">
        <is>
          <t>Лебедки электрические тяговым усилием до 5,79 кН (0,59 т)</t>
        </is>
      </c>
      <c r="E58" s="217" t="inlineStr">
        <is>
          <t>маш.час</t>
        </is>
      </c>
      <c r="F58" s="217" t="n">
        <v>0.0384</v>
      </c>
      <c r="G58" s="188" t="n">
        <v>1.7</v>
      </c>
      <c r="H58" s="188">
        <f>ROUND(F58*G58,2)</f>
        <v/>
      </c>
      <c r="K58" s="175" t="n"/>
    </row>
    <row r="59">
      <c r="A59" s="217" t="n">
        <v>45</v>
      </c>
      <c r="B59" s="191" t="n"/>
      <c r="C59" s="218" t="inlineStr">
        <is>
          <t>91.07.04-002</t>
        </is>
      </c>
      <c r="D59" s="218" t="inlineStr">
        <is>
          <t>Вибраторы поверхностные</t>
        </is>
      </c>
      <c r="E59" s="217" t="inlineStr">
        <is>
          <t>маш.час</t>
        </is>
      </c>
      <c r="F59" s="217" t="n">
        <v>0.058114</v>
      </c>
      <c r="G59" s="188" t="n">
        <v>0.5</v>
      </c>
      <c r="H59" s="188">
        <f>ROUND(F59*G59,2)</f>
        <v/>
      </c>
      <c r="K59" s="175" t="n"/>
    </row>
    <row r="60">
      <c r="A60" s="216" t="inlineStr">
        <is>
          <t>Оборудование</t>
        </is>
      </c>
      <c r="B60" s="247" t="n"/>
      <c r="C60" s="247" t="n"/>
      <c r="D60" s="247" t="n"/>
      <c r="E60" s="248" t="n"/>
      <c r="F60" s="216" t="n"/>
      <c r="G60" s="182" t="n"/>
      <c r="H60" s="182">
        <f>SUM(H61:H61)</f>
        <v/>
      </c>
      <c r="J60" s="193" t="n"/>
    </row>
    <row r="61">
      <c r="A61" s="217" t="n">
        <v>46</v>
      </c>
      <c r="B61" s="191" t="n"/>
      <c r="C61" s="218" t="inlineStr">
        <is>
          <t>Прайс из СД ОП</t>
        </is>
      </c>
      <c r="D61" s="218" t="inlineStr">
        <is>
          <t>БКТП</t>
        </is>
      </c>
      <c r="E61" s="217" t="inlineStr">
        <is>
          <t>шт</t>
        </is>
      </c>
      <c r="F61" s="217" t="n">
        <v>1</v>
      </c>
      <c r="G61" s="188" t="n">
        <v>78274.75999999999</v>
      </c>
      <c r="H61" s="188">
        <f>ROUND(F61*G61,2)</f>
        <v/>
      </c>
    </row>
    <row r="62">
      <c r="A62" s="216" t="inlineStr">
        <is>
          <t>Материалы</t>
        </is>
      </c>
      <c r="B62" s="247" t="n"/>
      <c r="C62" s="247" t="n"/>
      <c r="D62" s="247" t="n"/>
      <c r="E62" s="248" t="n"/>
      <c r="F62" s="216" t="n"/>
      <c r="G62" s="182" t="n"/>
      <c r="H62" s="182">
        <f>SUM(H63:H129)</f>
        <v/>
      </c>
      <c r="J62" s="193" t="n"/>
    </row>
    <row r="63" ht="78.75" customHeight="1" s="176">
      <c r="A63" s="217" t="n">
        <v>47</v>
      </c>
      <c r="B63" s="194" t="n"/>
      <c r="C63" s="218" t="inlineStr">
        <is>
          <t>07.2.07.13-0001</t>
        </is>
      </c>
      <c r="D63" s="218" t="inlineStr">
        <is>
          <t>Балка (наклонная горка) из стали угловой 250х16 мм, стали листовой толщиной 8 и 14 мм, труб профильных 180х8, 120х7, 100х7, 80х7, 150х7 и 120х160х9 мм, огрунтованная ГФ-021 и окрашенная эмалью ПФ-115 за два раза</t>
        </is>
      </c>
      <c r="E63" s="217" t="inlineStr">
        <is>
          <t>т</t>
        </is>
      </c>
      <c r="F63" s="217" t="n">
        <v>3.185</v>
      </c>
      <c r="G63" s="188" t="n">
        <v>9634.48</v>
      </c>
      <c r="H63" s="188">
        <f>ROUND(F63*G63,2)</f>
        <v/>
      </c>
    </row>
    <row r="64">
      <c r="A64" s="217" t="n">
        <v>48</v>
      </c>
      <c r="B64" s="194" t="n"/>
      <c r="C64" s="218" t="inlineStr">
        <is>
          <t>08.4.01.02-0001</t>
        </is>
      </c>
      <c r="D64" s="218" t="inlineStr">
        <is>
          <t>Детали закладные, вес до 1 кг</t>
        </is>
      </c>
      <c r="E64" s="217" t="inlineStr">
        <is>
          <t>т</t>
        </is>
      </c>
      <c r="F64" s="217" t="n">
        <v>1.278</v>
      </c>
      <c r="G64" s="188" t="n">
        <v>11684</v>
      </c>
      <c r="H64" s="188">
        <f>ROUND(F64*G64,2)</f>
        <v/>
      </c>
    </row>
    <row r="65" ht="31.5" customHeight="1" s="176">
      <c r="A65" s="217" t="n">
        <v>49</v>
      </c>
      <c r="B65" s="194" t="n"/>
      <c r="C65" s="218" t="inlineStr">
        <is>
          <t>08.4.03.04-0001</t>
        </is>
      </c>
      <c r="D65" s="218" t="inlineStr">
        <is>
          <t>Сталь арматурная, горячекатаная, класс А-I, А-II, А-III</t>
        </is>
      </c>
      <c r="E65" s="217" t="inlineStr">
        <is>
          <t>т</t>
        </is>
      </c>
      <c r="F65" s="217" t="n">
        <v>1.214</v>
      </c>
      <c r="G65" s="188" t="n">
        <v>5650</v>
      </c>
      <c r="H65" s="188">
        <f>ROUND(F65*G65,2)</f>
        <v/>
      </c>
    </row>
    <row r="66" ht="31.5" customHeight="1" s="176">
      <c r="A66" s="217" t="n">
        <v>50</v>
      </c>
      <c r="B66" s="194" t="n"/>
      <c r="C66" s="218" t="inlineStr">
        <is>
          <t>04.1.02.01-0001</t>
        </is>
      </c>
      <c r="D66" s="218" t="inlineStr">
        <is>
          <t>Смеси бетонные мелкозернистого бетона (БСМ), класс B3,5 (М50)</t>
        </is>
      </c>
      <c r="E66" s="217" t="inlineStr">
        <is>
          <t>м3</t>
        </is>
      </c>
      <c r="F66" s="217" t="n">
        <v>12.18</v>
      </c>
      <c r="G66" s="188" t="n">
        <v>413.87</v>
      </c>
      <c r="H66" s="188">
        <f>ROUND(F66*G66,2)</f>
        <v/>
      </c>
    </row>
    <row r="67" ht="15" customHeight="1" s="176">
      <c r="A67" s="217" t="n">
        <v>51</v>
      </c>
      <c r="B67" s="194" t="n"/>
      <c r="C67" s="218" t="inlineStr">
        <is>
          <t>08.4.03.03-0031</t>
        </is>
      </c>
      <c r="D67" s="218" t="inlineStr">
        <is>
          <t>Сталь арматурная, горячекатаная, периодического профиля, класс А-III, диаметр 10 мм</t>
        </is>
      </c>
      <c r="E67" s="217" t="inlineStr">
        <is>
          <t>т</t>
        </is>
      </c>
      <c r="F67" s="217" t="n">
        <v>0.595</v>
      </c>
      <c r="G67" s="188" t="n">
        <v>8014.15</v>
      </c>
      <c r="H67" s="188">
        <f>ROUND(F67*G67,2)</f>
        <v/>
      </c>
    </row>
    <row r="68">
      <c r="A68" s="217" t="n">
        <v>52</v>
      </c>
      <c r="B68" s="194" t="n"/>
      <c r="C68" s="218" t="inlineStr">
        <is>
          <t>07.2.07.13-0012</t>
        </is>
      </c>
      <c r="D68" s="218" t="inlineStr">
        <is>
          <t>Балки промежуточные</t>
        </is>
      </c>
      <c r="E68" s="217" t="inlineStr">
        <is>
          <t>т</t>
        </is>
      </c>
      <c r="F68" s="217" t="n">
        <v>0.28</v>
      </c>
      <c r="G68" s="188" t="n">
        <v>11425.09</v>
      </c>
      <c r="H68" s="188">
        <f>ROUND(F68*G68,2)</f>
        <v/>
      </c>
    </row>
    <row r="69" ht="47.25" customHeight="1" s="176">
      <c r="A69" s="217" t="n">
        <v>53</v>
      </c>
      <c r="B69" s="194" t="n"/>
      <c r="C69" s="218" t="inlineStr">
        <is>
          <t>02.3.01.02-0016</t>
        </is>
      </c>
      <c r="D69" s="218" t="inlineStr">
        <is>
          <t>Песок природный для строительных: работ средний с крупностью зерен размером свыше 5 мм - до 5% по массе</t>
        </is>
      </c>
      <c r="E69" s="217" t="inlineStr">
        <is>
          <t>м3</t>
        </is>
      </c>
      <c r="F69" s="217" t="n">
        <v>36.96</v>
      </c>
      <c r="G69" s="188" t="n">
        <v>55.26</v>
      </c>
      <c r="H69" s="188">
        <f>ROUND(F69*G69,2)</f>
        <v/>
      </c>
    </row>
    <row r="70" ht="15" customHeight="1" s="176">
      <c r="A70" s="217" t="n">
        <v>54</v>
      </c>
      <c r="B70" s="194" t="n"/>
      <c r="C70" s="218" t="inlineStr">
        <is>
          <t>25.1.01.04-0031</t>
        </is>
      </c>
      <c r="D70" s="218" t="inlineStr">
        <is>
          <t>Шпалы непропитанные для железных дорог, тип I</t>
        </is>
      </c>
      <c r="E70" s="217" t="inlineStr">
        <is>
          <t>шт</t>
        </is>
      </c>
      <c r="F70" s="217" t="n">
        <v>7</v>
      </c>
      <c r="G70" s="188" t="n">
        <v>266.67</v>
      </c>
      <c r="H70" s="188">
        <f>ROUND(F70*G70,2)</f>
        <v/>
      </c>
    </row>
    <row r="71" ht="31.5" customHeight="1" s="176">
      <c r="A71" s="217" t="n">
        <v>55</v>
      </c>
      <c r="B71" s="194" t="n"/>
      <c r="C71" s="218" t="inlineStr">
        <is>
          <t>14.4.02.09-0301</t>
        </is>
      </c>
      <c r="D71" s="218" t="inlineStr">
        <is>
          <t>Композиция антикоррозионная цинкнаполненная</t>
        </is>
      </c>
      <c r="E71" s="217" t="inlineStr">
        <is>
          <t>кг</t>
        </is>
      </c>
      <c r="F71" s="217" t="n">
        <v>6.537</v>
      </c>
      <c r="G71" s="188" t="n">
        <v>238.48</v>
      </c>
      <c r="H71" s="188">
        <f>ROUND(F71*G71,2)</f>
        <v/>
      </c>
    </row>
    <row r="72">
      <c r="A72" s="217" t="n">
        <v>56</v>
      </c>
      <c r="B72" s="194" t="n"/>
      <c r="C72" s="218" t="inlineStr">
        <is>
          <t>02.2.05.04-1777</t>
        </is>
      </c>
      <c r="D72" s="218" t="inlineStr">
        <is>
          <t>Щебень М 800, фракция 20-40 мм, группа 2</t>
        </is>
      </c>
      <c r="E72" s="217" t="inlineStr">
        <is>
          <t>м3</t>
        </is>
      </c>
      <c r="F72" s="217" t="n">
        <v>14.212816</v>
      </c>
      <c r="G72" s="188" t="n">
        <v>108.4</v>
      </c>
      <c r="H72" s="188">
        <f>ROUND(F72*G72,2)</f>
        <v/>
      </c>
    </row>
    <row r="73">
      <c r="A73" s="217" t="n">
        <v>57</v>
      </c>
      <c r="B73" s="194" t="n"/>
      <c r="C73" s="218" t="inlineStr">
        <is>
          <t>07.2.07.13-0171</t>
        </is>
      </c>
      <c r="D73" s="218" t="inlineStr">
        <is>
          <t>Подкладки металлические</t>
        </is>
      </c>
      <c r="E73" s="217" t="inlineStr">
        <is>
          <t>кг</t>
        </is>
      </c>
      <c r="F73" s="217" t="n">
        <v>122</v>
      </c>
      <c r="G73" s="188" t="n">
        <v>12.6</v>
      </c>
      <c r="H73" s="188">
        <f>ROUND(F73*G73,2)</f>
        <v/>
      </c>
    </row>
    <row r="74" ht="31.5" customHeight="1" s="176">
      <c r="A74" s="217" t="n">
        <v>58</v>
      </c>
      <c r="B74" s="194" t="n"/>
      <c r="C74" s="218" t="inlineStr">
        <is>
          <t>04.3.01.09-0023</t>
        </is>
      </c>
      <c r="D74" s="218" t="inlineStr">
        <is>
          <t>Раствор отделочный тяжелый цементный, состав 1:3</t>
        </is>
      </c>
      <c r="E74" s="217" t="inlineStr">
        <is>
          <t>м3</t>
        </is>
      </c>
      <c r="F74" s="217" t="n">
        <v>2.38875</v>
      </c>
      <c r="G74" s="188" t="n">
        <v>497</v>
      </c>
      <c r="H74" s="188">
        <f>ROUND(F74*G74,2)</f>
        <v/>
      </c>
    </row>
    <row r="75">
      <c r="A75" s="217" t="n">
        <v>59</v>
      </c>
      <c r="B75" s="194" t="n"/>
      <c r="C75" s="218" t="inlineStr">
        <is>
          <t>08.1.02.11-0001</t>
        </is>
      </c>
      <c r="D75" s="218" t="inlineStr">
        <is>
          <t>Поковки из квадратных заготовок, масса 1,8 кг</t>
        </is>
      </c>
      <c r="E75" s="217" t="inlineStr">
        <is>
          <t>т</t>
        </is>
      </c>
      <c r="F75" s="217" t="n">
        <v>0.1911</v>
      </c>
      <c r="G75" s="188" t="n">
        <v>5989</v>
      </c>
      <c r="H75" s="188">
        <f>ROUND(F75*G75,2)</f>
        <v/>
      </c>
    </row>
    <row r="76" ht="31.5" customHeight="1" s="176">
      <c r="A76" s="217" t="n">
        <v>60</v>
      </c>
      <c r="B76" s="194" t="n"/>
      <c r="C76" s="218" t="inlineStr">
        <is>
          <t>07.5.01.02-0041</t>
        </is>
      </c>
      <c r="D76" s="218" t="inlineStr">
        <is>
          <t>Лестницы приставные и прислоненные с ограждениями</t>
        </is>
      </c>
      <c r="E76" s="217" t="inlineStr">
        <is>
          <t>т</t>
        </is>
      </c>
      <c r="F76" s="217" t="n">
        <v>0.066</v>
      </c>
      <c r="G76" s="188" t="n">
        <v>10071.87</v>
      </c>
      <c r="H76" s="188">
        <f>ROUND(F76*G76,2)</f>
        <v/>
      </c>
      <c r="I76" s="183" t="n"/>
      <c r="J76" s="183" t="n"/>
    </row>
    <row r="77" ht="31.5" customHeight="1" s="176">
      <c r="A77" s="217" t="n">
        <v>61</v>
      </c>
      <c r="B77" s="194" t="n"/>
      <c r="C77" s="218" t="inlineStr">
        <is>
          <t>01.2.03.03-0065</t>
        </is>
      </c>
      <c r="D77" s="218" t="inlineStr">
        <is>
          <t>Мастика битумно-резиновая: МБР-90 изолирующая (ГОСТ 15836-79)</t>
        </is>
      </c>
      <c r="E77" s="217" t="inlineStr">
        <is>
          <t>т</t>
        </is>
      </c>
      <c r="F77" s="217" t="n">
        <v>0.06</v>
      </c>
      <c r="G77" s="188" t="n">
        <v>10309.24</v>
      </c>
      <c r="H77" s="188">
        <f>ROUND(F77*G77,2)</f>
        <v/>
      </c>
      <c r="I77" s="183" t="n"/>
      <c r="J77" s="183" t="n"/>
    </row>
    <row r="78">
      <c r="A78" s="217" t="n">
        <v>62</v>
      </c>
      <c r="B78" s="194" t="n"/>
      <c r="C78" s="218" t="inlineStr">
        <is>
          <t>11.2.13.04-0011</t>
        </is>
      </c>
      <c r="D78" s="218" t="inlineStr">
        <is>
          <t>Щиты из досок, толщина 25 мм</t>
        </is>
      </c>
      <c r="E78" s="217" t="inlineStr">
        <is>
          <t>м2</t>
        </is>
      </c>
      <c r="F78" s="217" t="n">
        <v>12.36</v>
      </c>
      <c r="G78" s="188" t="n">
        <v>35.53</v>
      </c>
      <c r="H78" s="188">
        <f>ROUND(F78*G78,2)</f>
        <v/>
      </c>
      <c r="I78" s="183" t="n"/>
      <c r="J78" s="183" t="n"/>
    </row>
    <row r="79">
      <c r="A79" s="217" t="n">
        <v>63</v>
      </c>
      <c r="B79" s="194" t="n"/>
      <c r="C79" s="218" t="inlineStr">
        <is>
          <t>01.7.07.12-0021</t>
        </is>
      </c>
      <c r="D79" s="218" t="inlineStr">
        <is>
          <t>Пленка полиэтиленовая толщиной: 0,2-0,5 мм</t>
        </is>
      </c>
      <c r="E79" s="217" t="inlineStr">
        <is>
          <t>т</t>
        </is>
      </c>
      <c r="F79" s="217" t="n">
        <v>0.0123</v>
      </c>
      <c r="G79" s="188" t="n">
        <v>23500</v>
      </c>
      <c r="H79" s="188">
        <f>ROUND(F79*G79,2)</f>
        <v/>
      </c>
      <c r="I79" s="183" t="n"/>
      <c r="J79" s="183" t="n"/>
    </row>
    <row r="80" ht="47.25" customHeight="1" s="176">
      <c r="A80" s="217" t="n">
        <v>64</v>
      </c>
      <c r="B80" s="194" t="n"/>
      <c r="C80" s="218" t="inlineStr">
        <is>
          <t>11.1.03.06-0095</t>
        </is>
      </c>
      <c r="D80" s="218" t="inlineStr">
        <is>
          <t>Доска обрезная, хвойных пород, ширина 75-150 мм, толщина 44 мм и более, длина 4-6,5 м, сорт III</t>
        </is>
      </c>
      <c r="E80" s="217" t="inlineStr">
        <is>
          <t>м3</t>
        </is>
      </c>
      <c r="F80" s="217" t="n">
        <v>0.268548</v>
      </c>
      <c r="G80" s="188" t="n">
        <v>1056</v>
      </c>
      <c r="H80" s="188">
        <f>ROUND(F80*G80,2)</f>
        <v/>
      </c>
      <c r="I80" s="183" t="n"/>
      <c r="J80" s="183" t="n"/>
    </row>
    <row r="81">
      <c r="A81" s="217" t="n">
        <v>65</v>
      </c>
      <c r="B81" s="194" t="n"/>
      <c r="C81" s="218" t="inlineStr">
        <is>
          <t>14.4.01.01-0003</t>
        </is>
      </c>
      <c r="D81" s="218" t="inlineStr">
        <is>
          <t>Грунтовка ГФ-021</t>
        </is>
      </c>
      <c r="E81" s="217" t="inlineStr">
        <is>
          <t>т</t>
        </is>
      </c>
      <c r="F81" s="217" t="n">
        <v>0.0173873</v>
      </c>
      <c r="G81" s="188" t="n">
        <v>15620</v>
      </c>
      <c r="H81" s="188">
        <f>ROUND(F81*G81,2)</f>
        <v/>
      </c>
      <c r="I81" s="183" t="n"/>
      <c r="J81" s="183" t="n"/>
    </row>
    <row r="82">
      <c r="A82" s="217" t="n">
        <v>66</v>
      </c>
      <c r="B82" s="194" t="n"/>
      <c r="C82" s="218" t="inlineStr">
        <is>
          <t>14.4.04.08-0003</t>
        </is>
      </c>
      <c r="D82" s="218" t="inlineStr">
        <is>
          <t>Эмаль ПФ-115, серая</t>
        </is>
      </c>
      <c r="E82" s="217" t="inlineStr">
        <is>
          <t>т</t>
        </is>
      </c>
      <c r="F82" s="217" t="n">
        <v>0.01728</v>
      </c>
      <c r="G82" s="188" t="n">
        <v>14312.87</v>
      </c>
      <c r="H82" s="188">
        <f>ROUND(F82*G82,2)</f>
        <v/>
      </c>
      <c r="I82" s="183" t="n"/>
      <c r="J82" s="183" t="n"/>
    </row>
    <row r="83">
      <c r="A83" s="217" t="n">
        <v>67</v>
      </c>
      <c r="B83" s="194" t="n"/>
      <c r="C83" s="218" t="inlineStr">
        <is>
          <t>01.7.11.07-0040</t>
        </is>
      </c>
      <c r="D83" s="218" t="inlineStr">
        <is>
          <t>Электроды сварочные Э50А, диаметр 4 мм</t>
        </is>
      </c>
      <c r="E83" s="217" t="inlineStr">
        <is>
          <t>т</t>
        </is>
      </c>
      <c r="F83" s="217" t="n">
        <v>0.021</v>
      </c>
      <c r="G83" s="188" t="n">
        <v>11524</v>
      </c>
      <c r="H83" s="188">
        <f>ROUND(F83*G83,2)</f>
        <v/>
      </c>
      <c r="I83" s="183" t="n"/>
      <c r="J83" s="183" t="n"/>
    </row>
    <row r="84" ht="31.5" customHeight="1" s="176">
      <c r="A84" s="217" t="n">
        <v>68</v>
      </c>
      <c r="B84" s="194" t="n"/>
      <c r="C84" s="218" t="inlineStr">
        <is>
          <t>01.7.19.02-0031</t>
        </is>
      </c>
      <c r="D84" s="218" t="inlineStr">
        <is>
          <t>Кольца резиновые для хризотилцементных напорных муфт САМ</t>
        </is>
      </c>
      <c r="E84" s="217" t="inlineStr">
        <is>
          <t>кг</t>
        </is>
      </c>
      <c r="F84" s="217" t="n">
        <v>7.536</v>
      </c>
      <c r="G84" s="188" t="n">
        <v>28.33</v>
      </c>
      <c r="H84" s="188">
        <f>ROUND(F84*G84,2)</f>
        <v/>
      </c>
      <c r="I84" s="183" t="n"/>
      <c r="J84" s="183" t="n"/>
    </row>
    <row r="85" ht="47.25" customHeight="1" s="176">
      <c r="A85" s="217" t="n">
        <v>69</v>
      </c>
      <c r="B85" s="194" t="n"/>
      <c r="C85" s="218" t="inlineStr">
        <is>
          <t>24.2.06.04-0020</t>
        </is>
      </c>
      <c r="D85" s="218" t="inlineStr">
        <is>
          <t>Муфта хризотилцементная к напорным трубам САМ 9, диаметр условного прохода 150 мм, наружный диаметр муфты 225 мм</t>
        </is>
      </c>
      <c r="E85" s="217" t="inlineStr">
        <is>
          <t>шт</t>
        </is>
      </c>
      <c r="F85" s="217" t="n">
        <v>18</v>
      </c>
      <c r="G85" s="188" t="n">
        <v>11.6</v>
      </c>
      <c r="H85" s="188">
        <f>ROUND(F85*G85,2)</f>
        <v/>
      </c>
      <c r="I85" s="183" t="n"/>
      <c r="J85" s="183" t="n"/>
    </row>
    <row r="86">
      <c r="A86" s="217" t="n">
        <v>70</v>
      </c>
      <c r="B86" s="194" t="n"/>
      <c r="C86" s="218" t="inlineStr">
        <is>
          <t>04.3.01.09-0011</t>
        </is>
      </c>
      <c r="D86" s="218" t="inlineStr">
        <is>
          <t>Раствор готовый кладочный, цементный, М25</t>
        </is>
      </c>
      <c r="E86" s="217" t="inlineStr">
        <is>
          <t>м3</t>
        </is>
      </c>
      <c r="F86" s="217" t="n">
        <v>0.38</v>
      </c>
      <c r="G86" s="188" t="n">
        <v>463.3</v>
      </c>
      <c r="H86" s="188">
        <f>ROUND(F86*G86,2)</f>
        <v/>
      </c>
      <c r="I86" s="183" t="n"/>
      <c r="J86" s="183" t="n"/>
    </row>
    <row r="87">
      <c r="A87" s="217" t="n">
        <v>71</v>
      </c>
      <c r="B87" s="194" t="n"/>
      <c r="C87" s="218" t="inlineStr">
        <is>
          <t>01.7.15.03-0042</t>
        </is>
      </c>
      <c r="D87" s="218" t="inlineStr">
        <is>
          <t>Болты с гайками и шайбами строительные</t>
        </is>
      </c>
      <c r="E87" s="217" t="inlineStr">
        <is>
          <t>кг</t>
        </is>
      </c>
      <c r="F87" s="217" t="n">
        <v>16.1608</v>
      </c>
      <c r="G87" s="188" t="n">
        <v>9.039999999999999</v>
      </c>
      <c r="H87" s="188">
        <f>ROUND(F87*G87,2)</f>
        <v/>
      </c>
      <c r="I87" s="183" t="n"/>
      <c r="J87" s="183" t="n"/>
    </row>
    <row r="88">
      <c r="A88" s="217" t="n">
        <v>72</v>
      </c>
      <c r="B88" s="194" t="n"/>
      <c r="C88" s="218" t="inlineStr">
        <is>
          <t>14.4.03.03-0002</t>
        </is>
      </c>
      <c r="D88" s="218" t="inlineStr">
        <is>
          <t>Лак битумный БТ-123</t>
        </is>
      </c>
      <c r="E88" s="217" t="inlineStr">
        <is>
          <t>т</t>
        </is>
      </c>
      <c r="F88" s="217" t="n">
        <v>0.0181642</v>
      </c>
      <c r="G88" s="188" t="n">
        <v>7826.9</v>
      </c>
      <c r="H88" s="188">
        <f>ROUND(F88*G88,2)</f>
        <v/>
      </c>
      <c r="I88" s="183" t="n"/>
      <c r="J88" s="183" t="n"/>
    </row>
    <row r="89">
      <c r="A89" s="217" t="n">
        <v>73</v>
      </c>
      <c r="B89" s="194" t="n"/>
      <c r="C89" s="218" t="inlineStr">
        <is>
          <t>01.7.11.07-0032</t>
        </is>
      </c>
      <c r="D89" s="218" t="inlineStr">
        <is>
          <t>Электроды сварочные Э42, диаметр 4 мм</t>
        </is>
      </c>
      <c r="E89" s="217" t="inlineStr">
        <is>
          <t>т</t>
        </is>
      </c>
      <c r="F89" s="217" t="n">
        <v>0.0134365</v>
      </c>
      <c r="G89" s="188" t="n">
        <v>10315.01</v>
      </c>
      <c r="H89" s="188">
        <f>ROUND(F89*G89,2)</f>
        <v/>
      </c>
      <c r="I89" s="183" t="n"/>
      <c r="J89" s="183" t="n"/>
    </row>
    <row r="90">
      <c r="A90" s="217" t="n">
        <v>74</v>
      </c>
      <c r="B90" s="194" t="n"/>
      <c r="C90" s="218" t="inlineStr">
        <is>
          <t>01.7.15.06-0111</t>
        </is>
      </c>
      <c r="D90" s="218" t="inlineStr">
        <is>
          <t>Гвозди строительные</t>
        </is>
      </c>
      <c r="E90" s="217" t="inlineStr">
        <is>
          <t>т</t>
        </is>
      </c>
      <c r="F90" s="217" t="n">
        <v>0.0105509</v>
      </c>
      <c r="G90" s="188" t="n">
        <v>11978</v>
      </c>
      <c r="H90" s="188">
        <f>ROUND(F90*G90,2)</f>
        <v/>
      </c>
      <c r="I90" s="183" t="n"/>
      <c r="J90" s="183" t="n"/>
    </row>
    <row r="91">
      <c r="A91" s="217" t="n">
        <v>75</v>
      </c>
      <c r="B91" s="194" t="n"/>
      <c r="C91" s="218" t="inlineStr">
        <is>
          <t>01.2.03.03-0013</t>
        </is>
      </c>
      <c r="D91" s="218" t="inlineStr">
        <is>
          <t>Мастика битумная кровельная горячая</t>
        </is>
      </c>
      <c r="E91" s="217" t="inlineStr">
        <is>
          <t>т</t>
        </is>
      </c>
      <c r="F91" s="217" t="n">
        <v>0.03344</v>
      </c>
      <c r="G91" s="188" t="n">
        <v>3390</v>
      </c>
      <c r="H91" s="188">
        <f>ROUND(F91*G91,2)</f>
        <v/>
      </c>
      <c r="I91" s="183" t="n"/>
      <c r="J91" s="183" t="n"/>
    </row>
    <row r="92">
      <c r="A92" s="217" t="n">
        <v>76</v>
      </c>
      <c r="B92" s="194" t="n"/>
      <c r="C92" s="218" t="inlineStr">
        <is>
          <t>01.3.02.08-0001</t>
        </is>
      </c>
      <c r="D92" s="218" t="inlineStr">
        <is>
          <t>Кислород газообразный технический</t>
        </is>
      </c>
      <c r="E92" s="217" t="inlineStr">
        <is>
          <t>м3</t>
        </is>
      </c>
      <c r="F92" s="217" t="n">
        <v>17.03642</v>
      </c>
      <c r="G92" s="188" t="n">
        <v>6.22</v>
      </c>
      <c r="H92" s="188">
        <f>ROUND(F92*G92,2)</f>
        <v/>
      </c>
      <c r="I92" s="183" t="n"/>
      <c r="J92" s="183" t="n"/>
    </row>
    <row r="93" ht="31.5" customHeight="1" s="176">
      <c r="A93" s="217" t="n">
        <v>77</v>
      </c>
      <c r="B93" s="194" t="n"/>
      <c r="C93" s="218" t="inlineStr">
        <is>
          <t>999-9950</t>
        </is>
      </c>
      <c r="D93" s="218" t="inlineStr">
        <is>
          <t>Вспомогательные ненормируемые ресурсы (2% от Оплаты труда рабочих)</t>
        </is>
      </c>
      <c r="E93" s="217" t="inlineStr">
        <is>
          <t>руб</t>
        </is>
      </c>
      <c r="F93" s="217" t="n">
        <v>97.8943</v>
      </c>
      <c r="G93" s="188" t="n">
        <v>1</v>
      </c>
      <c r="H93" s="188">
        <f>ROUND(F93*G93,2)</f>
        <v/>
      </c>
      <c r="I93" s="183" t="n"/>
      <c r="J93" s="183" t="n"/>
    </row>
    <row r="94" ht="31.5" customHeight="1" s="176">
      <c r="A94" s="217" t="n">
        <v>78</v>
      </c>
      <c r="B94" s="194" t="n"/>
      <c r="C94" s="218" t="inlineStr">
        <is>
          <t>08.1.02.11-0023</t>
        </is>
      </c>
      <c r="D94" s="218" t="inlineStr">
        <is>
          <t>Поковки простые строительные (скобы, закрепы, хомуты), масса до 1,6 кг</t>
        </is>
      </c>
      <c r="E94" s="217" t="inlineStr">
        <is>
          <t>кг</t>
        </is>
      </c>
      <c r="F94" s="217" t="n">
        <v>6.4</v>
      </c>
      <c r="G94" s="188" t="n">
        <v>15.14</v>
      </c>
      <c r="H94" s="188">
        <f>ROUND(F94*G94,2)</f>
        <v/>
      </c>
      <c r="I94" s="183" t="n"/>
      <c r="J94" s="183" t="n"/>
    </row>
    <row r="95">
      <c r="A95" s="217" t="n">
        <v>79</v>
      </c>
      <c r="B95" s="194" t="n"/>
      <c r="C95" s="218" t="inlineStr">
        <is>
          <t>01.7.15.07-0014</t>
        </is>
      </c>
      <c r="D95" s="218" t="inlineStr">
        <is>
          <t>Дюбели распорные полипропиленовые</t>
        </is>
      </c>
      <c r="E95" s="217" t="inlineStr">
        <is>
          <t>100 шт</t>
        </is>
      </c>
      <c r="F95" s="217" t="n">
        <v>0.72</v>
      </c>
      <c r="G95" s="188" t="n">
        <v>86</v>
      </c>
      <c r="H95" s="188">
        <f>ROUND(F95*G95,2)</f>
        <v/>
      </c>
      <c r="I95" s="183" t="n"/>
      <c r="J95" s="183" t="n"/>
    </row>
    <row r="96" ht="31.5" customHeight="1" s="176">
      <c r="A96" s="217" t="n">
        <v>80</v>
      </c>
      <c r="B96" s="194" t="n"/>
      <c r="C96" s="218" t="inlineStr">
        <is>
          <t>10.3.02.03-0011</t>
        </is>
      </c>
      <c r="D96" s="218" t="inlineStr">
        <is>
          <t>Припои оловянно-свинцовые бессурьмянистые, марка ПОС30</t>
        </is>
      </c>
      <c r="E96" s="217" t="inlineStr">
        <is>
          <t>т</t>
        </is>
      </c>
      <c r="F96" s="217" t="n">
        <v>0.0007775</v>
      </c>
      <c r="G96" s="188" t="n">
        <v>68050</v>
      </c>
      <c r="H96" s="188">
        <f>ROUND(F96*G96,2)</f>
        <v/>
      </c>
      <c r="I96" s="183" t="n"/>
      <c r="J96" s="183" t="n"/>
    </row>
    <row r="97" ht="47.25" customHeight="1" s="176">
      <c r="A97" s="217" t="n">
        <v>81</v>
      </c>
      <c r="B97" s="194" t="n"/>
      <c r="C97" s="218" t="inlineStr">
        <is>
          <t>24.2.06.04-0019</t>
        </is>
      </c>
      <c r="D97" s="218" t="inlineStr">
        <is>
          <t>Муфта хризотилцементная к напорным трубам САМ 9, диаметр условного прохода 100 мм, наружный диаметр муфты 175 мм</t>
        </is>
      </c>
      <c r="E97" s="217" t="inlineStr">
        <is>
          <t>шт</t>
        </is>
      </c>
      <c r="F97" s="217" t="n">
        <v>6</v>
      </c>
      <c r="G97" s="188" t="n">
        <v>8.6</v>
      </c>
      <c r="H97" s="188">
        <f>ROUND(F97*G97,2)</f>
        <v/>
      </c>
      <c r="I97" s="183" t="n"/>
      <c r="J97" s="183" t="n"/>
    </row>
    <row r="98">
      <c r="A98" s="217" t="n">
        <v>82</v>
      </c>
      <c r="B98" s="194" t="n"/>
      <c r="C98" s="218" t="inlineStr">
        <is>
          <t>25.2.01.01-0001</t>
        </is>
      </c>
      <c r="D98" s="218" t="inlineStr">
        <is>
          <t>Бирки-оконцеватели</t>
        </is>
      </c>
      <c r="E98" s="217" t="inlineStr">
        <is>
          <t>100 шт</t>
        </is>
      </c>
      <c r="F98" s="217" t="n">
        <v>0.7344000000000001</v>
      </c>
      <c r="G98" s="188" t="n">
        <v>63</v>
      </c>
      <c r="H98" s="188">
        <f>ROUND(F98*G98,2)</f>
        <v/>
      </c>
      <c r="I98" s="183" t="n"/>
      <c r="J98" s="183" t="n"/>
    </row>
    <row r="99">
      <c r="A99" s="217" t="n">
        <v>83</v>
      </c>
      <c r="B99" s="194" t="n"/>
      <c r="C99" s="218" t="inlineStr">
        <is>
          <t>04.3.01.09-0014</t>
        </is>
      </c>
      <c r="D99" s="218" t="inlineStr">
        <is>
          <t>Раствор готовый кладочный, цементный, М100</t>
        </is>
      </c>
      <c r="E99" s="217" t="inlineStr">
        <is>
          <t>м3</t>
        </is>
      </c>
      <c r="F99" s="217" t="n">
        <v>0.0828</v>
      </c>
      <c r="G99" s="188" t="n">
        <v>519.8</v>
      </c>
      <c r="H99" s="188">
        <f>ROUND(F99*G99,2)</f>
        <v/>
      </c>
      <c r="I99" s="183" t="n"/>
      <c r="J99" s="183" t="n"/>
    </row>
    <row r="100" ht="31.5" customHeight="1" s="176">
      <c r="A100" s="217" t="n">
        <v>84</v>
      </c>
      <c r="B100" s="194" t="n"/>
      <c r="C100" s="218" t="inlineStr">
        <is>
          <t>11.1.03.01-0079</t>
        </is>
      </c>
      <c r="D100" s="218" t="inlineStr">
        <is>
          <t>Бруски обрезные, хвойных пород, длина 4-6,5 м, ширина 75-150 мм, толщина 40-75 мм, сорт III</t>
        </is>
      </c>
      <c r="E100" s="217" t="inlineStr">
        <is>
          <t>м3</t>
        </is>
      </c>
      <c r="F100" s="217" t="n">
        <v>0.02928</v>
      </c>
      <c r="G100" s="188" t="n">
        <v>1287</v>
      </c>
      <c r="H100" s="188">
        <f>ROUND(F100*G100,2)</f>
        <v/>
      </c>
      <c r="I100" s="183" t="n"/>
      <c r="J100" s="183" t="n"/>
    </row>
    <row r="101" ht="31.5" customHeight="1" s="176">
      <c r="A101" s="217" t="n">
        <v>85</v>
      </c>
      <c r="B101" s="194" t="n"/>
      <c r="C101" s="218" t="inlineStr">
        <is>
          <t>01.2.01.01-0019</t>
        </is>
      </c>
      <c r="D101" s="218" t="inlineStr">
        <is>
          <t>Битумы нефтяные дорожные вязкие БНД 60/90, БНД 90/130</t>
        </is>
      </c>
      <c r="E101" s="217" t="inlineStr">
        <is>
          <t>т</t>
        </is>
      </c>
      <c r="F101" s="217" t="n">
        <v>0.014124</v>
      </c>
      <c r="G101" s="188" t="n">
        <v>1690</v>
      </c>
      <c r="H101" s="188">
        <f>ROUND(F101*G101,2)</f>
        <v/>
      </c>
      <c r="I101" s="183" t="n"/>
      <c r="J101" s="183" t="n"/>
    </row>
    <row r="102">
      <c r="A102" s="217" t="n">
        <v>86</v>
      </c>
      <c r="B102" s="194" t="n"/>
      <c r="C102" s="218" t="inlineStr">
        <is>
          <t>11.2.13.04-0012</t>
        </is>
      </c>
      <c r="D102" s="218" t="inlineStr">
        <is>
          <t>Щиты из досок, толщина 40 мм</t>
        </is>
      </c>
      <c r="E102" s="217" t="inlineStr">
        <is>
          <t>м2</t>
        </is>
      </c>
      <c r="F102" s="217" t="n">
        <v>0.40932</v>
      </c>
      <c r="G102" s="188" t="n">
        <v>57.63</v>
      </c>
      <c r="H102" s="188">
        <f>ROUND(F102*G102,2)</f>
        <v/>
      </c>
      <c r="I102" s="183" t="n"/>
      <c r="J102" s="183" t="n"/>
    </row>
    <row r="103">
      <c r="A103" s="217" t="n">
        <v>87</v>
      </c>
      <c r="B103" s="194" t="n"/>
      <c r="C103" s="218" t="inlineStr">
        <is>
          <t>14.5.09.02-0002</t>
        </is>
      </c>
      <c r="D103" s="218" t="inlineStr">
        <is>
          <t>Ксилол нефтяной, марка А</t>
        </is>
      </c>
      <c r="E103" s="217" t="inlineStr">
        <is>
          <t>т</t>
        </is>
      </c>
      <c r="F103" s="217" t="n">
        <v>0.00288</v>
      </c>
      <c r="G103" s="188" t="n">
        <v>7640</v>
      </c>
      <c r="H103" s="188">
        <f>ROUND(F103*G103,2)</f>
        <v/>
      </c>
      <c r="I103" s="183" t="n"/>
      <c r="J103" s="183" t="n"/>
    </row>
    <row r="104">
      <c r="A104" s="217" t="n">
        <v>88</v>
      </c>
      <c r="B104" s="194" t="n"/>
      <c r="C104" s="218" t="inlineStr">
        <is>
          <t>01.7.07.12-0024</t>
        </is>
      </c>
      <c r="D104" s="218" t="inlineStr">
        <is>
          <t>Пленка полиэтиленовая, толщина 0,15 мм</t>
        </is>
      </c>
      <c r="E104" s="217" t="inlineStr">
        <is>
          <t>м2</t>
        </is>
      </c>
      <c r="F104" s="217" t="n">
        <v>5.861</v>
      </c>
      <c r="G104" s="188" t="n">
        <v>3.62</v>
      </c>
      <c r="H104" s="188">
        <f>ROUND(F104*G104,2)</f>
        <v/>
      </c>
      <c r="I104" s="183" t="n"/>
      <c r="J104" s="183" t="n"/>
    </row>
    <row r="105">
      <c r="A105" s="217" t="n">
        <v>89</v>
      </c>
      <c r="B105" s="194" t="n"/>
      <c r="C105" s="218" t="inlineStr">
        <is>
          <t>01.7.11.07-0034</t>
        </is>
      </c>
      <c r="D105" s="218" t="inlineStr">
        <is>
          <t>Электроды сварочные Э42А, диаметр 4 мм</t>
        </is>
      </c>
      <c r="E105" s="217" t="inlineStr">
        <is>
          <t>кг</t>
        </is>
      </c>
      <c r="F105" s="217" t="n">
        <v>1.819</v>
      </c>
      <c r="G105" s="188" t="n">
        <v>10.57</v>
      </c>
      <c r="H105" s="188">
        <f>ROUND(F105*G105,2)</f>
        <v/>
      </c>
      <c r="I105" s="183" t="n"/>
      <c r="J105" s="183" t="n"/>
    </row>
    <row r="106">
      <c r="A106" s="217" t="n">
        <v>90</v>
      </c>
      <c r="B106" s="194" t="n"/>
      <c r="C106" s="218" t="inlineStr">
        <is>
          <t>14.5.09.11-0102</t>
        </is>
      </c>
      <c r="D106" s="218" t="inlineStr">
        <is>
          <t>Уайт-спирит</t>
        </is>
      </c>
      <c r="E106" s="217" t="inlineStr">
        <is>
          <t>кг</t>
        </is>
      </c>
      <c r="F106" s="217" t="n">
        <v>2.688</v>
      </c>
      <c r="G106" s="188" t="n">
        <v>6.67</v>
      </c>
      <c r="H106" s="188">
        <f>ROUND(F106*G106,2)</f>
        <v/>
      </c>
    </row>
    <row r="107">
      <c r="A107" s="217" t="n">
        <v>91</v>
      </c>
      <c r="B107" s="194" t="n"/>
      <c r="C107" s="218" t="inlineStr">
        <is>
          <t>01.7.03.01-0001</t>
        </is>
      </c>
      <c r="D107" s="218" t="inlineStr">
        <is>
          <t>Вода</t>
        </is>
      </c>
      <c r="E107" s="217" t="inlineStr">
        <is>
          <t>м3</t>
        </is>
      </c>
      <c r="F107" s="217" t="n">
        <v>6.628691</v>
      </c>
      <c r="G107" s="188" t="n">
        <v>2.44</v>
      </c>
      <c r="H107" s="188">
        <f>ROUND(F107*G107,2)</f>
        <v/>
      </c>
    </row>
    <row r="108">
      <c r="A108" s="217" t="n">
        <v>92</v>
      </c>
      <c r="B108" s="194" t="n"/>
      <c r="C108" s="218" t="inlineStr">
        <is>
          <t>01.3.02.09-0022</t>
        </is>
      </c>
      <c r="D108" s="218" t="inlineStr">
        <is>
          <t>Пропан-бутан смесь техническая</t>
        </is>
      </c>
      <c r="E108" s="217" t="inlineStr">
        <is>
          <t>кг</t>
        </is>
      </c>
      <c r="F108" s="217" t="n">
        <v>2.59226</v>
      </c>
      <c r="G108" s="188" t="n">
        <v>6.09</v>
      </c>
      <c r="H108" s="188">
        <f>ROUND(F108*G108,2)</f>
        <v/>
      </c>
    </row>
    <row r="109" ht="31.5" customHeight="1" s="176">
      <c r="A109" s="217" t="n">
        <v>93</v>
      </c>
      <c r="B109" s="194" t="n"/>
      <c r="C109" s="218" t="inlineStr">
        <is>
          <t>04.3.01.12-0003</t>
        </is>
      </c>
      <c r="D109" s="218" t="inlineStr">
        <is>
          <t>Раствор кладочный, цементно-известковый, М50</t>
        </is>
      </c>
      <c r="E109" s="217" t="inlineStr">
        <is>
          <t>м3</t>
        </is>
      </c>
      <c r="F109" s="217" t="n">
        <v>0.024</v>
      </c>
      <c r="G109" s="188" t="n">
        <v>519.8</v>
      </c>
      <c r="H109" s="188">
        <f>ROUND(F109*G109,2)</f>
        <v/>
      </c>
    </row>
    <row r="110">
      <c r="A110" s="217" t="n">
        <v>94</v>
      </c>
      <c r="B110" s="194" t="n"/>
      <c r="C110" s="218" t="inlineStr">
        <is>
          <t>01.7.15.14-0165</t>
        </is>
      </c>
      <c r="D110" s="218" t="inlineStr">
        <is>
          <t>Шурупы с полукруглой головкой 4х40 мм</t>
        </is>
      </c>
      <c r="E110" s="217" t="inlineStr">
        <is>
          <t>т</t>
        </is>
      </c>
      <c r="F110" s="217" t="n">
        <v>0.0009898000000000001</v>
      </c>
      <c r="G110" s="188" t="n">
        <v>12430</v>
      </c>
      <c r="H110" s="188">
        <f>ROUND(F110*G110,2)</f>
        <v/>
      </c>
    </row>
    <row r="111">
      <c r="A111" s="217" t="n">
        <v>95</v>
      </c>
      <c r="B111" s="194" t="n"/>
      <c r="C111" s="218" t="inlineStr">
        <is>
          <t>01.7.06.07-0002</t>
        </is>
      </c>
      <c r="D111" s="218" t="inlineStr">
        <is>
          <t>Лента монтажная, тип ЛМ-5</t>
        </is>
      </c>
      <c r="E111" s="217" t="inlineStr">
        <is>
          <t>10 м</t>
        </is>
      </c>
      <c r="F111" s="217" t="n">
        <v>1.48195</v>
      </c>
      <c r="G111" s="188" t="n">
        <v>6.9</v>
      </c>
      <c r="H111" s="188">
        <f>ROUND(F111*G111,2)</f>
        <v/>
      </c>
    </row>
    <row r="112">
      <c r="A112" s="217" t="n">
        <v>96</v>
      </c>
      <c r="B112" s="194" t="n"/>
      <c r="C112" s="218" t="inlineStr">
        <is>
          <t>14.4.03.17-0101</t>
        </is>
      </c>
      <c r="D112" s="218" t="inlineStr">
        <is>
          <t>Лак канифольный КФ-965</t>
        </is>
      </c>
      <c r="E112" s="217" t="inlineStr">
        <is>
          <t>т</t>
        </is>
      </c>
      <c r="F112" s="217" t="n">
        <v>0.000144</v>
      </c>
      <c r="G112" s="188" t="n">
        <v>70200</v>
      </c>
      <c r="H112" s="188">
        <f>ROUND(F112*G112,2)</f>
        <v/>
      </c>
    </row>
    <row r="113" ht="47.25" customHeight="1" s="176">
      <c r="A113" s="217" t="n">
        <v>97</v>
      </c>
      <c r="B113" s="194" t="n"/>
      <c r="C113" s="218" t="inlineStr">
        <is>
          <t>01.7.06.05-0041</t>
        </is>
      </c>
      <c r="D113" s="218" t="inlineStr">
        <is>
          <t>Лента изоляционная прорезиненная односторонняя, ширина 20 мм, толщина 0,25-0,35 мм</t>
        </is>
      </c>
      <c r="E113" s="217" t="inlineStr">
        <is>
          <t>кг</t>
        </is>
      </c>
      <c r="F113" s="217" t="n">
        <v>0.288</v>
      </c>
      <c r="G113" s="188" t="n">
        <v>30.4</v>
      </c>
      <c r="H113" s="188">
        <f>ROUND(F113*G113,2)</f>
        <v/>
      </c>
    </row>
    <row r="114">
      <c r="A114" s="217" t="n">
        <v>98</v>
      </c>
      <c r="B114" s="194" t="n"/>
      <c r="C114" s="218" t="inlineStr">
        <is>
          <t>03.1.02.03-0011</t>
        </is>
      </c>
      <c r="D114" s="218" t="inlineStr">
        <is>
          <t>Известь строительная негашеная комовая, сорт I</t>
        </is>
      </c>
      <c r="E114" s="217" t="inlineStr">
        <is>
          <t>т</t>
        </is>
      </c>
      <c r="F114" s="217" t="n">
        <v>0.010017</v>
      </c>
      <c r="G114" s="188" t="n">
        <v>734.5</v>
      </c>
      <c r="H114" s="188">
        <f>ROUND(F114*G114,2)</f>
        <v/>
      </c>
    </row>
    <row r="115" ht="31.5" customHeight="1" s="176">
      <c r="A115" s="217" t="n">
        <v>99</v>
      </c>
      <c r="B115" s="194" t="n"/>
      <c r="C115" s="218" t="inlineStr">
        <is>
          <t>02.3.01.02-1012</t>
        </is>
      </c>
      <c r="D115" s="218" t="inlineStr">
        <is>
          <t>Песок природный II класс, средний, круглые сита</t>
        </is>
      </c>
      <c r="E115" s="217" t="inlineStr">
        <is>
          <t>м3</t>
        </is>
      </c>
      <c r="F115" s="217" t="n">
        <v>0.1177</v>
      </c>
      <c r="G115" s="188" t="n">
        <v>59.99</v>
      </c>
      <c r="H115" s="188">
        <f>ROUND(F115*G115,2)</f>
        <v/>
      </c>
    </row>
    <row r="116">
      <c r="A116" s="217" t="n">
        <v>100</v>
      </c>
      <c r="B116" s="194" t="n"/>
      <c r="C116" s="218" t="inlineStr">
        <is>
          <t>01.3.01.03-0002</t>
        </is>
      </c>
      <c r="D116" s="218" t="inlineStr">
        <is>
          <t>Керосин для технических целей</t>
        </is>
      </c>
      <c r="E116" s="217" t="inlineStr">
        <is>
          <t>т</t>
        </is>
      </c>
      <c r="F116" s="217" t="n">
        <v>0.002432</v>
      </c>
      <c r="G116" s="188" t="n">
        <v>2606.9</v>
      </c>
      <c r="H116" s="188">
        <f>ROUND(F116*G116,2)</f>
        <v/>
      </c>
    </row>
    <row r="117" ht="31.5" customHeight="1" s="176">
      <c r="A117" s="217" t="n">
        <v>101</v>
      </c>
      <c r="B117" s="194" t="n"/>
      <c r="C117" s="218" t="inlineStr">
        <is>
          <t>08.3.03.06-0002</t>
        </is>
      </c>
      <c r="D117" s="218" t="inlineStr">
        <is>
          <t>Проволока горячекатаная в мотках, диаметр 6,3-6,5 мм</t>
        </is>
      </c>
      <c r="E117" s="217" t="inlineStr">
        <is>
          <t>т</t>
        </is>
      </c>
      <c r="F117" s="217" t="n">
        <v>0.0011701</v>
      </c>
      <c r="G117" s="188" t="n">
        <v>4455.2</v>
      </c>
      <c r="H117" s="188">
        <f>ROUND(F117*G117,2)</f>
        <v/>
      </c>
    </row>
    <row r="118">
      <c r="A118" s="217" t="n">
        <v>102</v>
      </c>
      <c r="B118" s="194" t="n"/>
      <c r="C118" s="218" t="inlineStr">
        <is>
          <t>08.3.11.01-0091</t>
        </is>
      </c>
      <c r="D118" s="218" t="inlineStr">
        <is>
          <t>Швеллеры № 40, марка стали Ст0</t>
        </is>
      </c>
      <c r="E118" s="217" t="inlineStr">
        <is>
          <t>т</t>
        </is>
      </c>
      <c r="F118" s="217" t="n">
        <v>0.0006712000000000001</v>
      </c>
      <c r="G118" s="188" t="n">
        <v>4920</v>
      </c>
      <c r="H118" s="188">
        <f>ROUND(F118*G118,2)</f>
        <v/>
      </c>
    </row>
    <row r="119">
      <c r="A119" s="217" t="n">
        <v>103</v>
      </c>
      <c r="B119" s="194" t="n"/>
      <c r="C119" s="218" t="inlineStr">
        <is>
          <t>01.3.01.02-0002</t>
        </is>
      </c>
      <c r="D119" s="218" t="inlineStr">
        <is>
          <t>Вазелин технический</t>
        </is>
      </c>
      <c r="E119" s="217" t="inlineStr">
        <is>
          <t>кг</t>
        </is>
      </c>
      <c r="F119" s="217" t="n">
        <v>0.07199999999999999</v>
      </c>
      <c r="G119" s="188" t="n">
        <v>44.97</v>
      </c>
      <c r="H119" s="188">
        <f>ROUND(F119*G119,2)</f>
        <v/>
      </c>
    </row>
    <row r="120">
      <c r="A120" s="217" t="n">
        <v>104</v>
      </c>
      <c r="B120" s="194" t="n"/>
      <c r="C120" s="218" t="inlineStr">
        <is>
          <t>01.7.11.07-0036</t>
        </is>
      </c>
      <c r="D120" s="218" t="inlineStr">
        <is>
          <t>Электроды сварочные Э46, диаметр 4 мм</t>
        </is>
      </c>
      <c r="E120" s="217" t="inlineStr">
        <is>
          <t>кг</t>
        </is>
      </c>
      <c r="F120" s="217" t="n">
        <v>0.264</v>
      </c>
      <c r="G120" s="188" t="n">
        <v>10.75</v>
      </c>
      <c r="H120" s="188">
        <f>ROUND(F120*G120,2)</f>
        <v/>
      </c>
    </row>
    <row r="121">
      <c r="A121" s="217" t="n">
        <v>105</v>
      </c>
      <c r="B121" s="194" t="n"/>
      <c r="C121" s="218" t="inlineStr">
        <is>
          <t>14.5.09.07-0030</t>
        </is>
      </c>
      <c r="D121" s="218" t="inlineStr">
        <is>
          <t>Растворитель Р-4</t>
        </is>
      </c>
      <c r="E121" s="217" t="inlineStr">
        <is>
          <t>кг</t>
        </is>
      </c>
      <c r="F121" s="217" t="n">
        <v>0.2076</v>
      </c>
      <c r="G121" s="188" t="n">
        <v>9.42</v>
      </c>
      <c r="H121" s="188">
        <f>ROUND(F121*G121,2)</f>
        <v/>
      </c>
    </row>
    <row r="122">
      <c r="A122" s="217" t="n">
        <v>106</v>
      </c>
      <c r="B122" s="194" t="n"/>
      <c r="C122" s="218" t="inlineStr">
        <is>
          <t>01.7.20.04-0005</t>
        </is>
      </c>
      <c r="D122" s="218" t="inlineStr">
        <is>
          <t>Нитки швейные</t>
        </is>
      </c>
      <c r="E122" s="217" t="inlineStr">
        <is>
          <t>кг</t>
        </is>
      </c>
      <c r="F122" s="217" t="n">
        <v>0.0144</v>
      </c>
      <c r="G122" s="188" t="n">
        <v>133.05</v>
      </c>
      <c r="H122" s="188">
        <f>ROUND(F122*G122,2)</f>
        <v/>
      </c>
    </row>
    <row r="123">
      <c r="A123" s="217" t="n">
        <v>107</v>
      </c>
      <c r="B123" s="194" t="n"/>
      <c r="C123" s="218" t="inlineStr">
        <is>
          <t>01.2.01.02-0054</t>
        </is>
      </c>
      <c r="D123" s="218" t="inlineStr">
        <is>
          <t>Битумы нефтяные строительные БН-90/10</t>
        </is>
      </c>
      <c r="E123" s="217" t="inlineStr">
        <is>
          <t>т</t>
        </is>
      </c>
      <c r="F123" s="217" t="n">
        <v>0.001216</v>
      </c>
      <c r="G123" s="188" t="n">
        <v>1383.1</v>
      </c>
      <c r="H123" s="188">
        <f>ROUND(F123*G123,2)</f>
        <v/>
      </c>
    </row>
    <row r="124" ht="63" customHeight="1" s="176">
      <c r="A124" s="217" t="n">
        <v>108</v>
      </c>
      <c r="B124" s="194" t="n"/>
      <c r="C124" s="218" t="inlineStr">
        <is>
          <t>07.2.07.12-0020</t>
        </is>
      </c>
      <c r="D124" s="218" t="inlineStr">
        <is>
          <t>Элементы конструктивные зданий и сооружений с преобладанием горячекатаных профилей, средняя масса сборочной единицы от 0,1 до 0,5 т</t>
        </is>
      </c>
      <c r="E124" s="217" t="inlineStr">
        <is>
          <t>т</t>
        </is>
      </c>
      <c r="F124" s="217" t="n">
        <v>0.000206</v>
      </c>
      <c r="G124" s="188" t="n">
        <v>7712</v>
      </c>
      <c r="H124" s="188">
        <f>ROUND(F124*G124,2)</f>
        <v/>
      </c>
    </row>
    <row r="125" ht="47.25" customHeight="1" s="176">
      <c r="A125" s="217" t="n">
        <v>109</v>
      </c>
      <c r="B125" s="194" t="n"/>
      <c r="C125" s="218" t="inlineStr">
        <is>
          <t>01.7.15.14-0043</t>
        </is>
      </c>
      <c r="D125" s="218" t="inlineStr">
        <is>
          <t>Шурупы самонарезающий прокалывающий, для крепления металлических профилей или листовых деталей 3,5/11 мм</t>
        </is>
      </c>
      <c r="E125" s="217" t="inlineStr">
        <is>
          <t>100 шт</t>
        </is>
      </c>
      <c r="F125" s="217" t="n">
        <v>0.72</v>
      </c>
      <c r="G125" s="188" t="n">
        <v>2</v>
      </c>
      <c r="H125" s="188">
        <f>ROUND(F125*G125,2)</f>
        <v/>
      </c>
    </row>
    <row r="126">
      <c r="A126" s="217" t="n">
        <v>110</v>
      </c>
      <c r="B126" s="194" t="n"/>
      <c r="C126" s="218" t="inlineStr">
        <is>
          <t>01.7.20.08-0071</t>
        </is>
      </c>
      <c r="D126" s="218" t="inlineStr">
        <is>
          <t>Канат пеньковый пропитанный</t>
        </is>
      </c>
      <c r="E126" s="217" t="inlineStr">
        <is>
          <t>т</t>
        </is>
      </c>
      <c r="F126" s="217" t="n">
        <v>3.46e-05</v>
      </c>
      <c r="G126" s="188" t="n">
        <v>37900</v>
      </c>
      <c r="H126" s="188">
        <f>ROUND(F126*G126,2)</f>
        <v/>
      </c>
    </row>
    <row r="127" ht="31.5" customHeight="1" s="176">
      <c r="A127" s="217" t="n">
        <v>111</v>
      </c>
      <c r="B127" s="194" t="n"/>
      <c r="C127" s="218" t="inlineStr">
        <is>
          <t>11.1.03.01-0077</t>
        </is>
      </c>
      <c r="D127" s="218" t="inlineStr">
        <is>
          <t>Бруски обрезные, хвойных пород, длина 4-6,5 м, ширина 75-150 мм, толщина 40-75 мм, сорт I</t>
        </is>
      </c>
      <c r="E127" s="217" t="inlineStr">
        <is>
          <t>м3</t>
        </is>
      </c>
      <c r="F127" s="217" t="n">
        <v>0.0003564</v>
      </c>
      <c r="G127" s="188" t="n">
        <v>1700</v>
      </c>
      <c r="H127" s="188">
        <f>ROUND(F127*G127,2)</f>
        <v/>
      </c>
    </row>
    <row r="128">
      <c r="A128" s="217" t="n">
        <v>112</v>
      </c>
      <c r="B128" s="194" t="n"/>
      <c r="C128" s="218" t="inlineStr">
        <is>
          <t>01.7.02.09-0002</t>
        </is>
      </c>
      <c r="D128" s="218" t="inlineStr">
        <is>
          <t>Шпагат бумажный</t>
        </is>
      </c>
      <c r="E128" s="217" t="inlineStr">
        <is>
          <t>кг</t>
        </is>
      </c>
      <c r="F128" s="217" t="n">
        <v>0.036</v>
      </c>
      <c r="G128" s="188" t="n">
        <v>11.5</v>
      </c>
      <c r="H128" s="188">
        <f>ROUND(F128*G128,2)</f>
        <v/>
      </c>
    </row>
    <row r="129" ht="63" customHeight="1" s="176">
      <c r="A129" s="217" t="n">
        <v>113</v>
      </c>
      <c r="B129" s="194" t="n"/>
      <c r="C129" s="218" t="inlineStr">
        <is>
          <t>08.2.02.11-0007</t>
        </is>
      </c>
      <c r="D129" s="218" t="inlineStr">
        <is>
          <t>Канат двойной свивки ТК, конструкции 6х19(1+6+12)+1 о.с., оцинкованный, из проволок марки В, маркировочная группа 1770 н/мм2, диаметр 5,5 мм</t>
        </is>
      </c>
      <c r="E129" s="217" t="inlineStr">
        <is>
          <t>10 м</t>
        </is>
      </c>
      <c r="F129" s="217" t="n">
        <v>0.0064702</v>
      </c>
      <c r="G129" s="188" t="n">
        <v>50.24</v>
      </c>
      <c r="H129" s="188">
        <f>ROUND(F129*G129,2)</f>
        <v/>
      </c>
    </row>
    <row r="130">
      <c r="J130" s="193" t="n"/>
    </row>
    <row r="132">
      <c r="B132" s="175" t="inlineStr">
        <is>
          <t>Составил ______________________        Д.Ю. Нефедова</t>
        </is>
      </c>
    </row>
    <row r="133">
      <c r="B133" s="195" t="inlineStr">
        <is>
          <t xml:space="preserve">                         (подпись, инициалы, фамилия)</t>
        </is>
      </c>
    </row>
    <row r="135">
      <c r="B135" s="175" t="inlineStr">
        <is>
          <t>Проверил ______________________        А.В. Костянецкая</t>
        </is>
      </c>
    </row>
    <row r="136">
      <c r="B136" s="195" t="inlineStr">
        <is>
          <t xml:space="preserve">                        (подпись, инициалы, фамилия)</t>
        </is>
      </c>
    </row>
  </sheetData>
  <mergeCells count="15">
    <mergeCell ref="A4:H4"/>
    <mergeCell ref="B9:B10"/>
    <mergeCell ref="A12:E12"/>
    <mergeCell ref="A29:E29"/>
    <mergeCell ref="A62:E62"/>
    <mergeCell ref="C9:C10"/>
    <mergeCell ref="D9:D10"/>
    <mergeCell ref="A7:H7"/>
    <mergeCell ref="A9:A10"/>
    <mergeCell ref="E9:E10"/>
    <mergeCell ref="F9:F10"/>
    <mergeCell ref="A60:E60"/>
    <mergeCell ref="A5:H5"/>
    <mergeCell ref="G9:H9"/>
    <mergeCell ref="A27:E27"/>
  </mergeCells>
  <pageMargins left="0.7086614173228351" right="0.7086614173228351" top="0.748031496062992" bottom="0.748031496062992" header="0.31496062992126" footer="0.31496062992126"/>
  <pageSetup orientation="landscape" paperSize="9" scale="83" fitToHeight="0" cellComments="atEnd"/>
  <rowBreaks count="1" manualBreakCount="1">
    <brk id="68" min="0" max="7" man="1"/>
  </rowBreaks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4" workbookViewId="0">
      <selection activeCell="D46" sqref="D46"/>
    </sheetView>
  </sheetViews>
  <sheetFormatPr baseColWidth="8" defaultRowHeight="15"/>
  <cols>
    <col width="4.140625" customWidth="1" style="176" min="1" max="1"/>
    <col width="36.28515625" customWidth="1" style="176" min="2" max="2"/>
    <col width="18.85546875" customWidth="1" style="176" min="3" max="3"/>
    <col width="18.28515625" customWidth="1" style="176" min="4" max="4"/>
    <col width="18.85546875" customWidth="1" style="176" min="5" max="5"/>
    <col width="9.140625" customWidth="1" style="176" min="6" max="6"/>
    <col width="12.85546875" customWidth="1" style="176" min="7" max="7"/>
    <col width="9.140625" customWidth="1" style="176" min="8" max="11"/>
    <col width="13.5703125" customWidth="1" style="176" min="12" max="12"/>
    <col width="9.140625" customWidth="1" style="176" min="13" max="13"/>
  </cols>
  <sheetData>
    <row r="1">
      <c r="B1" s="156" t="n"/>
      <c r="C1" s="156" t="n"/>
      <c r="D1" s="156" t="n"/>
      <c r="E1" s="156" t="n"/>
    </row>
    <row r="2">
      <c r="B2" s="156" t="n"/>
      <c r="C2" s="156" t="n"/>
      <c r="D2" s="156" t="n"/>
      <c r="E2" s="242" t="inlineStr">
        <is>
          <t>Приложение № 4</t>
        </is>
      </c>
    </row>
    <row r="3">
      <c r="B3" s="156" t="n"/>
      <c r="C3" s="156" t="n"/>
      <c r="D3" s="156" t="n"/>
      <c r="E3" s="156" t="n"/>
    </row>
    <row r="4">
      <c r="B4" s="156" t="n"/>
      <c r="C4" s="156" t="n"/>
      <c r="D4" s="156" t="n"/>
      <c r="E4" s="156" t="n"/>
    </row>
    <row r="5">
      <c r="B5" s="219" t="inlineStr">
        <is>
          <t>Ресурсная модель</t>
        </is>
      </c>
    </row>
    <row r="6">
      <c r="B6" s="18" t="n"/>
      <c r="C6" s="156" t="n"/>
      <c r="D6" s="156" t="n"/>
      <c r="E6" s="156" t="n"/>
    </row>
    <row r="7" ht="45.75" customHeight="1" s="176">
      <c r="B7" s="220">
        <f>'Прил.1 Сравнит табл'!B7</f>
        <v/>
      </c>
    </row>
    <row r="8">
      <c r="B8" s="221">
        <f>'Прил.1 Сравнит табл'!B9</f>
        <v/>
      </c>
    </row>
    <row r="9">
      <c r="B9" s="18" t="n"/>
      <c r="C9" s="156" t="n"/>
      <c r="D9" s="156" t="n"/>
      <c r="E9" s="156" t="n"/>
    </row>
    <row r="10" ht="51" customHeight="1" s="176">
      <c r="B10" s="223" t="inlineStr">
        <is>
          <t>Наименование</t>
        </is>
      </c>
      <c r="C10" s="223" t="inlineStr">
        <is>
          <t>Сметная стоимость в ценах на 01.01.2023
 (руб.)</t>
        </is>
      </c>
      <c r="D10" s="223" t="inlineStr">
        <is>
          <t>Удельный вес, 
(в СМР)</t>
        </is>
      </c>
      <c r="E10" s="223" t="inlineStr">
        <is>
          <t>Удельный вес, % 
(от всего по РМ)</t>
        </is>
      </c>
    </row>
    <row r="11">
      <c r="B11" s="34" t="inlineStr">
        <is>
          <t>Оплата труда рабочих</t>
        </is>
      </c>
      <c r="C11" s="38">
        <f>'Прил.5 Расчет СМР и ОБ'!J14</f>
        <v/>
      </c>
      <c r="D11" s="36">
        <f>C11/$C$24</f>
        <v/>
      </c>
      <c r="E11" s="36">
        <f>C11/$C$40</f>
        <v/>
      </c>
    </row>
    <row r="12">
      <c r="B12" s="34" t="inlineStr">
        <is>
          <t>Эксплуатация машин основных</t>
        </is>
      </c>
      <c r="C12" s="38">
        <f>'Прил.5 Расчет СМР и ОБ'!J23</f>
        <v/>
      </c>
      <c r="D12" s="36">
        <f>C12/$C$24</f>
        <v/>
      </c>
      <c r="E12" s="36">
        <f>C12/$C$40</f>
        <v/>
      </c>
    </row>
    <row r="13">
      <c r="B13" s="34" t="inlineStr">
        <is>
          <t>Эксплуатация машин прочих</t>
        </is>
      </c>
      <c r="C13" s="38">
        <f>'Прил.5 Расчет СМР и ОБ'!J50</f>
        <v/>
      </c>
      <c r="D13" s="36">
        <f>C13/$C$24</f>
        <v/>
      </c>
      <c r="E13" s="36">
        <f>C13/$C$40</f>
        <v/>
      </c>
    </row>
    <row r="14">
      <c r="B14" s="34" t="inlineStr">
        <is>
          <t>ЭКСПЛУАТАЦИЯ МАШИН, ВСЕГО:</t>
        </is>
      </c>
      <c r="C14" s="38">
        <f>C13+C12</f>
        <v/>
      </c>
      <c r="D14" s="36">
        <f>C14/$C$24</f>
        <v/>
      </c>
      <c r="E14" s="36">
        <f>C14/$C$40</f>
        <v/>
      </c>
    </row>
    <row r="15">
      <c r="B15" s="34" t="inlineStr">
        <is>
          <t>в том числе зарплата машинистов</t>
        </is>
      </c>
      <c r="C15" s="38">
        <f>'Прил.5 Расчет СМР и ОБ'!J16</f>
        <v/>
      </c>
      <c r="D15" s="36">
        <f>C15/$C$24</f>
        <v/>
      </c>
      <c r="E15" s="36">
        <f>C15/$C$40</f>
        <v/>
      </c>
    </row>
    <row r="16">
      <c r="B16" s="34" t="inlineStr">
        <is>
          <t>Материалы основные</t>
        </is>
      </c>
      <c r="C16" s="38">
        <f>'Прил.5 Расчет СМР и ОБ'!J69</f>
        <v/>
      </c>
      <c r="D16" s="36">
        <f>C16/$C$24</f>
        <v/>
      </c>
      <c r="E16" s="36">
        <f>C16/$C$40</f>
        <v/>
      </c>
    </row>
    <row r="17">
      <c r="B17" s="34" t="inlineStr">
        <is>
          <t>Материалы прочие</t>
        </is>
      </c>
      <c r="C17" s="38">
        <f>'Прил.5 Расчет СМР и ОБ'!J129</f>
        <v/>
      </c>
      <c r="D17" s="36">
        <f>C17/$C$24</f>
        <v/>
      </c>
      <c r="E17" s="36">
        <f>C17/$C$40</f>
        <v/>
      </c>
      <c r="G17" s="19" t="n"/>
    </row>
    <row r="18">
      <c r="B18" s="34" t="inlineStr">
        <is>
          <t>МАТЕРИАЛЫ, ВСЕГО:</t>
        </is>
      </c>
      <c r="C18" s="38">
        <f>C17+C16</f>
        <v/>
      </c>
      <c r="D18" s="36">
        <f>C18/$C$24</f>
        <v/>
      </c>
      <c r="E18" s="36">
        <f>C18/$C$40</f>
        <v/>
      </c>
    </row>
    <row r="19">
      <c r="B19" s="34" t="inlineStr">
        <is>
          <t>ИТОГО</t>
        </is>
      </c>
      <c r="C19" s="38">
        <f>C18+C14+C11</f>
        <v/>
      </c>
      <c r="D19" s="36" t="n"/>
      <c r="E19" s="34" t="n"/>
    </row>
    <row r="20">
      <c r="B20" s="34" t="inlineStr">
        <is>
          <t>Сметная прибыль, руб.</t>
        </is>
      </c>
      <c r="C20" s="38">
        <f>ROUND(C21*(C11+C15),2)</f>
        <v/>
      </c>
      <c r="D20" s="36">
        <f>C20/$C$24</f>
        <v/>
      </c>
      <c r="E20" s="36">
        <f>C20/$C$40</f>
        <v/>
      </c>
    </row>
    <row r="21">
      <c r="B21" s="34" t="inlineStr">
        <is>
          <t>Сметная прибыль, %</t>
        </is>
      </c>
      <c r="C21" s="39">
        <f>'Прил.5 Расчет СМР и ОБ'!E133</f>
        <v/>
      </c>
      <c r="D21" s="36" t="n"/>
      <c r="E21" s="34" t="n"/>
    </row>
    <row r="22">
      <c r="B22" s="34" t="inlineStr">
        <is>
          <t>Накладные расходы, руб.</t>
        </is>
      </c>
      <c r="C22" s="38">
        <f>ROUND(C23*(C11+C15),2)</f>
        <v/>
      </c>
      <c r="D22" s="36">
        <f>C22/$C$24</f>
        <v/>
      </c>
      <c r="E22" s="36">
        <f>C22/$C$40</f>
        <v/>
      </c>
    </row>
    <row r="23">
      <c r="B23" s="34" t="inlineStr">
        <is>
          <t>Накладные расходы, %</t>
        </is>
      </c>
      <c r="C23" s="39">
        <f>'Прил.5 Расчет СМР и ОБ'!E132</f>
        <v/>
      </c>
      <c r="D23" s="36" t="n"/>
      <c r="E23" s="34" t="n"/>
    </row>
    <row r="24">
      <c r="B24" s="34" t="inlineStr">
        <is>
          <t>ВСЕГО СМР с НР и СП</t>
        </is>
      </c>
      <c r="C24" s="38">
        <f>C19+C20+C22</f>
        <v/>
      </c>
      <c r="D24" s="36">
        <f>C24/$C$24</f>
        <v/>
      </c>
      <c r="E24" s="36">
        <f>C24/$C$40</f>
        <v/>
      </c>
    </row>
    <row r="25" ht="25.5" customHeight="1" s="176">
      <c r="B25" s="34" t="inlineStr">
        <is>
          <t>ВСЕГО стоимость оборудования, в том числе</t>
        </is>
      </c>
      <c r="C25" s="38">
        <f>'Прил.5 Расчет СМР и ОБ'!J57</f>
        <v/>
      </c>
      <c r="D25" s="36" t="n"/>
      <c r="E25" s="36">
        <f>C25/$C$40</f>
        <v/>
      </c>
    </row>
    <row r="26" ht="25.5" customHeight="1" s="176">
      <c r="B26" s="34" t="inlineStr">
        <is>
          <t>стоимость оборудования технологического</t>
        </is>
      </c>
      <c r="C26" s="38">
        <f>'Прил.5 Расчет СМР и ОБ'!J58</f>
        <v/>
      </c>
      <c r="D26" s="36" t="n"/>
      <c r="E26" s="36">
        <f>C26/$C$40</f>
        <v/>
      </c>
    </row>
    <row r="27">
      <c r="B27" s="34" t="inlineStr">
        <is>
          <t>ИТОГО (СМР + ОБОРУДОВАНИЕ)</t>
        </is>
      </c>
      <c r="C27" s="35">
        <f>C24+C25</f>
        <v/>
      </c>
      <c r="D27" s="36" t="n"/>
      <c r="E27" s="36">
        <f>C27/$C$40</f>
        <v/>
      </c>
    </row>
    <row r="28" ht="33" customHeight="1" s="176">
      <c r="B28" s="34" t="inlineStr">
        <is>
          <t>ПРОЧ. ЗАТР., УЧТЕННЫЕ ПОКАЗАТЕЛЕМ,  в том числе</t>
        </is>
      </c>
      <c r="C28" s="34" t="n"/>
      <c r="D28" s="34" t="n"/>
      <c r="E28" s="34" t="n"/>
    </row>
    <row r="29" ht="25.5" customHeight="1" s="176">
      <c r="B29" s="34" t="inlineStr">
        <is>
          <t>Временные здания и сооружения - 2,5%</t>
        </is>
      </c>
      <c r="C29" s="35">
        <f>ROUND(C24*2.5%,2)</f>
        <v/>
      </c>
      <c r="D29" s="34" t="n"/>
      <c r="E29" s="36">
        <f>C29/$C$40</f>
        <v/>
      </c>
    </row>
    <row r="30" ht="38.25" customHeight="1" s="176">
      <c r="B30" s="34" t="inlineStr">
        <is>
          <t>Дополнительные затраты при производстве строительно-монтажных работ в зимнее время - 2,1%</t>
        </is>
      </c>
      <c r="C30" s="35">
        <f>ROUND((C24+C29)*2.1%,2)</f>
        <v/>
      </c>
      <c r="D30" s="34" t="n"/>
      <c r="E30" s="36">
        <f>C30/$C$40</f>
        <v/>
      </c>
    </row>
    <row r="31">
      <c r="B31" s="34" t="inlineStr">
        <is>
          <t xml:space="preserve">Пусконаладочные работы </t>
        </is>
      </c>
      <c r="C31" s="35" t="n">
        <v>279065.18</v>
      </c>
      <c r="D31" s="34" t="n"/>
      <c r="E31" s="36">
        <f>C31/$C$40</f>
        <v/>
      </c>
    </row>
    <row r="32" ht="25.5" customHeight="1" s="176">
      <c r="B32" s="34" t="inlineStr">
        <is>
          <t xml:space="preserve">Затраты по перевозке работников к месту работы и обратно </t>
        </is>
      </c>
      <c r="C32" s="35" t="n">
        <v>0</v>
      </c>
      <c r="D32" s="34" t="n"/>
      <c r="E32" s="36">
        <f>C32/$C$40</f>
        <v/>
      </c>
      <c r="G32" s="131" t="n"/>
    </row>
    <row r="33" ht="25.5" customHeight="1" s="176">
      <c r="B33" s="34" t="inlineStr">
        <is>
          <t>Затраты, связанные с осуществлением работ вахтовым методом</t>
        </is>
      </c>
      <c r="C33" s="35" t="n">
        <v>0</v>
      </c>
      <c r="D33" s="34" t="n"/>
      <c r="E33" s="36">
        <f>C33/$C$40</f>
        <v/>
      </c>
      <c r="G33" s="131" t="n"/>
    </row>
    <row r="34" ht="51" customHeight="1" s="176">
      <c r="B34" s="34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35" t="n">
        <v>0</v>
      </c>
      <c r="D34" s="34" t="n"/>
      <c r="E34" s="36">
        <f>C34/$C$40</f>
        <v/>
      </c>
      <c r="G34" s="131" t="n"/>
    </row>
    <row r="35" ht="76.5" customHeight="1" s="176">
      <c r="B35" s="34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35" t="n">
        <v>0</v>
      </c>
      <c r="D35" s="34" t="n"/>
      <c r="E35" s="36">
        <f>C35/$C$40</f>
        <v/>
      </c>
      <c r="G35" s="131" t="n"/>
    </row>
    <row r="36" ht="25.5" customHeight="1" s="176">
      <c r="B36" s="34" t="inlineStr">
        <is>
          <t>Строительный контроль и содержание службы заказчика - 2,14%</t>
        </is>
      </c>
      <c r="C36" s="35">
        <f>ROUND(SUM(C27:C35)*2.14%,2)</f>
        <v/>
      </c>
      <c r="D36" s="34" t="n"/>
      <c r="E36" s="36">
        <f>C36/$C$40</f>
        <v/>
      </c>
      <c r="G36" s="78" t="n"/>
      <c r="L36" s="20" t="n"/>
    </row>
    <row r="37">
      <c r="B37" s="34" t="inlineStr">
        <is>
          <t>Авторский надзор - 0,2%</t>
        </is>
      </c>
      <c r="C37" s="35">
        <f>ROUND(SUM(C27:C35)*0.2%,2)</f>
        <v/>
      </c>
      <c r="D37" s="34" t="n"/>
      <c r="E37" s="36">
        <f>C37/$C$40</f>
        <v/>
      </c>
      <c r="G37" s="78" t="n"/>
      <c r="L37" s="20" t="n"/>
    </row>
    <row r="38" ht="38.25" customHeight="1" s="176">
      <c r="B38" s="34" t="inlineStr">
        <is>
          <t>ИТОГО (СМР+ОБОРУДОВАНИЕ+ПРОЧ. ЗАТР., УЧТЕННЫЕ ПОКАЗАТЕЛЕМ)</t>
        </is>
      </c>
      <c r="C38" s="38">
        <f>SUM(C27:C37)</f>
        <v/>
      </c>
      <c r="D38" s="34" t="n"/>
      <c r="E38" s="36">
        <f>C38/$C$40</f>
        <v/>
      </c>
    </row>
    <row r="39" ht="13.5" customHeight="1" s="176">
      <c r="B39" s="34" t="inlineStr">
        <is>
          <t>Непредвиденные расходы - 3%</t>
        </is>
      </c>
      <c r="C39" s="38">
        <f>ROUND(C38*3%,2)</f>
        <v/>
      </c>
      <c r="D39" s="34" t="n"/>
      <c r="E39" s="36">
        <f>C39/$C$40</f>
        <v/>
      </c>
    </row>
    <row r="40">
      <c r="B40" s="34" t="inlineStr">
        <is>
          <t>ВСЕГО:</t>
        </is>
      </c>
      <c r="C40" s="38">
        <f>C39+C38</f>
        <v/>
      </c>
      <c r="D40" s="34" t="n"/>
      <c r="E40" s="36">
        <f>C40/$C$40</f>
        <v/>
      </c>
    </row>
    <row r="41">
      <c r="B41" s="34" t="inlineStr">
        <is>
          <t>ИТОГО ПОКАЗАТЕЛЬ НА ЕД. ИЗМ.</t>
        </is>
      </c>
      <c r="C41" s="38">
        <f>C40/'Прил.5 Расчет СМР и ОБ'!E136</f>
        <v/>
      </c>
      <c r="D41" s="34" t="n"/>
      <c r="E41" s="34" t="n"/>
    </row>
    <row r="42">
      <c r="B42" s="21" t="n"/>
      <c r="C42" s="156" t="n"/>
      <c r="D42" s="156" t="n"/>
      <c r="E42" s="156" t="n"/>
    </row>
    <row r="43">
      <c r="B43" s="156" t="inlineStr">
        <is>
          <t>Составил ______________________        Д.Ю. Нефедова</t>
        </is>
      </c>
      <c r="C43" s="157" t="n"/>
      <c r="D43" s="156" t="n"/>
      <c r="E43" s="156" t="n"/>
    </row>
    <row r="44">
      <c r="B44" s="159" t="inlineStr">
        <is>
          <t xml:space="preserve">                         (подпись, инициалы, фамилия)</t>
        </is>
      </c>
      <c r="C44" s="157" t="n"/>
      <c r="D44" s="156" t="n"/>
      <c r="E44" s="156" t="n"/>
    </row>
    <row r="45">
      <c r="B45" s="156" t="n"/>
      <c r="C45" s="157" t="n"/>
      <c r="D45" s="156" t="n"/>
      <c r="E45" s="156" t="n"/>
    </row>
    <row r="46">
      <c r="B46" s="156" t="inlineStr">
        <is>
          <t>Проверил ______________________        А.В. Костянецкая</t>
        </is>
      </c>
      <c r="C46" s="157" t="n"/>
      <c r="D46" s="156" t="n"/>
      <c r="E46" s="156" t="n"/>
    </row>
    <row r="47">
      <c r="B47" s="159" t="inlineStr">
        <is>
          <t xml:space="preserve">                        (подпись, инициалы, фамилия)</t>
        </is>
      </c>
      <c r="C47" s="157" t="n"/>
      <c r="D47" s="156" t="n"/>
      <c r="E47" s="156" t="n"/>
    </row>
    <row r="49">
      <c r="B49" s="156" t="n"/>
      <c r="C49" s="156" t="n"/>
      <c r="D49" s="156" t="n"/>
      <c r="E49" s="156" t="n"/>
    </row>
    <row r="50">
      <c r="B50" s="156" t="n"/>
      <c r="C50" s="156" t="n"/>
      <c r="D50" s="156" t="n"/>
      <c r="E50" s="156" t="n"/>
    </row>
  </sheetData>
  <mergeCells count="3">
    <mergeCell ref="B7:E7"/>
    <mergeCell ref="B8:E8"/>
    <mergeCell ref="B5:E5"/>
  </mergeCells>
  <pageMargins left="0.7" right="0.7" top="0.75" bottom="0.75" header="0.3" footer="0.3"/>
  <pageSetup orientation="portrait" paperSize="9" scale="74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2:N143"/>
  <sheetViews>
    <sheetView tabSelected="1" view="pageBreakPreview" zoomScale="70" zoomScaleSheetLayoutView="70" workbookViewId="0">
      <selection activeCell="S16" sqref="S16"/>
    </sheetView>
  </sheetViews>
  <sheetFormatPr baseColWidth="8" defaultColWidth="9.140625" defaultRowHeight="15" outlineLevelRow="1"/>
  <cols>
    <col width="5.7109375" customWidth="1" style="157" min="1" max="1"/>
    <col width="22.5703125" customWidth="1" style="157" min="2" max="2"/>
    <col width="39.140625" customWidth="1" style="157" min="3" max="3"/>
    <col width="10.7109375" customWidth="1" style="157" min="4" max="4"/>
    <col width="12.7109375" customWidth="1" style="157" min="5" max="5"/>
    <col width="14.5703125" customWidth="1" style="157" min="6" max="6"/>
    <col width="13.42578125" customWidth="1" style="157" min="7" max="7"/>
    <col width="12.7109375" customWidth="1" style="157" min="8" max="8"/>
    <col width="14.5703125" customWidth="1" style="157" min="9" max="9"/>
    <col width="15.140625" customWidth="1" style="157" min="10" max="10"/>
    <col width="2.85546875" customWidth="1" style="157" min="11" max="11"/>
    <col width="10.7109375" customWidth="1" style="157" min="12" max="12"/>
    <col width="10.85546875" customWidth="1" style="157" min="13" max="13"/>
    <col width="9.140625" customWidth="1" style="157" min="14" max="14"/>
    <col width="9.140625" customWidth="1" style="176" min="15" max="15"/>
  </cols>
  <sheetData>
    <row r="2" ht="15.75" customHeight="1" s="176">
      <c r="I2" s="175" t="n"/>
      <c r="J2" s="80" t="inlineStr">
        <is>
          <t>Приложение №5</t>
        </is>
      </c>
    </row>
    <row r="4" ht="12.75" customFormat="1" customHeight="1" s="156">
      <c r="A4" s="219" t="inlineStr">
        <is>
          <t>Расчет стоимости СМР и оборудования</t>
        </is>
      </c>
      <c r="I4" s="219" t="n"/>
      <c r="J4" s="219" t="n"/>
    </row>
    <row r="5" ht="12.75" customFormat="1" customHeight="1" s="156">
      <c r="A5" s="219" t="n"/>
      <c r="B5" s="219" t="n"/>
      <c r="C5" s="219" t="n"/>
      <c r="D5" s="219" t="n"/>
      <c r="E5" s="219" t="n"/>
      <c r="F5" s="219" t="n"/>
      <c r="G5" s="219" t="n"/>
      <c r="H5" s="219" t="n"/>
      <c r="I5" s="219" t="n"/>
      <c r="J5" s="219" t="n"/>
    </row>
    <row r="6" ht="41.25" customFormat="1" customHeight="1" s="156">
      <c r="A6" s="123" t="inlineStr">
        <is>
          <t>Наименование разрабатываемого показателя УНЦ</t>
        </is>
      </c>
      <c r="B6" s="124" t="n"/>
      <c r="C6" s="124" t="n"/>
      <c r="D6" s="233" t="inlineStr">
        <is>
          <t>Здания блочного типа 6-20 кВ РП (СП, РТП) на 7 ячеек выключателей или ТП (РТП) с одним трансформатором</t>
        </is>
      </c>
    </row>
    <row r="7" ht="12.75" customFormat="1" customHeight="1" s="156">
      <c r="A7" s="233">
        <f>'Прил.1 Сравнит табл'!B9</f>
        <v/>
      </c>
      <c r="I7" s="220" t="n"/>
      <c r="J7" s="220" t="n"/>
    </row>
    <row r="8" ht="12.75" customFormat="1" customHeight="1" s="156"/>
    <row r="9" ht="27" customHeight="1" s="176">
      <c r="A9" s="223" t="inlineStr">
        <is>
          <t>№ пп.</t>
        </is>
      </c>
      <c r="B9" s="223" t="inlineStr">
        <is>
          <t>Код ресурса</t>
        </is>
      </c>
      <c r="C9" s="223" t="inlineStr">
        <is>
          <t>Наименование</t>
        </is>
      </c>
      <c r="D9" s="223" t="inlineStr">
        <is>
          <t>Ед. изм.</t>
        </is>
      </c>
      <c r="E9" s="223" t="inlineStr">
        <is>
          <t>Кол-во единиц по проектным данным</t>
        </is>
      </c>
      <c r="F9" s="223" t="inlineStr">
        <is>
          <t>Сметная стоимость в ценах на 01.01.2000 (руб.)</t>
        </is>
      </c>
      <c r="G9" s="248" t="n"/>
      <c r="H9" s="223" t="inlineStr">
        <is>
          <t>Удельный вес, %</t>
        </is>
      </c>
      <c r="I9" s="223" t="inlineStr">
        <is>
          <t>Сметная стоимость в ценах на 01.01.2023 (руб.)</t>
        </is>
      </c>
      <c r="J9" s="248" t="n"/>
    </row>
    <row r="10" ht="28.5" customHeight="1" s="176">
      <c r="A10" s="250" t="n"/>
      <c r="B10" s="250" t="n"/>
      <c r="C10" s="250" t="n"/>
      <c r="D10" s="250" t="n"/>
      <c r="E10" s="250" t="n"/>
      <c r="F10" s="223" t="inlineStr">
        <is>
          <t>на ед. изм.</t>
        </is>
      </c>
      <c r="G10" s="223" t="inlineStr">
        <is>
          <t>общая</t>
        </is>
      </c>
      <c r="H10" s="250" t="n"/>
      <c r="I10" s="223" t="inlineStr">
        <is>
          <t>на ед. изм.</t>
        </is>
      </c>
      <c r="J10" s="223" t="inlineStr">
        <is>
          <t>общая</t>
        </is>
      </c>
    </row>
    <row r="11">
      <c r="A11" s="223" t="n">
        <v>1</v>
      </c>
      <c r="B11" s="223" t="n">
        <v>2</v>
      </c>
      <c r="C11" s="223" t="n">
        <v>3</v>
      </c>
      <c r="D11" s="223" t="n">
        <v>4</v>
      </c>
      <c r="E11" s="223" t="n">
        <v>5</v>
      </c>
      <c r="F11" s="223" t="n">
        <v>6</v>
      </c>
      <c r="G11" s="223" t="n">
        <v>7</v>
      </c>
      <c r="H11" s="223" t="n">
        <v>8</v>
      </c>
      <c r="I11" s="223" t="n">
        <v>9</v>
      </c>
      <c r="J11" s="223" t="n">
        <v>10</v>
      </c>
    </row>
    <row r="12">
      <c r="A12" s="223" t="n"/>
      <c r="B12" s="234" t="inlineStr">
        <is>
          <t>Затраты труда рабочих-строителей</t>
        </is>
      </c>
      <c r="C12" s="247" t="n"/>
      <c r="D12" s="247" t="n"/>
      <c r="E12" s="247" t="n"/>
      <c r="F12" s="247" t="n"/>
      <c r="G12" s="247" t="n"/>
      <c r="H12" s="248" t="n"/>
      <c r="I12" s="45" t="n"/>
      <c r="J12" s="45" t="n"/>
      <c r="L12" s="96" t="n"/>
    </row>
    <row r="13" ht="25.5" customHeight="1" s="176">
      <c r="A13" s="223" t="n">
        <v>1</v>
      </c>
      <c r="B13" s="98" t="inlineStr">
        <is>
          <t>1-3-4</t>
        </is>
      </c>
      <c r="C13" s="222" t="inlineStr">
        <is>
          <t>Затраты труда рабочих-строителей среднего разряда (3,4)</t>
        </is>
      </c>
      <c r="D13" s="223" t="inlineStr">
        <is>
          <t>чел.-ч.</t>
        </is>
      </c>
      <c r="E13" s="104">
        <f>G13/F13</f>
        <v/>
      </c>
      <c r="F13" s="105" t="n">
        <v>9.619999999999999</v>
      </c>
      <c r="G13" s="105">
        <f>Прил.3!H12</f>
        <v/>
      </c>
      <c r="H13" s="235">
        <f>G13/G14</f>
        <v/>
      </c>
      <c r="I13" s="105">
        <f>ФОТр.тек.!E13</f>
        <v/>
      </c>
      <c r="J13" s="105">
        <f>ROUND(I13*E13,2)</f>
        <v/>
      </c>
    </row>
    <row r="14" ht="25.5" customFormat="1" customHeight="1" s="157">
      <c r="A14" s="223" t="n"/>
      <c r="B14" s="223" t="n"/>
      <c r="C14" s="234" t="inlineStr">
        <is>
          <t>Итого по разделу "Затраты труда рабочих-строителей"</t>
        </is>
      </c>
      <c r="D14" s="223" t="inlineStr">
        <is>
          <t>чел.-ч.</t>
        </is>
      </c>
      <c r="E14" s="104">
        <f>SUM(E13:E13)</f>
        <v/>
      </c>
      <c r="F14" s="105" t="n"/>
      <c r="G14" s="105">
        <f>SUM(G13:G13)</f>
        <v/>
      </c>
      <c r="H14" s="235" t="n">
        <v>1</v>
      </c>
      <c r="I14" s="105" t="n"/>
      <c r="J14" s="105">
        <f>SUM(J13:J13)</f>
        <v/>
      </c>
      <c r="L14" s="97" t="n"/>
    </row>
    <row r="15" ht="14.25" customFormat="1" customHeight="1" s="157">
      <c r="A15" s="223" t="n"/>
      <c r="B15" s="222" t="inlineStr">
        <is>
          <t>Затраты труда машинистов</t>
        </is>
      </c>
      <c r="C15" s="247" t="n"/>
      <c r="D15" s="247" t="n"/>
      <c r="E15" s="247" t="n"/>
      <c r="F15" s="247" t="n"/>
      <c r="G15" s="247" t="n"/>
      <c r="H15" s="248" t="n"/>
      <c r="I15" s="45" t="n"/>
      <c r="J15" s="45" t="n"/>
      <c r="L15" s="96" t="n"/>
    </row>
    <row r="16" ht="14.25" customFormat="1" customHeight="1" s="157">
      <c r="A16" s="223" t="n">
        <v>2</v>
      </c>
      <c r="B16" s="223" t="n">
        <v>2</v>
      </c>
      <c r="C16" s="222" t="inlineStr">
        <is>
          <t>Затраты труда машинистов</t>
        </is>
      </c>
      <c r="D16" s="223" t="inlineStr">
        <is>
          <t>чел.-ч.</t>
        </is>
      </c>
      <c r="E16" s="104">
        <f>Прил.3!F28</f>
        <v/>
      </c>
      <c r="F16" s="105">
        <f>G16/E16</f>
        <v/>
      </c>
      <c r="G16" s="105">
        <f>Прил.3!H28</f>
        <v/>
      </c>
      <c r="H16" s="235" t="n">
        <v>1</v>
      </c>
      <c r="I16" s="105">
        <f>ROUND(F16*Прил.10!D10,2)</f>
        <v/>
      </c>
      <c r="J16" s="105">
        <f>ROUND(I16*E16,2)</f>
        <v/>
      </c>
      <c r="L16" s="72" t="n"/>
    </row>
    <row r="17" ht="14.25" customFormat="1" customHeight="1" s="157">
      <c r="A17" s="223" t="n"/>
      <c r="B17" s="234" t="inlineStr">
        <is>
          <t>Машины и механизмы</t>
        </is>
      </c>
      <c r="C17" s="247" t="n"/>
      <c r="D17" s="247" t="n"/>
      <c r="E17" s="247" t="n"/>
      <c r="F17" s="247" t="n"/>
      <c r="G17" s="247" t="n"/>
      <c r="H17" s="248" t="n"/>
      <c r="I17" s="235" t="n"/>
      <c r="J17" s="235" t="n"/>
    </row>
    <row r="18" ht="14.25" customFormat="1" customHeight="1" s="157">
      <c r="A18" s="223" t="n"/>
      <c r="B18" s="222" t="inlineStr">
        <is>
          <t>Основные машины и механизмы</t>
        </is>
      </c>
      <c r="C18" s="247" t="n"/>
      <c r="D18" s="247" t="n"/>
      <c r="E18" s="247" t="n"/>
      <c r="F18" s="247" t="n"/>
      <c r="G18" s="247" t="n"/>
      <c r="H18" s="248" t="n"/>
      <c r="I18" s="45" t="n"/>
      <c r="J18" s="45" t="n"/>
    </row>
    <row r="19" ht="25.5" customFormat="1" customHeight="1" s="157">
      <c r="A19" s="223" t="n">
        <v>3</v>
      </c>
      <c r="B19" s="98" t="inlineStr">
        <is>
          <t>91.05.08-009</t>
        </is>
      </c>
      <c r="C19" s="222" t="inlineStr">
        <is>
          <t>Краны на пневмоколесном ходу, грузоподъемность 63 т</t>
        </is>
      </c>
      <c r="D19" s="223" t="inlineStr">
        <is>
          <t>маш.час</t>
        </is>
      </c>
      <c r="E19" s="104" t="n">
        <v>27.8</v>
      </c>
      <c r="F19" s="241" t="n">
        <v>271.77</v>
      </c>
      <c r="G19" s="105">
        <f>ROUND(E19*F19,2)</f>
        <v/>
      </c>
      <c r="H19" s="235">
        <f>G19/$G$51</f>
        <v/>
      </c>
      <c r="I19" s="105">
        <f>ROUND(F19*Прил.10!$D$11,2)</f>
        <v/>
      </c>
      <c r="J19" s="105">
        <f>ROUND(I19*E19,2)</f>
        <v/>
      </c>
    </row>
    <row r="20" ht="25.5" customFormat="1" customHeight="1" s="157">
      <c r="A20" s="223" t="n">
        <v>4</v>
      </c>
      <c r="B20" s="98" t="inlineStr">
        <is>
          <t>91.05.06-009</t>
        </is>
      </c>
      <c r="C20" s="222" t="inlineStr">
        <is>
          <t>Краны на гусеничном ходу, грузоподъемность 50-63 т</t>
        </is>
      </c>
      <c r="D20" s="223" t="inlineStr">
        <is>
          <t>маш.час</t>
        </is>
      </c>
      <c r="E20" s="104" t="n">
        <v>8</v>
      </c>
      <c r="F20" s="241" t="n">
        <v>290.01</v>
      </c>
      <c r="G20" s="105">
        <f>ROUND(E20*F20,2)</f>
        <v/>
      </c>
      <c r="H20" s="235">
        <f>G20/$G$51</f>
        <v/>
      </c>
      <c r="I20" s="105">
        <f>ROUND(F20*Прил.10!$D$11,2)</f>
        <v/>
      </c>
      <c r="J20" s="105">
        <f>ROUND(I20*E20,2)</f>
        <v/>
      </c>
    </row>
    <row r="21" ht="14.25" customFormat="1" customHeight="1" s="157">
      <c r="A21" s="223" t="n">
        <v>5</v>
      </c>
      <c r="B21" s="98" t="inlineStr">
        <is>
          <t>91.05.01-017</t>
        </is>
      </c>
      <c r="C21" s="222" t="inlineStr">
        <is>
          <t>Краны башенные, грузоподъемность 8 т</t>
        </is>
      </c>
      <c r="D21" s="223" t="inlineStr">
        <is>
          <t>маш.час</t>
        </is>
      </c>
      <c r="E21" s="104" t="n">
        <v>9.535871999999999</v>
      </c>
      <c r="F21" s="241" t="n">
        <v>86.40000000000001</v>
      </c>
      <c r="G21" s="105">
        <f>ROUND(E21*F21,2)</f>
        <v/>
      </c>
      <c r="H21" s="235">
        <f>G21/$G$51</f>
        <v/>
      </c>
      <c r="I21" s="105">
        <f>ROUND(F21*Прил.10!$D$11,2)</f>
        <v/>
      </c>
      <c r="J21" s="105">
        <f>ROUND(I21*E21,2)</f>
        <v/>
      </c>
    </row>
    <row r="22" ht="25.5" customFormat="1" customHeight="1" s="157">
      <c r="A22" s="223" t="n">
        <v>6</v>
      </c>
      <c r="B22" s="98" t="inlineStr">
        <is>
          <t>91.15.02-024</t>
        </is>
      </c>
      <c r="C22" s="222" t="inlineStr">
        <is>
          <t>Тракторы на гусеничном ходу, мощность 79 кВт (108 л.с.)</t>
        </is>
      </c>
      <c r="D22" s="223" t="inlineStr">
        <is>
          <t>маш.час</t>
        </is>
      </c>
      <c r="E22" s="104" t="n">
        <v>6.2</v>
      </c>
      <c r="F22" s="241" t="n">
        <v>83.09999999999999</v>
      </c>
      <c r="G22" s="105">
        <f>ROUND(E22*F22,2)</f>
        <v/>
      </c>
      <c r="H22" s="235">
        <f>G22/$G$51</f>
        <v/>
      </c>
      <c r="I22" s="105">
        <f>ROUND(F22*Прил.10!$D$11,2)</f>
        <v/>
      </c>
      <c r="J22" s="105">
        <f>ROUND(I22*E22,2)</f>
        <v/>
      </c>
    </row>
    <row r="23" ht="14.25" customFormat="1" customHeight="1" s="157">
      <c r="B23" s="223" t="n"/>
      <c r="C23" s="222" t="inlineStr">
        <is>
          <t>Итого основные машины и механизмы</t>
        </is>
      </c>
      <c r="D23" s="223" t="n"/>
      <c r="E23" s="58" t="n"/>
      <c r="F23" s="105" t="n"/>
      <c r="G23" s="105">
        <f>SUM(G19:G22)</f>
        <v/>
      </c>
      <c r="H23" s="235">
        <f>G23/G51</f>
        <v/>
      </c>
      <c r="I23" s="105" t="n"/>
      <c r="J23" s="105">
        <f>SUM(J19:J22)</f>
        <v/>
      </c>
      <c r="L23" s="96" t="n"/>
    </row>
    <row r="24" hidden="1" outlineLevel="1" ht="25.5" customFormat="1" customHeight="1" s="157">
      <c r="A24" s="223" t="n">
        <v>7</v>
      </c>
      <c r="B24" s="98" t="inlineStr">
        <is>
          <t>91.14.02-001</t>
        </is>
      </c>
      <c r="C24" s="222" t="inlineStr">
        <is>
          <t>Автомобили бортовые, грузоподъемность до 5 т</t>
        </is>
      </c>
      <c r="D24" s="223" t="inlineStr">
        <is>
          <t>маш.час</t>
        </is>
      </c>
      <c r="E24" s="104" t="n">
        <v>7.431529</v>
      </c>
      <c r="F24" s="241" t="n">
        <v>65.70999999999999</v>
      </c>
      <c r="G24" s="105">
        <f>ROUND(E24*F24,2)</f>
        <v/>
      </c>
      <c r="H24" s="235">
        <f>G24/$G$51</f>
        <v/>
      </c>
      <c r="I24" s="105">
        <f>ROUND(F24*Прил.10!$D$11,2)</f>
        <v/>
      </c>
      <c r="J24" s="105">
        <f>ROUND(I24*E24,2)</f>
        <v/>
      </c>
      <c r="L24" s="96" t="n"/>
    </row>
    <row r="25" hidden="1" outlineLevel="1" ht="25.5" customFormat="1" customHeight="1" s="157">
      <c r="A25" s="223" t="n">
        <v>8</v>
      </c>
      <c r="B25" s="98" t="inlineStr">
        <is>
          <t>91.17.04-233</t>
        </is>
      </c>
      <c r="C25" s="222" t="inlineStr">
        <is>
          <t>Установки для сварки ручной дуговой (постоянного тока)</t>
        </is>
      </c>
      <c r="D25" s="223" t="inlineStr">
        <is>
          <t>маш.час</t>
        </is>
      </c>
      <c r="E25" s="104" t="n">
        <v>41.72991</v>
      </c>
      <c r="F25" s="241" t="n">
        <v>8.1</v>
      </c>
      <c r="G25" s="105">
        <f>ROUND(E25*F25,2)</f>
        <v/>
      </c>
      <c r="H25" s="235">
        <f>G25/$G$51</f>
        <v/>
      </c>
      <c r="I25" s="105">
        <f>ROUND(F25*Прил.10!$D$11,2)</f>
        <v/>
      </c>
      <c r="J25" s="105">
        <f>ROUND(I25*E25,2)</f>
        <v/>
      </c>
      <c r="L25" s="96" t="n"/>
    </row>
    <row r="26" hidden="1" outlineLevel="1" ht="25.5" customFormat="1" customHeight="1" s="157">
      <c r="A26" s="223" t="n">
        <v>9</v>
      </c>
      <c r="B26" s="98" t="inlineStr">
        <is>
          <t>91.05.05-015</t>
        </is>
      </c>
      <c r="C26" s="222" t="inlineStr">
        <is>
          <t>Краны на автомобильном ходу, грузоподъемность 16 т</t>
        </is>
      </c>
      <c r="D26" s="223" t="inlineStr">
        <is>
          <t>маш.час</t>
        </is>
      </c>
      <c r="E26" s="104" t="n">
        <v>1.759978</v>
      </c>
      <c r="F26" s="241" t="n">
        <v>115.4</v>
      </c>
      <c r="G26" s="105">
        <f>ROUND(E26*F26,2)</f>
        <v/>
      </c>
      <c r="H26" s="235">
        <f>G26/$G$51</f>
        <v/>
      </c>
      <c r="I26" s="105">
        <f>ROUND(F26*Прил.10!$D$11,2)</f>
        <v/>
      </c>
      <c r="J26" s="105">
        <f>ROUND(I26*E26,2)</f>
        <v/>
      </c>
      <c r="L26" s="96" t="n"/>
    </row>
    <row r="27" hidden="1" outlineLevel="1" ht="25.5" customFormat="1" customHeight="1" s="157">
      <c r="A27" s="223" t="n">
        <v>10</v>
      </c>
      <c r="B27" s="98" t="inlineStr">
        <is>
          <t>91.01.05-084</t>
        </is>
      </c>
      <c r="C27" s="222" t="inlineStr">
        <is>
          <t>Экскаваторы одноковшовые дизельные на гусеничном ходу, емкость ковша 0,4 м3</t>
        </is>
      </c>
      <c r="D27" s="223" t="inlineStr">
        <is>
          <t>маш.час</t>
        </is>
      </c>
      <c r="E27" s="104" t="n">
        <v>2.73856</v>
      </c>
      <c r="F27" s="241" t="n">
        <v>54.81</v>
      </c>
      <c r="G27" s="105">
        <f>ROUND(E27*F27,2)</f>
        <v/>
      </c>
      <c r="H27" s="235">
        <f>G27/$G$51</f>
        <v/>
      </c>
      <c r="I27" s="105">
        <f>ROUND(F27*Прил.10!$D$11,2)</f>
        <v/>
      </c>
      <c r="J27" s="105">
        <f>ROUND(I27*E27,2)</f>
        <v/>
      </c>
      <c r="L27" s="96" t="n"/>
    </row>
    <row r="28" hidden="1" outlineLevel="1" ht="38.25" customFormat="1" customHeight="1" s="157">
      <c r="A28" s="223" t="n">
        <v>11</v>
      </c>
      <c r="B28" s="98" t="inlineStr">
        <is>
          <t>91.06.05-057</t>
        </is>
      </c>
      <c r="C28" s="222" t="inlineStr">
        <is>
          <t>Погрузчики одноковшовые универсальные фронтальные пневмоколесные, грузоподъемность 3 т</t>
        </is>
      </c>
      <c r="D28" s="223" t="inlineStr">
        <is>
          <t>маш.час</t>
        </is>
      </c>
      <c r="E28" s="104" t="n">
        <v>1.6485</v>
      </c>
      <c r="F28" s="241" t="n">
        <v>90.40000000000001</v>
      </c>
      <c r="G28" s="105">
        <f>ROUND(E28*F28,2)</f>
        <v/>
      </c>
      <c r="H28" s="235">
        <f>G28/$G$51</f>
        <v/>
      </c>
      <c r="I28" s="105">
        <f>ROUND(F28*Прил.10!$D$11,2)</f>
        <v/>
      </c>
      <c r="J28" s="105">
        <f>ROUND(I28*E28,2)</f>
        <v/>
      </c>
      <c r="L28" s="96" t="n"/>
    </row>
    <row r="29" hidden="1" outlineLevel="1" ht="25.5" customFormat="1" customHeight="1" s="157">
      <c r="A29" s="223" t="n">
        <v>12</v>
      </c>
      <c r="B29" s="98" t="inlineStr">
        <is>
          <t>91.05.01-025</t>
        </is>
      </c>
      <c r="C29" s="222" t="inlineStr">
        <is>
          <t>Краны башенные, грузоподъемность 25-75 т</t>
        </is>
      </c>
      <c r="D29" s="223" t="inlineStr">
        <is>
          <t>маш.час</t>
        </is>
      </c>
      <c r="E29" s="104" t="n">
        <v>0.1904</v>
      </c>
      <c r="F29" s="241" t="n">
        <v>312.21</v>
      </c>
      <c r="G29" s="105">
        <f>ROUND(E29*F29,2)</f>
        <v/>
      </c>
      <c r="H29" s="235">
        <f>G29/$G$51</f>
        <v/>
      </c>
      <c r="I29" s="105">
        <f>ROUND(F29*Прил.10!$D$11,2)</f>
        <v/>
      </c>
      <c r="J29" s="105">
        <f>ROUND(I29*E29,2)</f>
        <v/>
      </c>
      <c r="L29" s="96" t="n"/>
    </row>
    <row r="30" hidden="1" outlineLevel="1" ht="14.25" customFormat="1" customHeight="1" s="157">
      <c r="A30" s="223" t="n">
        <v>13</v>
      </c>
      <c r="B30" s="98" t="inlineStr">
        <is>
          <t>91.05.02-005</t>
        </is>
      </c>
      <c r="C30" s="222" t="inlineStr">
        <is>
          <t>Краны козловые, грузоподъемность 32 т</t>
        </is>
      </c>
      <c r="D30" s="223" t="inlineStr">
        <is>
          <t>маш.час</t>
        </is>
      </c>
      <c r="E30" s="104" t="n">
        <v>0.47502</v>
      </c>
      <c r="F30" s="241" t="n">
        <v>120.24</v>
      </c>
      <c r="G30" s="105">
        <f>ROUND(E30*F30,2)</f>
        <v/>
      </c>
      <c r="H30" s="235">
        <f>G30/$G$51</f>
        <v/>
      </c>
      <c r="I30" s="105">
        <f>ROUND(F30*Прил.10!$D$11,2)</f>
        <v/>
      </c>
      <c r="J30" s="105">
        <f>ROUND(I30*E30,2)</f>
        <v/>
      </c>
      <c r="L30" s="96" t="n"/>
    </row>
    <row r="31" hidden="1" outlineLevel="1" ht="14.25" customFormat="1" customHeight="1" s="157">
      <c r="A31" s="223" t="n">
        <v>14</v>
      </c>
      <c r="B31" s="98" t="inlineStr">
        <is>
          <t>91.01.01-034</t>
        </is>
      </c>
      <c r="C31" s="222" t="inlineStr">
        <is>
          <t>Бульдозеры, мощность 59 кВт (80 л.с.)</t>
        </is>
      </c>
      <c r="D31" s="223" t="inlineStr">
        <is>
          <t>маш.час</t>
        </is>
      </c>
      <c r="E31" s="104" t="n">
        <v>0.9152</v>
      </c>
      <c r="F31" s="241" t="n">
        <v>59.47</v>
      </c>
      <c r="G31" s="105">
        <f>ROUND(E31*F31,2)</f>
        <v/>
      </c>
      <c r="H31" s="235">
        <f>G31/$G$51</f>
        <v/>
      </c>
      <c r="I31" s="105">
        <f>ROUND(F31*Прил.10!$D$11,2)</f>
        <v/>
      </c>
      <c r="J31" s="105">
        <f>ROUND(I31*E31,2)</f>
        <v/>
      </c>
      <c r="L31" s="96" t="n"/>
    </row>
    <row r="32" hidden="1" outlineLevel="1" ht="25.5" customFormat="1" customHeight="1" s="157">
      <c r="A32" s="223" t="n">
        <v>15</v>
      </c>
      <c r="B32" s="98" t="inlineStr">
        <is>
          <t>91.08.09-024</t>
        </is>
      </c>
      <c r="C32" s="222" t="inlineStr">
        <is>
          <t>Трамбовки пневматические при работе от стационарного компрессора</t>
        </is>
      </c>
      <c r="D32" s="223" t="inlineStr">
        <is>
          <t>маш.час</t>
        </is>
      </c>
      <c r="E32" s="104" t="n">
        <v>8.9436</v>
      </c>
      <c r="F32" s="241" t="n">
        <v>4.91</v>
      </c>
      <c r="G32" s="105">
        <f>ROUND(E32*F32,2)</f>
        <v/>
      </c>
      <c r="H32" s="235">
        <f>G32/$G$51</f>
        <v/>
      </c>
      <c r="I32" s="105">
        <f>ROUND(F32*Прил.10!$D$11,2)</f>
        <v/>
      </c>
      <c r="J32" s="105">
        <f>ROUND(I32*E32,2)</f>
        <v/>
      </c>
      <c r="L32" s="96" t="n"/>
    </row>
    <row r="33" hidden="1" outlineLevel="1" ht="63.75" customFormat="1" customHeight="1" s="157">
      <c r="A33" s="223" t="n">
        <v>16</v>
      </c>
      <c r="B33" s="98" t="inlineStr">
        <is>
          <t>91.10.09-012</t>
        </is>
      </c>
      <c r="C33" s="222" t="inlineStr">
        <is>
          <t>Установки для гидравлических испытаний трубопроводов, давление нагнетания низкое 0,1 МПа (1 кгс/см2), высокое 10 МПа (100 кгс/см2) при работе от передвижных электростанций</t>
        </is>
      </c>
      <c r="D33" s="223" t="inlineStr">
        <is>
          <t>маш.час</t>
        </is>
      </c>
      <c r="E33" s="104" t="n">
        <v>1.44</v>
      </c>
      <c r="F33" s="241" t="n">
        <v>26.32</v>
      </c>
      <c r="G33" s="105">
        <f>ROUND(E33*F33,2)</f>
        <v/>
      </c>
      <c r="H33" s="235">
        <f>G33/$G$51</f>
        <v/>
      </c>
      <c r="I33" s="105">
        <f>ROUND(F33*Прил.10!$D$11,2)</f>
        <v/>
      </c>
      <c r="J33" s="105">
        <f>ROUND(I33*E33,2)</f>
        <v/>
      </c>
      <c r="L33" s="96" t="n"/>
    </row>
    <row r="34" hidden="1" outlineLevel="1" ht="25.5" customFormat="1" customHeight="1" s="157">
      <c r="A34" s="223" t="n">
        <v>17</v>
      </c>
      <c r="B34" s="98" t="inlineStr">
        <is>
          <t>91.05.06-012</t>
        </is>
      </c>
      <c r="C34" s="222" t="inlineStr">
        <is>
          <t>Краны на гусеничном ходу, грузоподъемность до 16 т</t>
        </is>
      </c>
      <c r="D34" s="223" t="inlineStr">
        <is>
          <t>маш.час</t>
        </is>
      </c>
      <c r="E34" s="104" t="n">
        <v>0.3597</v>
      </c>
      <c r="F34" s="241" t="n">
        <v>96.89</v>
      </c>
      <c r="G34" s="105">
        <f>ROUND(E34*F34,2)</f>
        <v/>
      </c>
      <c r="H34" s="235">
        <f>G34/$G$51</f>
        <v/>
      </c>
      <c r="I34" s="105">
        <f>ROUND(F34*Прил.10!$D$11,2)</f>
        <v/>
      </c>
      <c r="J34" s="105">
        <f>ROUND(I34*E34,2)</f>
        <v/>
      </c>
      <c r="L34" s="96" t="n"/>
    </row>
    <row r="35" hidden="1" outlineLevel="1" ht="25.5" customFormat="1" customHeight="1" s="157">
      <c r="A35" s="223" t="n">
        <v>18</v>
      </c>
      <c r="B35" s="98" t="inlineStr">
        <is>
          <t>91.06.03-061</t>
        </is>
      </c>
      <c r="C35" s="222" t="inlineStr">
        <is>
          <t>Лебедки электрические тяговым усилием до 12,26 кН (1,25 т)</t>
        </is>
      </c>
      <c r="D35" s="223" t="inlineStr">
        <is>
          <t>маш.час</t>
        </is>
      </c>
      <c r="E35" s="104" t="n">
        <v>10.1734</v>
      </c>
      <c r="F35" s="241" t="n">
        <v>3.28</v>
      </c>
      <c r="G35" s="105">
        <f>ROUND(E35*F35,2)</f>
        <v/>
      </c>
      <c r="H35" s="235">
        <f>G35/$G$51</f>
        <v/>
      </c>
      <c r="I35" s="105">
        <f>ROUND(F35*Прил.10!$D$11,2)</f>
        <v/>
      </c>
      <c r="J35" s="105">
        <f>ROUND(I35*E35,2)</f>
        <v/>
      </c>
      <c r="L35" s="96" t="n"/>
    </row>
    <row r="36" hidden="1" outlineLevel="1" ht="38.25" customFormat="1" customHeight="1" s="157">
      <c r="A36" s="223" t="n">
        <v>19</v>
      </c>
      <c r="B36" s="98" t="inlineStr">
        <is>
          <t>91.21.01-012</t>
        </is>
      </c>
      <c r="C36" s="222" t="inlineStr">
        <is>
          <t>Агрегаты окрасочные высокого давления для окраски поверхностей конструкций, мощность 1 кВт</t>
        </is>
      </c>
      <c r="D36" s="223" t="inlineStr">
        <is>
          <t>маш.час</t>
        </is>
      </c>
      <c r="E36" s="104" t="n">
        <v>3.3984</v>
      </c>
      <c r="F36" s="241" t="n">
        <v>6.82</v>
      </c>
      <c r="G36" s="105">
        <f>ROUND(E36*F36,2)</f>
        <v/>
      </c>
      <c r="H36" s="235">
        <f>G36/$G$51</f>
        <v/>
      </c>
      <c r="I36" s="105">
        <f>ROUND(F36*Прил.10!$D$11,2)</f>
        <v/>
      </c>
      <c r="J36" s="105">
        <f>ROUND(I36*E36,2)</f>
        <v/>
      </c>
      <c r="L36" s="96" t="n"/>
    </row>
    <row r="37" hidden="1" outlineLevel="1" ht="25.5" customFormat="1" customHeight="1" s="157">
      <c r="A37" s="223" t="n">
        <v>20</v>
      </c>
      <c r="B37" s="98" t="inlineStr">
        <is>
          <t>91.08.09-001</t>
        </is>
      </c>
      <c r="C37" s="222" t="inlineStr">
        <is>
          <t>Виброплиты с двигателем внутреннего сгорания</t>
        </is>
      </c>
      <c r="D37" s="223" t="inlineStr">
        <is>
          <t>маш.час</t>
        </is>
      </c>
      <c r="E37" s="104" t="n">
        <v>0.233046</v>
      </c>
      <c r="F37" s="241" t="n">
        <v>60</v>
      </c>
      <c r="G37" s="105">
        <f>ROUND(E37*F37,2)</f>
        <v/>
      </c>
      <c r="H37" s="235">
        <f>G37/$G$51</f>
        <v/>
      </c>
      <c r="I37" s="105">
        <f>ROUND(F37*Прил.10!$D$11,2)</f>
        <v/>
      </c>
      <c r="J37" s="105">
        <f>ROUND(I37*E37,2)</f>
        <v/>
      </c>
      <c r="L37" s="96" t="n"/>
    </row>
    <row r="38" hidden="1" outlineLevel="1" ht="14.25" customFormat="1" customHeight="1" s="157">
      <c r="A38" s="223" t="n">
        <v>21</v>
      </c>
      <c r="B38" s="98" t="inlineStr">
        <is>
          <t>91.07.04-001</t>
        </is>
      </c>
      <c r="C38" s="222" t="inlineStr">
        <is>
          <t>Вибраторы глубинные</t>
        </is>
      </c>
      <c r="D38" s="223" t="inlineStr">
        <is>
          <t>маш.час</t>
        </is>
      </c>
      <c r="E38" s="104" t="n">
        <v>6.4233</v>
      </c>
      <c r="F38" s="241" t="n">
        <v>1.9</v>
      </c>
      <c r="G38" s="105">
        <f>ROUND(E38*F38,2)</f>
        <v/>
      </c>
      <c r="H38" s="235">
        <f>G38/$G$51</f>
        <v/>
      </c>
      <c r="I38" s="105">
        <f>ROUND(F38*Прил.10!$D$11,2)</f>
        <v/>
      </c>
      <c r="J38" s="105">
        <f>ROUND(I38*E38,2)</f>
        <v/>
      </c>
      <c r="L38" s="96" t="n"/>
    </row>
    <row r="39" hidden="1" outlineLevel="1" ht="14.25" customFormat="1" customHeight="1" s="157">
      <c r="A39" s="223" t="n">
        <v>22</v>
      </c>
      <c r="B39" s="98" t="inlineStr">
        <is>
          <t>91.06.05-011</t>
        </is>
      </c>
      <c r="C39" s="222" t="inlineStr">
        <is>
          <t>Погрузчики, грузоподъемность 5 т</t>
        </is>
      </c>
      <c r="D39" s="223" t="inlineStr">
        <is>
          <t>маш.час</t>
        </is>
      </c>
      <c r="E39" s="104" t="n">
        <v>0.103887</v>
      </c>
      <c r="F39" s="241" t="n">
        <v>89.98999999999999</v>
      </c>
      <c r="G39" s="105">
        <f>ROUND(E39*F39,2)</f>
        <v/>
      </c>
      <c r="H39" s="235">
        <f>G39/$G$51</f>
        <v/>
      </c>
      <c r="I39" s="105">
        <f>ROUND(F39*Прил.10!$D$11,2)</f>
        <v/>
      </c>
      <c r="J39" s="105">
        <f>ROUND(I39*E39,2)</f>
        <v/>
      </c>
      <c r="L39" s="96" t="n"/>
    </row>
    <row r="40" hidden="1" outlineLevel="1" ht="25.5" customFormat="1" customHeight="1" s="157">
      <c r="A40" s="223" t="n">
        <v>23</v>
      </c>
      <c r="B40" s="98" t="inlineStr">
        <is>
          <t>91.06.01-003</t>
        </is>
      </c>
      <c r="C40" s="222" t="inlineStr">
        <is>
          <t>Домкраты гидравлические, грузоподъемность 63-100 т</t>
        </is>
      </c>
      <c r="D40" s="223" t="inlineStr">
        <is>
          <t>маш.час</t>
        </is>
      </c>
      <c r="E40" s="104" t="n">
        <v>10.23016</v>
      </c>
      <c r="F40" s="241" t="n">
        <v>0.9</v>
      </c>
      <c r="G40" s="105">
        <f>ROUND(E40*F40,2)</f>
        <v/>
      </c>
      <c r="H40" s="235">
        <f>G40/$G$51</f>
        <v/>
      </c>
      <c r="I40" s="105">
        <f>ROUND(F40*Прил.10!$D$11,2)</f>
        <v/>
      </c>
      <c r="J40" s="105">
        <f>ROUND(I40*E40,2)</f>
        <v/>
      </c>
      <c r="L40" s="96" t="n"/>
    </row>
    <row r="41" hidden="1" outlineLevel="1" ht="25.5" customFormat="1" customHeight="1" s="157">
      <c r="A41" s="223" t="n">
        <v>24</v>
      </c>
      <c r="B41" s="98" t="inlineStr">
        <is>
          <t>91.17.04-171</t>
        </is>
      </c>
      <c r="C41" s="222" t="inlineStr">
        <is>
          <t>Преобразователи сварочные номинальным сварочным током 315-500 А</t>
        </is>
      </c>
      <c r="D41" s="223" t="inlineStr">
        <is>
          <t>маш.час</t>
        </is>
      </c>
      <c r="E41" s="104" t="n">
        <v>0.70134</v>
      </c>
      <c r="F41" s="241" t="n">
        <v>12.31</v>
      </c>
      <c r="G41" s="105">
        <f>ROUND(E41*F41,2)</f>
        <v/>
      </c>
      <c r="H41" s="235">
        <f>G41/$G$51</f>
        <v/>
      </c>
      <c r="I41" s="105">
        <f>ROUND(F41*Прил.10!$D$11,2)</f>
        <v/>
      </c>
      <c r="J41" s="105">
        <f>ROUND(I41*E41,2)</f>
        <v/>
      </c>
      <c r="L41" s="96" t="n"/>
    </row>
    <row r="42" hidden="1" outlineLevel="1" ht="25.5" customFormat="1" customHeight="1" s="157">
      <c r="A42" s="223" t="n">
        <v>25</v>
      </c>
      <c r="B42" s="98" t="inlineStr">
        <is>
          <t>91.21.16-012</t>
        </is>
      </c>
      <c r="C42" s="222" t="inlineStr">
        <is>
          <t>Прессы гидравлические с электроприводом</t>
        </is>
      </c>
      <c r="D42" s="223" t="inlineStr">
        <is>
          <t>маш.час</t>
        </is>
      </c>
      <c r="E42" s="104" t="n">
        <v>7.5888</v>
      </c>
      <c r="F42" s="241" t="n">
        <v>1.11</v>
      </c>
      <c r="G42" s="105">
        <f>ROUND(E42*F42,2)</f>
        <v/>
      </c>
      <c r="H42" s="235">
        <f>G42/$G$51</f>
        <v/>
      </c>
      <c r="I42" s="105">
        <f>ROUND(F42*Прил.10!$D$11,2)</f>
        <v/>
      </c>
      <c r="J42" s="105">
        <f>ROUND(I42*E42,2)</f>
        <v/>
      </c>
      <c r="L42" s="96" t="n"/>
    </row>
    <row r="43" hidden="1" outlineLevel="1" ht="14.25" customFormat="1" customHeight="1" s="157">
      <c r="A43" s="223" t="n">
        <v>26</v>
      </c>
      <c r="B43" s="98" t="inlineStr">
        <is>
          <t>91.08.04-021</t>
        </is>
      </c>
      <c r="C43" s="222" t="inlineStr">
        <is>
          <t>Котлы битумные передвижные 400 л</t>
        </is>
      </c>
      <c r="D43" s="223" t="inlineStr">
        <is>
          <t>маш.час</t>
        </is>
      </c>
      <c r="E43" s="104" t="n">
        <v>0.27208</v>
      </c>
      <c r="F43" s="241" t="n">
        <v>30</v>
      </c>
      <c r="G43" s="105">
        <f>ROUND(E43*F43,2)</f>
        <v/>
      </c>
      <c r="H43" s="235">
        <f>G43/$G$51</f>
        <v/>
      </c>
      <c r="I43" s="105">
        <f>ROUND(F43*Прил.10!$D$11,2)</f>
        <v/>
      </c>
      <c r="J43" s="105">
        <f>ROUND(I43*E43,2)</f>
        <v/>
      </c>
      <c r="L43" s="96" t="n"/>
    </row>
    <row r="44" hidden="1" outlineLevel="1" ht="25.5" customFormat="1" customHeight="1" s="157">
      <c r="A44" s="223" t="n">
        <v>27</v>
      </c>
      <c r="B44" s="98" t="inlineStr">
        <is>
          <t>91.16.01-002</t>
        </is>
      </c>
      <c r="C44" s="222" t="inlineStr">
        <is>
          <t>Электростанции передвижные, мощность 4 кВт</t>
        </is>
      </c>
      <c r="D44" s="223" t="inlineStr">
        <is>
          <t>маш.час</t>
        </is>
      </c>
      <c r="E44" s="104" t="n">
        <v>0.16704</v>
      </c>
      <c r="F44" s="241" t="n">
        <v>27.11</v>
      </c>
      <c r="G44" s="105">
        <f>ROUND(E44*F44,2)</f>
        <v/>
      </c>
      <c r="H44" s="235">
        <f>G44/$G$51</f>
        <v/>
      </c>
      <c r="I44" s="105">
        <f>ROUND(F44*Прил.10!$D$11,2)</f>
        <v/>
      </c>
      <c r="J44" s="105">
        <f>ROUND(I44*E44,2)</f>
        <v/>
      </c>
      <c r="L44" s="96" t="n"/>
    </row>
    <row r="45" hidden="1" outlineLevel="1" ht="14.25" customFormat="1" customHeight="1" s="157">
      <c r="A45" s="223" t="n">
        <v>28</v>
      </c>
      <c r="B45" s="98" t="inlineStr">
        <is>
          <t>91.17.04-042</t>
        </is>
      </c>
      <c r="C45" s="222" t="inlineStr">
        <is>
          <t>Аппараты для газовой сварки и резки</t>
        </is>
      </c>
      <c r="D45" s="223" t="inlineStr">
        <is>
          <t>маш.час</t>
        </is>
      </c>
      <c r="E45" s="104" t="n">
        <v>3.37728</v>
      </c>
      <c r="F45" s="241" t="n">
        <v>1.2</v>
      </c>
      <c r="G45" s="105">
        <f>ROUND(E45*F45,2)</f>
        <v/>
      </c>
      <c r="H45" s="235">
        <f>G45/$G$51</f>
        <v/>
      </c>
      <c r="I45" s="105">
        <f>ROUND(F45*Прил.10!$D$11,2)</f>
        <v/>
      </c>
      <c r="J45" s="105">
        <f>ROUND(I45*E45,2)</f>
        <v/>
      </c>
      <c r="L45" s="96" t="n"/>
    </row>
    <row r="46" hidden="1" outlineLevel="1" ht="25.5" customFormat="1" customHeight="1" s="157">
      <c r="A46" s="223" t="n">
        <v>29</v>
      </c>
      <c r="B46" s="98" t="inlineStr">
        <is>
          <t>91.08.02-001</t>
        </is>
      </c>
      <c r="C46" s="222" t="inlineStr">
        <is>
          <t>Автогудронаторы, емкость цистерны 3500 л</t>
        </is>
      </c>
      <c r="D46" s="223" t="inlineStr">
        <is>
          <t>маш.час</t>
        </is>
      </c>
      <c r="E46" s="104" t="n">
        <v>0.033</v>
      </c>
      <c r="F46" s="241" t="n">
        <v>118.47</v>
      </c>
      <c r="G46" s="105">
        <f>ROUND(E46*F46,2)</f>
        <v/>
      </c>
      <c r="H46" s="235">
        <f>G46/$G$51</f>
        <v/>
      </c>
      <c r="I46" s="105">
        <f>ROUND(F46*Прил.10!$D$11,2)</f>
        <v/>
      </c>
      <c r="J46" s="105">
        <f>ROUND(I46*E46,2)</f>
        <v/>
      </c>
      <c r="L46" s="96" t="n"/>
    </row>
    <row r="47" hidden="1" outlineLevel="1" ht="25.5" customFormat="1" customHeight="1" s="157">
      <c r="A47" s="223" t="n">
        <v>30</v>
      </c>
      <c r="B47" s="98" t="inlineStr">
        <is>
          <t>91.06.03-055</t>
        </is>
      </c>
      <c r="C47" s="222" t="inlineStr">
        <is>
          <t>Лебедки электрические тяговым усилием 19,62 кН (2 т)</t>
        </is>
      </c>
      <c r="D47" s="223" t="inlineStr">
        <is>
          <t>маш.час</t>
        </is>
      </c>
      <c r="E47" s="104" t="n">
        <v>0.032</v>
      </c>
      <c r="F47" s="241" t="n">
        <v>6.66</v>
      </c>
      <c r="G47" s="105">
        <f>ROUND(E47*F47,2)</f>
        <v/>
      </c>
      <c r="H47" s="235">
        <f>G47/$G$51</f>
        <v/>
      </c>
      <c r="I47" s="105">
        <f>ROUND(F47*Прил.10!$D$11,2)</f>
        <v/>
      </c>
      <c r="J47" s="105">
        <f>ROUND(I47*E47,2)</f>
        <v/>
      </c>
      <c r="L47" s="96" t="n"/>
    </row>
    <row r="48" hidden="1" outlineLevel="1" ht="25.5" customFormat="1" customHeight="1" s="157">
      <c r="A48" s="223" t="n">
        <v>31</v>
      </c>
      <c r="B48" s="98" t="inlineStr">
        <is>
          <t>91.06.03-060</t>
        </is>
      </c>
      <c r="C48" s="222" t="inlineStr">
        <is>
          <t>Лебедки электрические тяговым усилием до 5,79 кН (0,59 т)</t>
        </is>
      </c>
      <c r="D48" s="223" t="inlineStr">
        <is>
          <t>маш.час</t>
        </is>
      </c>
      <c r="E48" s="104" t="n">
        <v>0.0384</v>
      </c>
      <c r="F48" s="241" t="n">
        <v>1.7</v>
      </c>
      <c r="G48" s="105">
        <f>ROUND(E48*F48,2)</f>
        <v/>
      </c>
      <c r="H48" s="235">
        <f>G48/$G$51</f>
        <v/>
      </c>
      <c r="I48" s="105">
        <f>ROUND(F48*Прил.10!$D$11,2)</f>
        <v/>
      </c>
      <c r="J48" s="105">
        <f>ROUND(I48*E48,2)</f>
        <v/>
      </c>
      <c r="L48" s="96" t="n"/>
    </row>
    <row r="49" hidden="1" outlineLevel="1" ht="14.25" customFormat="1" customHeight="1" s="157">
      <c r="A49" s="223" t="n">
        <v>32</v>
      </c>
      <c r="B49" s="98" t="inlineStr">
        <is>
          <t>91.07.04-002</t>
        </is>
      </c>
      <c r="C49" s="222" t="inlineStr">
        <is>
          <t>Вибраторы поверхностные</t>
        </is>
      </c>
      <c r="D49" s="223" t="inlineStr">
        <is>
          <t>маш.час</t>
        </is>
      </c>
      <c r="E49" s="104" t="n">
        <v>0.058114</v>
      </c>
      <c r="F49" s="241" t="n">
        <v>0.5</v>
      </c>
      <c r="G49" s="105">
        <f>ROUND(E49*F49,2)</f>
        <v/>
      </c>
      <c r="H49" s="235">
        <f>G49/$G$51</f>
        <v/>
      </c>
      <c r="I49" s="105">
        <f>ROUND(F49*Прил.10!$D$11,2)</f>
        <v/>
      </c>
      <c r="J49" s="105">
        <f>ROUND(I49*E49,2)</f>
        <v/>
      </c>
      <c r="L49" s="96" t="n"/>
    </row>
    <row r="50" collapsed="1" ht="14.25" customFormat="1" customHeight="1" s="157">
      <c r="A50" s="223" t="n"/>
      <c r="B50" s="223" t="n"/>
      <c r="C50" s="222" t="inlineStr">
        <is>
          <t>Итого прочие машины и механизмы</t>
        </is>
      </c>
      <c r="D50" s="223" t="n"/>
      <c r="E50" s="224" t="n"/>
      <c r="F50" s="105" t="n"/>
      <c r="G50" s="105">
        <f>SUM(G24:G49)</f>
        <v/>
      </c>
      <c r="H50" s="235">
        <f>G50/G51</f>
        <v/>
      </c>
      <c r="I50" s="105" t="n"/>
      <c r="J50" s="105">
        <f>SUM(J24:J49)</f>
        <v/>
      </c>
      <c r="K50" s="50" t="n"/>
      <c r="L50" s="96" t="n"/>
    </row>
    <row r="51" ht="25.5" customFormat="1" customHeight="1" s="157">
      <c r="A51" s="223" t="n"/>
      <c r="B51" s="236" t="n"/>
      <c r="C51" s="227" t="inlineStr">
        <is>
          <t>Итого по разделу «Машины и механизмы»</t>
        </is>
      </c>
      <c r="D51" s="236" t="n"/>
      <c r="E51" s="62" t="n"/>
      <c r="F51" s="63" t="n"/>
      <c r="G51" s="63">
        <f>G23+G50</f>
        <v/>
      </c>
      <c r="H51" s="64" t="n">
        <v>1</v>
      </c>
      <c r="I51" s="63" t="n"/>
      <c r="J51" s="63">
        <f>J23+J50</f>
        <v/>
      </c>
    </row>
    <row r="52" s="176">
      <c r="A52" s="102" t="n"/>
      <c r="B52" s="227" t="inlineStr">
        <is>
          <t xml:space="preserve">Оборудование </t>
        </is>
      </c>
      <c r="C52" s="252" t="n"/>
      <c r="D52" s="252" t="n"/>
      <c r="E52" s="252" t="n"/>
      <c r="F52" s="252" t="n"/>
      <c r="G52" s="252" t="n"/>
      <c r="H52" s="252" t="n"/>
      <c r="I52" s="252" t="n"/>
      <c r="J52" s="253" t="n"/>
      <c r="K52" s="157" t="n"/>
      <c r="L52" s="157" t="n"/>
      <c r="M52" s="157" t="n"/>
      <c r="N52" s="157" t="n"/>
    </row>
    <row r="53" ht="15" customHeight="1" s="176">
      <c r="A53" s="223" t="n"/>
      <c r="B53" s="222" t="inlineStr">
        <is>
          <t>Основное оборудование</t>
        </is>
      </c>
      <c r="C53" s="247" t="n"/>
      <c r="D53" s="247" t="n"/>
      <c r="E53" s="247" t="n"/>
      <c r="F53" s="247" t="n"/>
      <c r="G53" s="247" t="n"/>
      <c r="H53" s="247" t="n"/>
      <c r="I53" s="247" t="n"/>
      <c r="J53" s="248" t="n"/>
      <c r="K53" s="157" t="n"/>
      <c r="L53" s="157" t="n"/>
      <c r="M53" s="157" t="n"/>
      <c r="N53" s="157" t="n"/>
    </row>
    <row r="54" s="176">
      <c r="A54" s="223" t="n">
        <v>33</v>
      </c>
      <c r="B54" s="98" t="inlineStr">
        <is>
          <t>БЦ</t>
        </is>
      </c>
      <c r="C54" s="222" t="inlineStr">
        <is>
          <t>БКТП</t>
        </is>
      </c>
      <c r="D54" s="223" t="inlineStr">
        <is>
          <t>шт</t>
        </is>
      </c>
      <c r="E54" s="104" t="n">
        <v>1</v>
      </c>
      <c r="F54" s="196">
        <f>ROUND(I54/Прил.10!$D$13,2)</f>
        <v/>
      </c>
      <c r="G54" s="105">
        <f>ROUND(E54*F54,2)</f>
        <v/>
      </c>
      <c r="H54" s="235">
        <f>G54/$G$57</f>
        <v/>
      </c>
      <c r="I54" s="105" t="n">
        <v>490000</v>
      </c>
      <c r="J54" s="105">
        <f>ROUND(I54*E54,2)</f>
        <v/>
      </c>
      <c r="K54" s="157" t="n"/>
      <c r="L54" s="157" t="n"/>
      <c r="M54" s="157" t="n"/>
      <c r="N54" s="157" t="n"/>
    </row>
    <row r="55" s="176">
      <c r="A55" s="106" t="n"/>
      <c r="B55" s="223" t="n"/>
      <c r="C55" s="222" t="inlineStr">
        <is>
          <t>Итого основное оборудование</t>
        </is>
      </c>
      <c r="D55" s="223" t="n"/>
      <c r="E55" s="104" t="n"/>
      <c r="F55" s="225" t="n"/>
      <c r="G55" s="105">
        <f>SUM(G54:G54)</f>
        <v/>
      </c>
      <c r="H55" s="235">
        <f>G55/$G$57</f>
        <v/>
      </c>
      <c r="I55" s="105" t="n"/>
      <c r="J55" s="105">
        <f>SUM(J54:J54)</f>
        <v/>
      </c>
      <c r="K55" s="50" t="n"/>
      <c r="L55" s="157" t="n"/>
      <c r="M55" s="157" t="n"/>
      <c r="N55" s="157" t="n"/>
    </row>
    <row r="56" s="176">
      <c r="A56" s="106" t="n"/>
      <c r="B56" s="223" t="n"/>
      <c r="C56" s="222" t="inlineStr">
        <is>
          <t>Итого прочее оборудование</t>
        </is>
      </c>
      <c r="D56" s="223" t="n"/>
      <c r="E56" s="224" t="n"/>
      <c r="F56" s="225" t="n"/>
      <c r="G56" s="105" t="n">
        <v>0</v>
      </c>
      <c r="H56" s="235">
        <f>G56/$G$57</f>
        <v/>
      </c>
      <c r="I56" s="105" t="n"/>
      <c r="J56" s="105" t="n">
        <v>0</v>
      </c>
      <c r="K56" s="50" t="n"/>
      <c r="L56" s="128" t="n"/>
      <c r="M56" s="157" t="n"/>
      <c r="N56" s="157" t="n"/>
    </row>
    <row r="57" s="176">
      <c r="A57" s="223" t="n"/>
      <c r="B57" s="223" t="n"/>
      <c r="C57" s="234" t="inlineStr">
        <is>
          <t>Итого по разделу «Оборудование»</t>
        </is>
      </c>
      <c r="D57" s="223" t="n"/>
      <c r="E57" s="224" t="n"/>
      <c r="F57" s="225" t="n"/>
      <c r="G57" s="105">
        <f>G55+G56</f>
        <v/>
      </c>
      <c r="H57" s="235">
        <f>(G55+G56)/G57</f>
        <v/>
      </c>
      <c r="I57" s="105" t="n"/>
      <c r="J57" s="105">
        <f>J56+J55</f>
        <v/>
      </c>
      <c r="K57" s="50" t="n"/>
      <c r="L57" s="157" t="n"/>
      <c r="M57" s="157" t="n"/>
      <c r="N57" s="157" t="n"/>
    </row>
    <row r="58" ht="25.5" customHeight="1" s="176">
      <c r="A58" s="223" t="n"/>
      <c r="B58" s="223" t="n"/>
      <c r="C58" s="222" t="inlineStr">
        <is>
          <t>в том числе технологическое оборудование</t>
        </is>
      </c>
      <c r="D58" s="223" t="n"/>
      <c r="E58" s="224" t="n"/>
      <c r="F58" s="225" t="n"/>
      <c r="G58" s="105">
        <f>'Прил.6 Расчет ОБ'!G15</f>
        <v/>
      </c>
      <c r="H58" s="235">
        <f>G58/$G$57</f>
        <v/>
      </c>
      <c r="I58" s="105" t="n"/>
      <c r="J58" s="105">
        <f>ROUND(G58*Прил.10!$D$13,2)</f>
        <v/>
      </c>
      <c r="K58" s="50" t="n"/>
      <c r="L58" s="157" t="n"/>
      <c r="M58" s="157" t="n"/>
      <c r="N58" s="157" t="n"/>
    </row>
    <row r="59" ht="14.25" customFormat="1" customHeight="1" s="157">
      <c r="A59" s="237" t="n"/>
      <c r="B59" s="254" t="inlineStr">
        <is>
          <t>Материалы</t>
        </is>
      </c>
      <c r="J59" s="255" t="n"/>
      <c r="K59" s="50" t="n"/>
    </row>
    <row r="60" ht="14.25" customFormat="1" customHeight="1" s="157">
      <c r="A60" s="223" t="n"/>
      <c r="B60" s="222" t="inlineStr">
        <is>
          <t>Основные материалы</t>
        </is>
      </c>
      <c r="C60" s="247" t="n"/>
      <c r="D60" s="247" t="n"/>
      <c r="E60" s="247" t="n"/>
      <c r="F60" s="247" t="n"/>
      <c r="G60" s="247" t="n"/>
      <c r="H60" s="248" t="n"/>
      <c r="I60" s="235" t="n"/>
      <c r="J60" s="235" t="n"/>
    </row>
    <row r="61" ht="76.5" customFormat="1" customHeight="1" s="157">
      <c r="A61" s="223" t="n">
        <v>34</v>
      </c>
      <c r="B61" s="98" t="inlineStr">
        <is>
          <t>07.2.07.13-0001</t>
        </is>
      </c>
      <c r="C61" s="222" t="inlineStr">
        <is>
          <t>Балка (наклонная горка) из стали угловой 250х16 мм, стали листовой толщиной 8 и 14 мм, труб профильных 180х8, 120х7, 100х7, 80х7, 150х7 и 120х160х9 мм, огрунтованная ГФ-021 и окрашенная эмалью ПФ-115 за два раза</t>
        </is>
      </c>
      <c r="D61" s="223" t="inlineStr">
        <is>
          <t>т</t>
        </is>
      </c>
      <c r="E61" s="104" t="n">
        <v>3.185</v>
      </c>
      <c r="F61" s="241" t="n">
        <v>9634.48</v>
      </c>
      <c r="G61" s="105">
        <f>ROUND(E61*F61,2)</f>
        <v/>
      </c>
      <c r="H61" s="235">
        <f>G61/$G$130</f>
        <v/>
      </c>
      <c r="I61" s="105">
        <f>ROUND(F61*Прил.10!$D$12,2)</f>
        <v/>
      </c>
      <c r="J61" s="105">
        <f>ROUND(I61*E61,2)</f>
        <v/>
      </c>
    </row>
    <row r="62" ht="14.25" customFormat="1" customHeight="1" s="157">
      <c r="A62" s="223" t="n">
        <v>35</v>
      </c>
      <c r="B62" s="98" t="inlineStr">
        <is>
          <t>08.4.01.02-0001</t>
        </is>
      </c>
      <c r="C62" s="222" t="inlineStr">
        <is>
          <t>Детали закладные, вес до 1 кг</t>
        </is>
      </c>
      <c r="D62" s="223" t="inlineStr">
        <is>
          <t>т</t>
        </is>
      </c>
      <c r="E62" s="104" t="n">
        <v>1.278</v>
      </c>
      <c r="F62" s="241" t="n">
        <v>11684</v>
      </c>
      <c r="G62" s="105">
        <f>ROUND(E62*F62,2)</f>
        <v/>
      </c>
      <c r="H62" s="235">
        <f>G62/$G$130</f>
        <v/>
      </c>
      <c r="I62" s="105">
        <f>ROUND(F62*Прил.10!$D$12,2)</f>
        <v/>
      </c>
      <c r="J62" s="105">
        <f>ROUND(I62*E62,2)</f>
        <v/>
      </c>
    </row>
    <row r="63" ht="25.5" customFormat="1" customHeight="1" s="157">
      <c r="A63" s="223" t="n">
        <v>36</v>
      </c>
      <c r="B63" s="98" t="inlineStr">
        <is>
          <t>08.4.03.04-0001</t>
        </is>
      </c>
      <c r="C63" s="222" t="inlineStr">
        <is>
          <t>Сталь арматурная, горячекатаная, класс А-I, А-II, А-III</t>
        </is>
      </c>
      <c r="D63" s="223" t="inlineStr">
        <is>
          <t>т</t>
        </is>
      </c>
      <c r="E63" s="104" t="n">
        <v>1.214</v>
      </c>
      <c r="F63" s="241" t="n">
        <v>5650</v>
      </c>
      <c r="G63" s="105">
        <f>ROUND(E63*F63,2)</f>
        <v/>
      </c>
      <c r="H63" s="235">
        <f>G63/$G$130</f>
        <v/>
      </c>
      <c r="I63" s="105">
        <f>ROUND(F63*Прил.10!$D$12,2)</f>
        <v/>
      </c>
      <c r="J63" s="105">
        <f>ROUND(I63*E63,2)</f>
        <v/>
      </c>
    </row>
    <row r="64" ht="25.5" customFormat="1" customHeight="1" s="157">
      <c r="A64" s="223" t="n">
        <v>37</v>
      </c>
      <c r="B64" s="98" t="inlineStr">
        <is>
          <t>04.1.02.01-0001</t>
        </is>
      </c>
      <c r="C64" s="222" t="inlineStr">
        <is>
          <t>Смеси бетонные мелкозернистого бетона (БСМ), класс B3,5 (М50)</t>
        </is>
      </c>
      <c r="D64" s="223" t="inlineStr">
        <is>
          <t>м3</t>
        </is>
      </c>
      <c r="E64" s="104" t="n">
        <v>12.18</v>
      </c>
      <c r="F64" s="241" t="n">
        <v>413.87</v>
      </c>
      <c r="G64" s="105">
        <f>ROUND(E64*F64,2)</f>
        <v/>
      </c>
      <c r="H64" s="235">
        <f>G64/$G$130</f>
        <v/>
      </c>
      <c r="I64" s="105">
        <f>ROUND(F64*Прил.10!$D$12,2)</f>
        <v/>
      </c>
      <c r="J64" s="105">
        <f>ROUND(I64*E64,2)</f>
        <v/>
      </c>
    </row>
    <row r="65" ht="38.25" customFormat="1" customHeight="1" s="157">
      <c r="A65" s="223" t="n">
        <v>38</v>
      </c>
      <c r="B65" s="98" t="inlineStr">
        <is>
          <t>08.4.03.03-0031</t>
        </is>
      </c>
      <c r="C65" s="222" t="inlineStr">
        <is>
          <t>Сталь арматурная, горячекатаная, периодического профиля, класс А-III, диаметр 10 мм</t>
        </is>
      </c>
      <c r="D65" s="223" t="inlineStr">
        <is>
          <t>т</t>
        </is>
      </c>
      <c r="E65" s="104" t="n">
        <v>0.595</v>
      </c>
      <c r="F65" s="241" t="n">
        <v>8014.15</v>
      </c>
      <c r="G65" s="105">
        <f>ROUND(E65*F65,2)</f>
        <v/>
      </c>
      <c r="H65" s="235">
        <f>G65/$G$130</f>
        <v/>
      </c>
      <c r="I65" s="105">
        <f>ROUND(F65*Прил.10!$D$12,2)</f>
        <v/>
      </c>
      <c r="J65" s="105">
        <f>ROUND(I65*E65,2)</f>
        <v/>
      </c>
    </row>
    <row r="66" ht="14.25" customFormat="1" customHeight="1" s="157">
      <c r="A66" s="223" t="n">
        <v>39</v>
      </c>
      <c r="B66" s="98" t="inlineStr">
        <is>
          <t>07.2.07.13-0012</t>
        </is>
      </c>
      <c r="C66" s="222" t="inlineStr">
        <is>
          <t>Балки промежуточные</t>
        </is>
      </c>
      <c r="D66" s="223" t="inlineStr">
        <is>
          <t>т</t>
        </is>
      </c>
      <c r="E66" s="104" t="n">
        <v>0.28</v>
      </c>
      <c r="F66" s="241" t="n">
        <v>11425.09</v>
      </c>
      <c r="G66" s="105">
        <f>ROUND(E66*F66,2)</f>
        <v/>
      </c>
      <c r="H66" s="235">
        <f>G66/$G$130</f>
        <v/>
      </c>
      <c r="I66" s="105">
        <f>ROUND(F66*Прил.10!$D$12,2)</f>
        <v/>
      </c>
      <c r="J66" s="105">
        <f>ROUND(I66*E66,2)</f>
        <v/>
      </c>
    </row>
    <row r="67" ht="38.25" customFormat="1" customHeight="1" s="157">
      <c r="A67" s="223" t="n">
        <v>40</v>
      </c>
      <c r="B67" s="98" t="inlineStr">
        <is>
          <t>02.3.01.02-0016</t>
        </is>
      </c>
      <c r="C67" s="222" t="inlineStr">
        <is>
          <t>Песок природный для строительных: работ средний с крупностью зерен размером свыше 5 мм - до 5% по массе</t>
        </is>
      </c>
      <c r="D67" s="223" t="inlineStr">
        <is>
          <t>м3</t>
        </is>
      </c>
      <c r="E67" s="104" t="n">
        <v>36.96</v>
      </c>
      <c r="F67" s="241" t="n">
        <v>55.26</v>
      </c>
      <c r="G67" s="105">
        <f>ROUND(E67*F67,2)</f>
        <v/>
      </c>
      <c r="H67" s="235">
        <f>G67/$G$130</f>
        <v/>
      </c>
      <c r="I67" s="105">
        <f>ROUND(F67*Прил.10!$D$12,2)</f>
        <v/>
      </c>
      <c r="J67" s="105">
        <f>ROUND(I67*E67,2)</f>
        <v/>
      </c>
    </row>
    <row r="68" ht="25.5" customFormat="1" customHeight="1" s="157">
      <c r="A68" s="223" t="n">
        <v>41</v>
      </c>
      <c r="B68" s="98" t="inlineStr">
        <is>
          <t>25.1.01.04-0031</t>
        </is>
      </c>
      <c r="C68" s="222" t="inlineStr">
        <is>
          <t>Шпалы непропитанные для железных дорог, тип I</t>
        </is>
      </c>
      <c r="D68" s="223" t="inlineStr">
        <is>
          <t>шт</t>
        </is>
      </c>
      <c r="E68" s="104" t="n">
        <v>7</v>
      </c>
      <c r="F68" s="241" t="n">
        <v>266.67</v>
      </c>
      <c r="G68" s="105">
        <f>ROUND(E68*F68,2)</f>
        <v/>
      </c>
      <c r="H68" s="235">
        <f>G68/$G$130</f>
        <v/>
      </c>
      <c r="I68" s="105">
        <f>ROUND(F68*Прил.10!$D$12,2)</f>
        <v/>
      </c>
      <c r="J68" s="105">
        <f>ROUND(I68*E68,2)</f>
        <v/>
      </c>
    </row>
    <row r="69" ht="14.25" customFormat="1" customHeight="1" s="157">
      <c r="B69" s="223" t="n"/>
      <c r="C69" s="222" t="inlineStr">
        <is>
          <t>Итого основные материалы</t>
        </is>
      </c>
      <c r="D69" s="223" t="n"/>
      <c r="E69" s="104" t="n"/>
      <c r="F69" s="225" t="n"/>
      <c r="G69" s="105">
        <f>SUM(G61:G68)</f>
        <v/>
      </c>
      <c r="H69" s="235">
        <f>G69/$G$130</f>
        <v/>
      </c>
      <c r="I69" s="105" t="n"/>
      <c r="J69" s="105">
        <f>SUM(J61:J68)</f>
        <v/>
      </c>
      <c r="K69" s="50" t="n"/>
    </row>
    <row r="70" hidden="1" outlineLevel="1" ht="25.5" customFormat="1" customHeight="1" s="157">
      <c r="A70" s="223" t="n">
        <v>42</v>
      </c>
      <c r="B70" s="98" t="inlineStr">
        <is>
          <t>14.4.02.09-0301</t>
        </is>
      </c>
      <c r="C70" s="145" t="inlineStr">
        <is>
          <t>Композиция антикоррозионная цинкнаполненная</t>
        </is>
      </c>
      <c r="D70" s="223" t="inlineStr">
        <is>
          <t>кг</t>
        </is>
      </c>
      <c r="E70" s="146" t="n">
        <v>6.537</v>
      </c>
      <c r="F70" s="147" t="n">
        <v>238.48</v>
      </c>
      <c r="G70" s="105">
        <f>ROUND(F70*E70,2)</f>
        <v/>
      </c>
      <c r="H70" s="235">
        <f>G70/$G$130</f>
        <v/>
      </c>
      <c r="I70" s="105">
        <f>ROUND(F70*Прил.10!$D$12,2)</f>
        <v/>
      </c>
      <c r="J70" s="105">
        <f>ROUND(I70*E70,2)</f>
        <v/>
      </c>
    </row>
    <row r="71" hidden="1" outlineLevel="1" ht="25.5" customFormat="1" customHeight="1" s="157">
      <c r="A71" s="223" t="n">
        <v>43</v>
      </c>
      <c r="B71" s="98" t="inlineStr">
        <is>
          <t>02.2.05.04-1777</t>
        </is>
      </c>
      <c r="C71" s="145" t="inlineStr">
        <is>
          <t>Щебень М 800, фракция 20-40 мм, группа 2</t>
        </is>
      </c>
      <c r="D71" s="223" t="inlineStr">
        <is>
          <t>м3</t>
        </is>
      </c>
      <c r="E71" s="146" t="n">
        <v>14.212816</v>
      </c>
      <c r="F71" s="147" t="n">
        <v>108.4</v>
      </c>
      <c r="G71" s="105">
        <f>ROUND(F71*E71,2)</f>
        <v/>
      </c>
      <c r="H71" s="235">
        <f>G71/$G$130</f>
        <v/>
      </c>
      <c r="I71" s="105">
        <f>ROUND(F71*Прил.10!$D$12,2)</f>
        <v/>
      </c>
      <c r="J71" s="105">
        <f>ROUND(I71*E71,2)</f>
        <v/>
      </c>
    </row>
    <row r="72" hidden="1" outlineLevel="1" ht="14.25" customFormat="1" customHeight="1" s="157">
      <c r="A72" s="223" t="n">
        <v>44</v>
      </c>
      <c r="B72" s="98" t="inlineStr">
        <is>
          <t>07.2.07.13-0171</t>
        </is>
      </c>
      <c r="C72" s="145" t="inlineStr">
        <is>
          <t>Подкладки металлические</t>
        </is>
      </c>
      <c r="D72" s="223" t="inlineStr">
        <is>
          <t>кг</t>
        </is>
      </c>
      <c r="E72" s="146" t="n">
        <v>122</v>
      </c>
      <c r="F72" s="147" t="n">
        <v>12.6</v>
      </c>
      <c r="G72" s="105">
        <f>ROUND(F72*E72,2)</f>
        <v/>
      </c>
      <c r="H72" s="235">
        <f>G72/$G$130</f>
        <v/>
      </c>
      <c r="I72" s="105">
        <f>ROUND(F72*Прил.10!$D$12,2)</f>
        <v/>
      </c>
      <c r="J72" s="105">
        <f>ROUND(I72*E72,2)</f>
        <v/>
      </c>
    </row>
    <row r="73" hidden="1" outlineLevel="1" ht="25.5" customFormat="1" customHeight="1" s="157">
      <c r="A73" s="223" t="n">
        <v>45</v>
      </c>
      <c r="B73" s="98" t="inlineStr">
        <is>
          <t>04.3.01.09-0023</t>
        </is>
      </c>
      <c r="C73" s="145" t="inlineStr">
        <is>
          <t>Раствор отделочный тяжелый цементный, состав 1:3</t>
        </is>
      </c>
      <c r="D73" s="223" t="inlineStr">
        <is>
          <t>м3</t>
        </is>
      </c>
      <c r="E73" s="146" t="n">
        <v>2.38875</v>
      </c>
      <c r="F73" s="147" t="n">
        <v>497</v>
      </c>
      <c r="G73" s="105">
        <f>ROUND(F73*E73,2)</f>
        <v/>
      </c>
      <c r="H73" s="235">
        <f>G73/$G$130</f>
        <v/>
      </c>
      <c r="I73" s="105">
        <f>ROUND(F73*Прил.10!$D$12,2)</f>
        <v/>
      </c>
      <c r="J73" s="105">
        <f>ROUND(I73*E73,2)</f>
        <v/>
      </c>
    </row>
    <row r="74" hidden="1" outlineLevel="1" ht="25.5" customFormat="1" customHeight="1" s="157">
      <c r="A74" s="223" t="n">
        <v>46</v>
      </c>
      <c r="B74" s="98" t="inlineStr">
        <is>
          <t>08.1.02.11-0001</t>
        </is>
      </c>
      <c r="C74" s="145" t="inlineStr">
        <is>
          <t>Поковки из квадратных заготовок, масса 1,8 кг</t>
        </is>
      </c>
      <c r="D74" s="223" t="inlineStr">
        <is>
          <t>т</t>
        </is>
      </c>
      <c r="E74" s="146" t="n">
        <v>0.1911</v>
      </c>
      <c r="F74" s="147" t="n">
        <v>5989</v>
      </c>
      <c r="G74" s="105">
        <f>ROUND(F74*E74,2)</f>
        <v/>
      </c>
      <c r="H74" s="235">
        <f>G74/$G$130</f>
        <v/>
      </c>
      <c r="I74" s="105">
        <f>ROUND(F74*Прил.10!$D$12,2)</f>
        <v/>
      </c>
      <c r="J74" s="105">
        <f>ROUND(I74*E74,2)</f>
        <v/>
      </c>
    </row>
    <row r="75" hidden="1" outlineLevel="1" ht="25.5" customFormat="1" customHeight="1" s="157">
      <c r="A75" s="223" t="n">
        <v>47</v>
      </c>
      <c r="B75" s="98" t="inlineStr">
        <is>
          <t>07.5.01.02-0041</t>
        </is>
      </c>
      <c r="C75" s="145" t="inlineStr">
        <is>
          <t>Лестницы приставные и прислоненные с ограждениями</t>
        </is>
      </c>
      <c r="D75" s="223" t="inlineStr">
        <is>
          <t>т</t>
        </is>
      </c>
      <c r="E75" s="146" t="n">
        <v>0.066</v>
      </c>
      <c r="F75" s="147" t="n">
        <v>10071.87</v>
      </c>
      <c r="G75" s="105">
        <f>ROUND(F75*E75,2)</f>
        <v/>
      </c>
      <c r="H75" s="235">
        <f>G75/$G$130</f>
        <v/>
      </c>
      <c r="I75" s="105">
        <f>ROUND(F75*Прил.10!$D$12,2)</f>
        <v/>
      </c>
      <c r="J75" s="105">
        <f>ROUND(I75*E75,2)</f>
        <v/>
      </c>
    </row>
    <row r="76" hidden="1" outlineLevel="1" ht="25.5" customFormat="1" customHeight="1" s="157">
      <c r="A76" s="223" t="n">
        <v>48</v>
      </c>
      <c r="B76" s="98" t="inlineStr">
        <is>
          <t>01.2.03.03-0065</t>
        </is>
      </c>
      <c r="C76" s="145" t="inlineStr">
        <is>
          <t>Мастика битумно-резиновая: МБР-90 изолирующая (ГОСТ 15836-79)</t>
        </is>
      </c>
      <c r="D76" s="223" t="inlineStr">
        <is>
          <t>т</t>
        </is>
      </c>
      <c r="E76" s="146" t="n">
        <v>0.06</v>
      </c>
      <c r="F76" s="147" t="n">
        <v>10309.24</v>
      </c>
      <c r="G76" s="105">
        <f>ROUND(F76*E76,2)</f>
        <v/>
      </c>
      <c r="H76" s="235">
        <f>G76/$G$130</f>
        <v/>
      </c>
      <c r="I76" s="105">
        <f>ROUND(F76*Прил.10!$D$12,2)</f>
        <v/>
      </c>
      <c r="J76" s="105">
        <f>ROUND(I76*E76,2)</f>
        <v/>
      </c>
    </row>
    <row r="77" hidden="1" outlineLevel="1" ht="14.25" customFormat="1" customHeight="1" s="157">
      <c r="A77" s="223" t="n">
        <v>49</v>
      </c>
      <c r="B77" s="98" t="inlineStr">
        <is>
          <t>11.2.13.04-0011</t>
        </is>
      </c>
      <c r="C77" s="145" t="inlineStr">
        <is>
          <t>Щиты из досок, толщина 25 мм</t>
        </is>
      </c>
      <c r="D77" s="223" t="inlineStr">
        <is>
          <t>м2</t>
        </is>
      </c>
      <c r="E77" s="146" t="n">
        <v>12.36</v>
      </c>
      <c r="F77" s="147" t="n">
        <v>35.53</v>
      </c>
      <c r="G77" s="105">
        <f>ROUND(F77*E77,2)</f>
        <v/>
      </c>
      <c r="H77" s="235">
        <f>G77/$G$130</f>
        <v/>
      </c>
      <c r="I77" s="105">
        <f>ROUND(F77*Прил.10!$D$12,2)</f>
        <v/>
      </c>
      <c r="J77" s="105">
        <f>ROUND(I77*E77,2)</f>
        <v/>
      </c>
    </row>
    <row r="78" hidden="1" outlineLevel="1" ht="25.5" customFormat="1" customHeight="1" s="157">
      <c r="A78" s="223" t="n">
        <v>50</v>
      </c>
      <c r="B78" s="98" t="inlineStr">
        <is>
          <t>01.7.07.12-0021</t>
        </is>
      </c>
      <c r="C78" s="145" t="inlineStr">
        <is>
          <t>Пленка полиэтиленовая толщиной: 0,2-0,5 мм</t>
        </is>
      </c>
      <c r="D78" s="223" t="inlineStr">
        <is>
          <t>т</t>
        </is>
      </c>
      <c r="E78" s="146" t="n">
        <v>0.0123</v>
      </c>
      <c r="F78" s="147" t="n">
        <v>23500</v>
      </c>
      <c r="G78" s="105">
        <f>ROUND(F78*E78,2)</f>
        <v/>
      </c>
      <c r="H78" s="235">
        <f>G78/$G$130</f>
        <v/>
      </c>
      <c r="I78" s="105">
        <f>ROUND(F78*Прил.10!$D$12,2)</f>
        <v/>
      </c>
      <c r="J78" s="105">
        <f>ROUND(I78*E78,2)</f>
        <v/>
      </c>
    </row>
    <row r="79" hidden="1" outlineLevel="1" ht="38.25" customFormat="1" customHeight="1" s="157">
      <c r="A79" s="223" t="n">
        <v>51</v>
      </c>
      <c r="B79" s="98" t="inlineStr">
        <is>
          <t>11.1.03.06-0095</t>
        </is>
      </c>
      <c r="C79" s="145" t="inlineStr">
        <is>
          <t>Доска обрезная, хвойных пород, ширина 75-150 мм, толщина 44 мм и более, длина 4-6,5 м, сорт III</t>
        </is>
      </c>
      <c r="D79" s="223" t="inlineStr">
        <is>
          <t>м3</t>
        </is>
      </c>
      <c r="E79" s="146" t="n">
        <v>0.268548</v>
      </c>
      <c r="F79" s="147" t="n">
        <v>1056</v>
      </c>
      <c r="G79" s="105">
        <f>ROUND(F79*E79,2)</f>
        <v/>
      </c>
      <c r="H79" s="235">
        <f>G79/$G$130</f>
        <v/>
      </c>
      <c r="I79" s="105">
        <f>ROUND(F79*Прил.10!$D$12,2)</f>
        <v/>
      </c>
      <c r="J79" s="105">
        <f>ROUND(I79*E79,2)</f>
        <v/>
      </c>
    </row>
    <row r="80" hidden="1" outlineLevel="1" ht="14.25" customFormat="1" customHeight="1" s="157">
      <c r="A80" s="223" t="n">
        <v>52</v>
      </c>
      <c r="B80" s="98" t="inlineStr">
        <is>
          <t>14.4.01.01-0003</t>
        </is>
      </c>
      <c r="C80" s="145" t="inlineStr">
        <is>
          <t>Грунтовка ГФ-021</t>
        </is>
      </c>
      <c r="D80" s="223" t="inlineStr">
        <is>
          <t>т</t>
        </is>
      </c>
      <c r="E80" s="146" t="n">
        <v>0.0173873</v>
      </c>
      <c r="F80" s="147" t="n">
        <v>15620</v>
      </c>
      <c r="G80" s="105">
        <f>ROUND(F80*E80,2)</f>
        <v/>
      </c>
      <c r="H80" s="235">
        <f>G80/$G$130</f>
        <v/>
      </c>
      <c r="I80" s="105">
        <f>ROUND(F80*Прил.10!$D$12,2)</f>
        <v/>
      </c>
      <c r="J80" s="105">
        <f>ROUND(I80*E80,2)</f>
        <v/>
      </c>
    </row>
    <row r="81" hidden="1" outlineLevel="1" ht="14.25" customFormat="1" customHeight="1" s="157">
      <c r="A81" s="223" t="n">
        <v>53</v>
      </c>
      <c r="B81" s="98" t="inlineStr">
        <is>
          <t>14.4.04.08-0003</t>
        </is>
      </c>
      <c r="C81" s="145" t="inlineStr">
        <is>
          <t>Эмаль ПФ-115, серая</t>
        </is>
      </c>
      <c r="D81" s="223" t="inlineStr">
        <is>
          <t>т</t>
        </is>
      </c>
      <c r="E81" s="146" t="n">
        <v>0.01728</v>
      </c>
      <c r="F81" s="147" t="n">
        <v>14312.87</v>
      </c>
      <c r="G81" s="105">
        <f>ROUND(F81*E81,2)</f>
        <v/>
      </c>
      <c r="H81" s="235">
        <f>G81/$G$130</f>
        <v/>
      </c>
      <c r="I81" s="105">
        <f>ROUND(F81*Прил.10!$D$12,2)</f>
        <v/>
      </c>
      <c r="J81" s="105">
        <f>ROUND(I81*E81,2)</f>
        <v/>
      </c>
    </row>
    <row r="82" hidden="1" outlineLevel="1" ht="25.5" customFormat="1" customHeight="1" s="157">
      <c r="A82" s="223" t="n">
        <v>54</v>
      </c>
      <c r="B82" s="98" t="inlineStr">
        <is>
          <t>01.7.11.07-0040</t>
        </is>
      </c>
      <c r="C82" s="145" t="inlineStr">
        <is>
          <t>Электроды сварочные Э50А, диаметр 4 мм</t>
        </is>
      </c>
      <c r="D82" s="223" t="inlineStr">
        <is>
          <t>т</t>
        </is>
      </c>
      <c r="E82" s="146" t="n">
        <v>0.021</v>
      </c>
      <c r="F82" s="147" t="n">
        <v>11524</v>
      </c>
      <c r="G82" s="105">
        <f>ROUND(F82*E82,2)</f>
        <v/>
      </c>
      <c r="H82" s="235">
        <f>G82/$G$130</f>
        <v/>
      </c>
      <c r="I82" s="105">
        <f>ROUND(F82*Прил.10!$D$12,2)</f>
        <v/>
      </c>
      <c r="J82" s="105">
        <f>ROUND(I82*E82,2)</f>
        <v/>
      </c>
    </row>
    <row r="83" hidden="1" outlineLevel="1" ht="25.5" customFormat="1" customHeight="1" s="157">
      <c r="A83" s="223" t="n">
        <v>55</v>
      </c>
      <c r="B83" s="98" t="inlineStr">
        <is>
          <t>01.7.19.02-0031</t>
        </is>
      </c>
      <c r="C83" s="145" t="inlineStr">
        <is>
          <t>Кольца резиновые для хризотилцементных напорных муфт САМ</t>
        </is>
      </c>
      <c r="D83" s="223" t="inlineStr">
        <is>
          <t>кг</t>
        </is>
      </c>
      <c r="E83" s="146" t="n">
        <v>7.536</v>
      </c>
      <c r="F83" s="147" t="n">
        <v>28.33</v>
      </c>
      <c r="G83" s="105">
        <f>ROUND(F83*E83,2)</f>
        <v/>
      </c>
      <c r="H83" s="235">
        <f>G83/$G$130</f>
        <v/>
      </c>
      <c r="I83" s="105">
        <f>ROUND(F83*Прил.10!$D$12,2)</f>
        <v/>
      </c>
      <c r="J83" s="105">
        <f>ROUND(I83*E83,2)</f>
        <v/>
      </c>
    </row>
    <row r="84" hidden="1" outlineLevel="1" ht="51" customFormat="1" customHeight="1" s="157">
      <c r="A84" s="223" t="n">
        <v>56</v>
      </c>
      <c r="B84" s="98" t="inlineStr">
        <is>
          <t>24.2.06.04-0020</t>
        </is>
      </c>
      <c r="C84" s="145" t="inlineStr">
        <is>
          <t>Муфта хризотилцементная к напорным трубам САМ 9, диаметр условного прохода 150 мм, наружный диаметр муфты 225 мм</t>
        </is>
      </c>
      <c r="D84" s="223" t="inlineStr">
        <is>
          <t>шт</t>
        </is>
      </c>
      <c r="E84" s="146" t="n">
        <v>18</v>
      </c>
      <c r="F84" s="147" t="n">
        <v>11.6</v>
      </c>
      <c r="G84" s="105">
        <f>ROUND(F84*E84,2)</f>
        <v/>
      </c>
      <c r="H84" s="235">
        <f>G84/$G$130</f>
        <v/>
      </c>
      <c r="I84" s="105">
        <f>ROUND(F84*Прил.10!$D$12,2)</f>
        <v/>
      </c>
      <c r="J84" s="105">
        <f>ROUND(I84*E84,2)</f>
        <v/>
      </c>
    </row>
    <row r="85" hidden="1" outlineLevel="1" ht="25.5" customFormat="1" customHeight="1" s="157">
      <c r="A85" s="223" t="n">
        <v>57</v>
      </c>
      <c r="B85" s="98" t="inlineStr">
        <is>
          <t>04.3.01.09-0011</t>
        </is>
      </c>
      <c r="C85" s="145" t="inlineStr">
        <is>
          <t>Раствор готовый кладочный, цементный, М25</t>
        </is>
      </c>
      <c r="D85" s="223" t="inlineStr">
        <is>
          <t>м3</t>
        </is>
      </c>
      <c r="E85" s="146" t="n">
        <v>0.38</v>
      </c>
      <c r="F85" s="147" t="n">
        <v>463.3</v>
      </c>
      <c r="G85" s="105">
        <f>ROUND(F85*E85,2)</f>
        <v/>
      </c>
      <c r="H85" s="235">
        <f>G85/$G$130</f>
        <v/>
      </c>
      <c r="I85" s="105">
        <f>ROUND(F85*Прил.10!$D$12,2)</f>
        <v/>
      </c>
      <c r="J85" s="105">
        <f>ROUND(I85*E85,2)</f>
        <v/>
      </c>
    </row>
    <row r="86" hidden="1" outlineLevel="1" ht="14.25" customFormat="1" customHeight="1" s="157">
      <c r="A86" s="223" t="n">
        <v>58</v>
      </c>
      <c r="B86" s="98" t="inlineStr">
        <is>
          <t>01.7.15.03-0042</t>
        </is>
      </c>
      <c r="C86" s="145" t="inlineStr">
        <is>
          <t>Болты с гайками и шайбами строительные</t>
        </is>
      </c>
      <c r="D86" s="223" t="inlineStr">
        <is>
          <t>кг</t>
        </is>
      </c>
      <c r="E86" s="146" t="n">
        <v>16.1608</v>
      </c>
      <c r="F86" s="147" t="n">
        <v>9.039999999999999</v>
      </c>
      <c r="G86" s="105">
        <f>ROUND(F86*E86,2)</f>
        <v/>
      </c>
      <c r="H86" s="235">
        <f>G86/$G$130</f>
        <v/>
      </c>
      <c r="I86" s="105">
        <f>ROUND(F86*Прил.10!$D$12,2)</f>
        <v/>
      </c>
      <c r="J86" s="105">
        <f>ROUND(I86*E86,2)</f>
        <v/>
      </c>
    </row>
    <row r="87" hidden="1" outlineLevel="1" ht="14.25" customFormat="1" customHeight="1" s="157">
      <c r="A87" s="223" t="n">
        <v>59</v>
      </c>
      <c r="B87" s="98" t="inlineStr">
        <is>
          <t>14.4.03.03-0002</t>
        </is>
      </c>
      <c r="C87" s="145" t="inlineStr">
        <is>
          <t>Лак битумный БТ-123</t>
        </is>
      </c>
      <c r="D87" s="223" t="inlineStr">
        <is>
          <t>т</t>
        </is>
      </c>
      <c r="E87" s="146" t="n">
        <v>0.0181642</v>
      </c>
      <c r="F87" s="147" t="n">
        <v>7826.9</v>
      </c>
      <c r="G87" s="105">
        <f>ROUND(F87*E87,2)</f>
        <v/>
      </c>
      <c r="H87" s="235">
        <f>G87/$G$130</f>
        <v/>
      </c>
      <c r="I87" s="105">
        <f>ROUND(F87*Прил.10!$D$12,2)</f>
        <v/>
      </c>
      <c r="J87" s="105">
        <f>ROUND(I87*E87,2)</f>
        <v/>
      </c>
    </row>
    <row r="88" hidden="1" outlineLevel="1" ht="14.25" customFormat="1" customHeight="1" s="157">
      <c r="A88" s="223" t="n">
        <v>60</v>
      </c>
      <c r="B88" s="98" t="inlineStr">
        <is>
          <t>01.7.11.07-0032</t>
        </is>
      </c>
      <c r="C88" s="145" t="inlineStr">
        <is>
          <t>Электроды сварочные Э42, диаметр 4 мм</t>
        </is>
      </c>
      <c r="D88" s="223" t="inlineStr">
        <is>
          <t>т</t>
        </is>
      </c>
      <c r="E88" s="146" t="n">
        <v>0.0134365</v>
      </c>
      <c r="F88" s="147" t="n">
        <v>10315.01</v>
      </c>
      <c r="G88" s="105">
        <f>ROUND(F88*E88,2)</f>
        <v/>
      </c>
      <c r="H88" s="235">
        <f>G88/$G$130</f>
        <v/>
      </c>
      <c r="I88" s="105">
        <f>ROUND(F88*Прил.10!$D$12,2)</f>
        <v/>
      </c>
      <c r="J88" s="105">
        <f>ROUND(I88*E88,2)</f>
        <v/>
      </c>
    </row>
    <row r="89" hidden="1" outlineLevel="1" ht="14.25" customFormat="1" customHeight="1" s="157">
      <c r="A89" s="223" t="n">
        <v>61</v>
      </c>
      <c r="B89" s="98" t="inlineStr">
        <is>
          <t>01.7.15.06-0111</t>
        </is>
      </c>
      <c r="C89" s="145" t="inlineStr">
        <is>
          <t>Гвозди строительные</t>
        </is>
      </c>
      <c r="D89" s="223" t="inlineStr">
        <is>
          <t>т</t>
        </is>
      </c>
      <c r="E89" s="146" t="n">
        <v>0.0105509</v>
      </c>
      <c r="F89" s="147" t="n">
        <v>11978</v>
      </c>
      <c r="G89" s="105">
        <f>ROUND(F89*E89,2)</f>
        <v/>
      </c>
      <c r="H89" s="235">
        <f>G89/$G$130</f>
        <v/>
      </c>
      <c r="I89" s="105">
        <f>ROUND(F89*Прил.10!$D$12,2)</f>
        <v/>
      </c>
      <c r="J89" s="105">
        <f>ROUND(I89*E89,2)</f>
        <v/>
      </c>
    </row>
    <row r="90" hidden="1" outlineLevel="1" ht="14.25" customFormat="1" customHeight="1" s="157">
      <c r="A90" s="223" t="n">
        <v>62</v>
      </c>
      <c r="B90" s="98" t="inlineStr">
        <is>
          <t>01.2.03.03-0013</t>
        </is>
      </c>
      <c r="C90" s="145" t="inlineStr">
        <is>
          <t>Мастика битумная кровельная горячая</t>
        </is>
      </c>
      <c r="D90" s="223" t="inlineStr">
        <is>
          <t>т</t>
        </is>
      </c>
      <c r="E90" s="146" t="n">
        <v>0.03344</v>
      </c>
      <c r="F90" s="147" t="n">
        <v>3390</v>
      </c>
      <c r="G90" s="105">
        <f>ROUND(F90*E90,2)</f>
        <v/>
      </c>
      <c r="H90" s="235">
        <f>G90/$G$130</f>
        <v/>
      </c>
      <c r="I90" s="105">
        <f>ROUND(F90*Прил.10!$D$12,2)</f>
        <v/>
      </c>
      <c r="J90" s="105">
        <f>ROUND(I90*E90,2)</f>
        <v/>
      </c>
    </row>
    <row r="91" hidden="1" outlineLevel="1" ht="14.25" customFormat="1" customHeight="1" s="157">
      <c r="A91" s="223" t="n">
        <v>63</v>
      </c>
      <c r="B91" s="98" t="inlineStr">
        <is>
          <t>01.3.02.08-0001</t>
        </is>
      </c>
      <c r="C91" s="145" t="inlineStr">
        <is>
          <t>Кислород газообразный технический</t>
        </is>
      </c>
      <c r="D91" s="223" t="inlineStr">
        <is>
          <t>м3</t>
        </is>
      </c>
      <c r="E91" s="146" t="n">
        <v>17.03642</v>
      </c>
      <c r="F91" s="147" t="n">
        <v>6.22</v>
      </c>
      <c r="G91" s="105">
        <f>ROUND(F91*E91,2)</f>
        <v/>
      </c>
      <c r="H91" s="235">
        <f>G91/$G$130</f>
        <v/>
      </c>
      <c r="I91" s="105">
        <f>ROUND(F91*Прил.10!$D$12,2)</f>
        <v/>
      </c>
      <c r="J91" s="105">
        <f>ROUND(I91*E91,2)</f>
        <v/>
      </c>
    </row>
    <row r="92" hidden="1" outlineLevel="1" ht="25.5" customFormat="1" customHeight="1" s="157">
      <c r="A92" s="223" t="n">
        <v>64</v>
      </c>
      <c r="B92" s="98" t="inlineStr">
        <is>
          <t>999-9950</t>
        </is>
      </c>
      <c r="C92" s="145" t="inlineStr">
        <is>
          <t>Вспомогательные ненормируемые ресурсы (2% от Оплаты труда рабочих)</t>
        </is>
      </c>
      <c r="D92" s="223" t="inlineStr">
        <is>
          <t>руб</t>
        </is>
      </c>
      <c r="E92" s="146" t="n">
        <v>97.8943</v>
      </c>
      <c r="F92" s="147" t="n">
        <v>1</v>
      </c>
      <c r="G92" s="105">
        <f>ROUND(F92*E92,2)</f>
        <v/>
      </c>
      <c r="H92" s="235">
        <f>G92/$G$130</f>
        <v/>
      </c>
      <c r="I92" s="105">
        <f>ROUND(F92*Прил.10!$D$12,2)</f>
        <v/>
      </c>
      <c r="J92" s="105">
        <f>ROUND(I92*E92,2)</f>
        <v/>
      </c>
    </row>
    <row r="93" hidden="1" outlineLevel="1" ht="25.5" customFormat="1" customHeight="1" s="157">
      <c r="A93" s="223" t="n">
        <v>65</v>
      </c>
      <c r="B93" s="98" t="inlineStr">
        <is>
          <t>08.1.02.11-0023</t>
        </is>
      </c>
      <c r="C93" s="145" t="inlineStr">
        <is>
          <t>Поковки простые строительные (скобы, закрепы, хомуты), масса до 1,6 кг</t>
        </is>
      </c>
      <c r="D93" s="223" t="inlineStr">
        <is>
          <t>кг</t>
        </is>
      </c>
      <c r="E93" s="146" t="n">
        <v>6.4</v>
      </c>
      <c r="F93" s="147" t="n">
        <v>15.14</v>
      </c>
      <c r="G93" s="105">
        <f>ROUND(F93*E93,2)</f>
        <v/>
      </c>
      <c r="H93" s="235">
        <f>G93/$G$130</f>
        <v/>
      </c>
      <c r="I93" s="105">
        <f>ROUND(F93*Прил.10!$D$12,2)</f>
        <v/>
      </c>
      <c r="J93" s="105">
        <f>ROUND(I93*E93,2)</f>
        <v/>
      </c>
    </row>
    <row r="94" hidden="1" outlineLevel="1" ht="14.25" customFormat="1" customHeight="1" s="157">
      <c r="A94" s="223" t="n">
        <v>66</v>
      </c>
      <c r="B94" s="98" t="inlineStr">
        <is>
          <t>01.7.15.07-0014</t>
        </is>
      </c>
      <c r="C94" s="145" t="inlineStr">
        <is>
          <t>Дюбели распорные полипропиленовые</t>
        </is>
      </c>
      <c r="D94" s="223" t="inlineStr">
        <is>
          <t>100 шт</t>
        </is>
      </c>
      <c r="E94" s="146" t="n">
        <v>0.72</v>
      </c>
      <c r="F94" s="147" t="n">
        <v>86</v>
      </c>
      <c r="G94" s="105">
        <f>ROUND(F94*E94,2)</f>
        <v/>
      </c>
      <c r="H94" s="235">
        <f>G94/$G$130</f>
        <v/>
      </c>
      <c r="I94" s="105">
        <f>ROUND(F94*Прил.10!$D$12,2)</f>
        <v/>
      </c>
      <c r="J94" s="105">
        <f>ROUND(I94*E94,2)</f>
        <v/>
      </c>
    </row>
    <row r="95" hidden="1" outlineLevel="1" ht="25.5" customFormat="1" customHeight="1" s="157">
      <c r="A95" s="223" t="n">
        <v>67</v>
      </c>
      <c r="B95" s="98" t="inlineStr">
        <is>
          <t>10.3.02.03-0011</t>
        </is>
      </c>
      <c r="C95" s="145" t="inlineStr">
        <is>
          <t>Припои оловянно-свинцовые бессурьмянистые, марка ПОС30</t>
        </is>
      </c>
      <c r="D95" s="223" t="inlineStr">
        <is>
          <t>т</t>
        </is>
      </c>
      <c r="E95" s="146" t="n">
        <v>0.0007775</v>
      </c>
      <c r="F95" s="147" t="n">
        <v>68050</v>
      </c>
      <c r="G95" s="105">
        <f>ROUND(F95*E95,2)</f>
        <v/>
      </c>
      <c r="H95" s="235">
        <f>G95/$G$130</f>
        <v/>
      </c>
      <c r="I95" s="105">
        <f>ROUND(F95*Прил.10!$D$12,2)</f>
        <v/>
      </c>
      <c r="J95" s="105">
        <f>ROUND(I95*E95,2)</f>
        <v/>
      </c>
    </row>
    <row r="96" hidden="1" outlineLevel="1" ht="51" customFormat="1" customHeight="1" s="157">
      <c r="A96" s="223" t="n">
        <v>68</v>
      </c>
      <c r="B96" s="98" t="inlineStr">
        <is>
          <t>24.2.06.04-0019</t>
        </is>
      </c>
      <c r="C96" s="145" t="inlineStr">
        <is>
          <t>Муфта хризотилцементная к напорным трубам САМ 9, диаметр условного прохода 100 мм, наружный диаметр муфты 175 мм</t>
        </is>
      </c>
      <c r="D96" s="223" t="inlineStr">
        <is>
          <t>шт</t>
        </is>
      </c>
      <c r="E96" s="146" t="n">
        <v>6</v>
      </c>
      <c r="F96" s="147" t="n">
        <v>8.6</v>
      </c>
      <c r="G96" s="105">
        <f>ROUND(F96*E96,2)</f>
        <v/>
      </c>
      <c r="H96" s="235">
        <f>G96/$G$130</f>
        <v/>
      </c>
      <c r="I96" s="105">
        <f>ROUND(F96*Прил.10!$D$12,2)</f>
        <v/>
      </c>
      <c r="J96" s="105">
        <f>ROUND(I96*E96,2)</f>
        <v/>
      </c>
    </row>
    <row r="97" hidden="1" outlineLevel="1" ht="14.25" customFormat="1" customHeight="1" s="157">
      <c r="A97" s="223" t="n">
        <v>69</v>
      </c>
      <c r="B97" s="98" t="inlineStr">
        <is>
          <t>25.2.01.01-0001</t>
        </is>
      </c>
      <c r="C97" s="145" t="inlineStr">
        <is>
          <t>Бирки-оконцеватели</t>
        </is>
      </c>
      <c r="D97" s="223" t="inlineStr">
        <is>
          <t>100 шт</t>
        </is>
      </c>
      <c r="E97" s="146" t="n">
        <v>0.7344000000000001</v>
      </c>
      <c r="F97" s="147" t="n">
        <v>63</v>
      </c>
      <c r="G97" s="105">
        <f>ROUND(F97*E97,2)</f>
        <v/>
      </c>
      <c r="H97" s="235">
        <f>G97/$G$130</f>
        <v/>
      </c>
      <c r="I97" s="105">
        <f>ROUND(F97*Прил.10!$D$12,2)</f>
        <v/>
      </c>
      <c r="J97" s="105">
        <f>ROUND(I97*E97,2)</f>
        <v/>
      </c>
    </row>
    <row r="98" hidden="1" outlineLevel="1" ht="25.5" customFormat="1" customHeight="1" s="157">
      <c r="A98" s="223" t="n">
        <v>70</v>
      </c>
      <c r="B98" s="98" t="inlineStr">
        <is>
          <t>04.3.01.09-0014</t>
        </is>
      </c>
      <c r="C98" s="145" t="inlineStr">
        <is>
          <t>Раствор готовый кладочный, цементный, М100</t>
        </is>
      </c>
      <c r="D98" s="223" t="inlineStr">
        <is>
          <t>м3</t>
        </is>
      </c>
      <c r="E98" s="146" t="n">
        <v>0.0828</v>
      </c>
      <c r="F98" s="147" t="n">
        <v>519.8</v>
      </c>
      <c r="G98" s="105">
        <f>ROUND(F98*E98,2)</f>
        <v/>
      </c>
      <c r="H98" s="235">
        <f>G98/$G$130</f>
        <v/>
      </c>
      <c r="I98" s="105">
        <f>ROUND(F98*Прил.10!$D$12,2)</f>
        <v/>
      </c>
      <c r="J98" s="105">
        <f>ROUND(I98*E98,2)</f>
        <v/>
      </c>
    </row>
    <row r="99" hidden="1" outlineLevel="1" ht="38.25" customFormat="1" customHeight="1" s="157">
      <c r="A99" s="223" t="n">
        <v>71</v>
      </c>
      <c r="B99" s="98" t="inlineStr">
        <is>
          <t>11.1.03.01-0079</t>
        </is>
      </c>
      <c r="C99" s="145" t="inlineStr">
        <is>
          <t>Бруски обрезные, хвойных пород, длина 4-6,5 м, ширина 75-150 мм, толщина 40-75 мм, сорт III</t>
        </is>
      </c>
      <c r="D99" s="223" t="inlineStr">
        <is>
          <t>м3</t>
        </is>
      </c>
      <c r="E99" s="146" t="n">
        <v>0.02928</v>
      </c>
      <c r="F99" s="147" t="n">
        <v>1287</v>
      </c>
      <c r="G99" s="105">
        <f>ROUND(F99*E99,2)</f>
        <v/>
      </c>
      <c r="H99" s="235">
        <f>G99/$G$130</f>
        <v/>
      </c>
      <c r="I99" s="105">
        <f>ROUND(F99*Прил.10!$D$12,2)</f>
        <v/>
      </c>
      <c r="J99" s="105">
        <f>ROUND(I99*E99,2)</f>
        <v/>
      </c>
    </row>
    <row r="100" hidden="1" outlineLevel="1" ht="25.5" customFormat="1" customHeight="1" s="157">
      <c r="A100" s="223" t="n">
        <v>72</v>
      </c>
      <c r="B100" s="98" t="inlineStr">
        <is>
          <t>01.2.01.01-0019</t>
        </is>
      </c>
      <c r="C100" s="145" t="inlineStr">
        <is>
          <t>Битумы нефтяные дорожные вязкие БНД 60/90, БНД 90/130</t>
        </is>
      </c>
      <c r="D100" s="223" t="inlineStr">
        <is>
          <t>т</t>
        </is>
      </c>
      <c r="E100" s="146" t="n">
        <v>0.014124</v>
      </c>
      <c r="F100" s="147" t="n">
        <v>1690</v>
      </c>
      <c r="G100" s="105">
        <f>ROUND(F100*E100,2)</f>
        <v/>
      </c>
      <c r="H100" s="235">
        <f>G100/$G$130</f>
        <v/>
      </c>
      <c r="I100" s="105">
        <f>ROUND(F100*Прил.10!$D$12,2)</f>
        <v/>
      </c>
      <c r="J100" s="105">
        <f>ROUND(I100*E100,2)</f>
        <v/>
      </c>
    </row>
    <row r="101" hidden="1" outlineLevel="1" ht="14.25" customFormat="1" customHeight="1" s="157">
      <c r="A101" s="223" t="n">
        <v>73</v>
      </c>
      <c r="B101" s="98" t="inlineStr">
        <is>
          <t>11.2.13.04-0012</t>
        </is>
      </c>
      <c r="C101" s="145" t="inlineStr">
        <is>
          <t>Щиты из досок, толщина 40 мм</t>
        </is>
      </c>
      <c r="D101" s="223" t="inlineStr">
        <is>
          <t>м2</t>
        </is>
      </c>
      <c r="E101" s="146" t="n">
        <v>0.40932</v>
      </c>
      <c r="F101" s="147" t="n">
        <v>57.63</v>
      </c>
      <c r="G101" s="105">
        <f>ROUND(F101*E101,2)</f>
        <v/>
      </c>
      <c r="H101" s="235">
        <f>G101/$G$130</f>
        <v/>
      </c>
      <c r="I101" s="105">
        <f>ROUND(F101*Прил.10!$D$12,2)</f>
        <v/>
      </c>
      <c r="J101" s="105">
        <f>ROUND(I101*E101,2)</f>
        <v/>
      </c>
    </row>
    <row r="102" hidden="1" outlineLevel="1" ht="14.25" customFormat="1" customHeight="1" s="157">
      <c r="A102" s="223" t="n">
        <v>74</v>
      </c>
      <c r="B102" s="98" t="inlineStr">
        <is>
          <t>14.5.09.02-0002</t>
        </is>
      </c>
      <c r="C102" s="145" t="inlineStr">
        <is>
          <t>Ксилол нефтяной, марка А</t>
        </is>
      </c>
      <c r="D102" s="223" t="inlineStr">
        <is>
          <t>т</t>
        </is>
      </c>
      <c r="E102" s="146" t="n">
        <v>0.00288</v>
      </c>
      <c r="F102" s="147" t="n">
        <v>7640</v>
      </c>
      <c r="G102" s="105">
        <f>ROUND(F102*E102,2)</f>
        <v/>
      </c>
      <c r="H102" s="235">
        <f>G102/$G$130</f>
        <v/>
      </c>
      <c r="I102" s="105">
        <f>ROUND(F102*Прил.10!$D$12,2)</f>
        <v/>
      </c>
      <c r="J102" s="105">
        <f>ROUND(I102*E102,2)</f>
        <v/>
      </c>
    </row>
    <row r="103" hidden="1" outlineLevel="1" ht="14.25" customFormat="1" customHeight="1" s="157">
      <c r="A103" s="223" t="n">
        <v>75</v>
      </c>
      <c r="B103" s="98" t="inlineStr">
        <is>
          <t>01.7.07.12-0024</t>
        </is>
      </c>
      <c r="C103" s="145" t="inlineStr">
        <is>
          <t>Пленка полиэтиленовая, толщина 0,15 мм</t>
        </is>
      </c>
      <c r="D103" s="223" t="inlineStr">
        <is>
          <t>м2</t>
        </is>
      </c>
      <c r="E103" s="146" t="n">
        <v>5.861</v>
      </c>
      <c r="F103" s="147" t="n">
        <v>3.62</v>
      </c>
      <c r="G103" s="105">
        <f>ROUND(F103*E103,2)</f>
        <v/>
      </c>
      <c r="H103" s="235">
        <f>G103/$G$130</f>
        <v/>
      </c>
      <c r="I103" s="105">
        <f>ROUND(F103*Прил.10!$D$12,2)</f>
        <v/>
      </c>
      <c r="J103" s="105">
        <f>ROUND(I103*E103,2)</f>
        <v/>
      </c>
    </row>
    <row r="104" hidden="1" outlineLevel="1" ht="25.5" customFormat="1" customHeight="1" s="157">
      <c r="A104" s="223" t="n">
        <v>76</v>
      </c>
      <c r="B104" s="98" t="inlineStr">
        <is>
          <t>01.7.11.07-0034</t>
        </is>
      </c>
      <c r="C104" s="145" t="inlineStr">
        <is>
          <t>Электроды сварочные Э42А, диаметр 4 мм</t>
        </is>
      </c>
      <c r="D104" s="223" t="inlineStr">
        <is>
          <t>кг</t>
        </is>
      </c>
      <c r="E104" s="146" t="n">
        <v>1.819</v>
      </c>
      <c r="F104" s="147" t="n">
        <v>10.57</v>
      </c>
      <c r="G104" s="105">
        <f>ROUND(F104*E104,2)</f>
        <v/>
      </c>
      <c r="H104" s="235">
        <f>G104/$G$130</f>
        <v/>
      </c>
      <c r="I104" s="105">
        <f>ROUND(F104*Прил.10!$D$12,2)</f>
        <v/>
      </c>
      <c r="J104" s="105">
        <f>ROUND(I104*E104,2)</f>
        <v/>
      </c>
    </row>
    <row r="105" hidden="1" outlineLevel="1" ht="14.25" customFormat="1" customHeight="1" s="157">
      <c r="A105" s="223" t="n">
        <v>77</v>
      </c>
      <c r="B105" s="98" t="inlineStr">
        <is>
          <t>14.5.09.11-0102</t>
        </is>
      </c>
      <c r="C105" s="145" t="inlineStr">
        <is>
          <t>Уайт-спирит</t>
        </is>
      </c>
      <c r="D105" s="223" t="inlineStr">
        <is>
          <t>кг</t>
        </is>
      </c>
      <c r="E105" s="146" t="n">
        <v>2.688</v>
      </c>
      <c r="F105" s="147" t="n">
        <v>6.67</v>
      </c>
      <c r="G105" s="105">
        <f>ROUND(F105*E105,2)</f>
        <v/>
      </c>
      <c r="H105" s="235">
        <f>G105/$G$130</f>
        <v/>
      </c>
      <c r="I105" s="105">
        <f>ROUND(F105*Прил.10!$D$12,2)</f>
        <v/>
      </c>
      <c r="J105" s="105">
        <f>ROUND(I105*E105,2)</f>
        <v/>
      </c>
    </row>
    <row r="106" hidden="1" outlineLevel="1" ht="14.25" customFormat="1" customHeight="1" s="157">
      <c r="A106" s="223" t="n">
        <v>78</v>
      </c>
      <c r="B106" s="98" t="inlineStr">
        <is>
          <t>01.7.03.01-0001</t>
        </is>
      </c>
      <c r="C106" s="145" t="inlineStr">
        <is>
          <t>Вода</t>
        </is>
      </c>
      <c r="D106" s="223" t="inlineStr">
        <is>
          <t>м3</t>
        </is>
      </c>
      <c r="E106" s="146" t="n">
        <v>6.628691</v>
      </c>
      <c r="F106" s="147" t="n">
        <v>2.44</v>
      </c>
      <c r="G106" s="105">
        <f>ROUND(F106*E106,2)</f>
        <v/>
      </c>
      <c r="H106" s="235">
        <f>G106/$G$130</f>
        <v/>
      </c>
      <c r="I106" s="105">
        <f>ROUND(F106*Прил.10!$D$12,2)</f>
        <v/>
      </c>
      <c r="J106" s="105">
        <f>ROUND(I106*E106,2)</f>
        <v/>
      </c>
    </row>
    <row r="107" hidden="1" outlineLevel="1" ht="14.25" customFormat="1" customHeight="1" s="157">
      <c r="A107" s="223" t="n">
        <v>79</v>
      </c>
      <c r="B107" s="98" t="inlineStr">
        <is>
          <t>01.3.02.09-0022</t>
        </is>
      </c>
      <c r="C107" s="145" t="inlineStr">
        <is>
          <t>Пропан-бутан смесь техническая</t>
        </is>
      </c>
      <c r="D107" s="223" t="inlineStr">
        <is>
          <t>кг</t>
        </is>
      </c>
      <c r="E107" s="146" t="n">
        <v>2.59226</v>
      </c>
      <c r="F107" s="147" t="n">
        <v>6.09</v>
      </c>
      <c r="G107" s="105">
        <f>ROUND(F107*E107,2)</f>
        <v/>
      </c>
      <c r="H107" s="235">
        <f>G107/$G$130</f>
        <v/>
      </c>
      <c r="I107" s="105">
        <f>ROUND(F107*Прил.10!$D$12,2)</f>
        <v/>
      </c>
      <c r="J107" s="105">
        <f>ROUND(I107*E107,2)</f>
        <v/>
      </c>
    </row>
    <row r="108" hidden="1" outlineLevel="1" ht="25.5" customFormat="1" customHeight="1" s="157">
      <c r="A108" s="223" t="n">
        <v>80</v>
      </c>
      <c r="B108" s="98" t="inlineStr">
        <is>
          <t>04.3.01.12-0003</t>
        </is>
      </c>
      <c r="C108" s="145" t="inlineStr">
        <is>
          <t>Раствор кладочный, цементно-известковый, М50</t>
        </is>
      </c>
      <c r="D108" s="223" t="inlineStr">
        <is>
          <t>м3</t>
        </is>
      </c>
      <c r="E108" s="146" t="n">
        <v>0.024</v>
      </c>
      <c r="F108" s="147" t="n">
        <v>519.8</v>
      </c>
      <c r="G108" s="105">
        <f>ROUND(F108*E108,2)</f>
        <v/>
      </c>
      <c r="H108" s="235">
        <f>G108/$G$130</f>
        <v/>
      </c>
      <c r="I108" s="105">
        <f>ROUND(F108*Прил.10!$D$12,2)</f>
        <v/>
      </c>
      <c r="J108" s="105">
        <f>ROUND(I108*E108,2)</f>
        <v/>
      </c>
    </row>
    <row r="109" hidden="1" outlineLevel="1" ht="14.25" customFormat="1" customHeight="1" s="157">
      <c r="A109" s="223" t="n">
        <v>81</v>
      </c>
      <c r="B109" s="98" t="inlineStr">
        <is>
          <t>01.7.15.14-0165</t>
        </is>
      </c>
      <c r="C109" s="145" t="inlineStr">
        <is>
          <t>Шурупы с полукруглой головкой 4х40 мм</t>
        </is>
      </c>
      <c r="D109" s="223" t="inlineStr">
        <is>
          <t>т</t>
        </is>
      </c>
      <c r="E109" s="146" t="n">
        <v>0.0009898000000000001</v>
      </c>
      <c r="F109" s="147" t="n">
        <v>12430</v>
      </c>
      <c r="G109" s="105">
        <f>ROUND(F109*E109,2)</f>
        <v/>
      </c>
      <c r="H109" s="235">
        <f>G109/$G$130</f>
        <v/>
      </c>
      <c r="I109" s="105">
        <f>ROUND(F109*Прил.10!$D$12,2)</f>
        <v/>
      </c>
      <c r="J109" s="105">
        <f>ROUND(I109*E109,2)</f>
        <v/>
      </c>
    </row>
    <row r="110" hidden="1" outlineLevel="1" ht="14.25" customFormat="1" customHeight="1" s="157">
      <c r="A110" s="223" t="n">
        <v>82</v>
      </c>
      <c r="B110" s="98" t="inlineStr">
        <is>
          <t>01.7.06.07-0002</t>
        </is>
      </c>
      <c r="C110" s="145" t="inlineStr">
        <is>
          <t>Лента монтажная, тип ЛМ-5</t>
        </is>
      </c>
      <c r="D110" s="223" t="inlineStr">
        <is>
          <t>10 м</t>
        </is>
      </c>
      <c r="E110" s="146" t="n">
        <v>1.48195</v>
      </c>
      <c r="F110" s="147" t="n">
        <v>6.9</v>
      </c>
      <c r="G110" s="105">
        <f>ROUND(F110*E110,2)</f>
        <v/>
      </c>
      <c r="H110" s="235">
        <f>G110/$G$130</f>
        <v/>
      </c>
      <c r="I110" s="105">
        <f>ROUND(F110*Прил.10!$D$12,2)</f>
        <v/>
      </c>
      <c r="J110" s="105">
        <f>ROUND(I110*E110,2)</f>
        <v/>
      </c>
    </row>
    <row r="111" hidden="1" outlineLevel="1" ht="14.25" customFormat="1" customHeight="1" s="157">
      <c r="A111" s="223" t="n">
        <v>83</v>
      </c>
      <c r="B111" s="98" t="inlineStr">
        <is>
          <t>14.4.03.17-0101</t>
        </is>
      </c>
      <c r="C111" s="145" t="inlineStr">
        <is>
          <t>Лак канифольный КФ-965</t>
        </is>
      </c>
      <c r="D111" s="223" t="inlineStr">
        <is>
          <t>т</t>
        </is>
      </c>
      <c r="E111" s="146" t="n">
        <v>0.000144</v>
      </c>
      <c r="F111" s="147" t="n">
        <v>70200</v>
      </c>
      <c r="G111" s="105">
        <f>ROUND(F111*E111,2)</f>
        <v/>
      </c>
      <c r="H111" s="235">
        <f>G111/$G$130</f>
        <v/>
      </c>
      <c r="I111" s="105">
        <f>ROUND(F111*Прил.10!$D$12,2)</f>
        <v/>
      </c>
      <c r="J111" s="105">
        <f>ROUND(I111*E111,2)</f>
        <v/>
      </c>
    </row>
    <row r="112" hidden="1" outlineLevel="1" ht="38.25" customFormat="1" customHeight="1" s="157">
      <c r="A112" s="223" t="n">
        <v>84</v>
      </c>
      <c r="B112" s="98" t="inlineStr">
        <is>
          <t>01.7.06.05-0041</t>
        </is>
      </c>
      <c r="C112" s="145" t="inlineStr">
        <is>
          <t>Лента изоляционная прорезиненная односторонняя, ширина 20 мм, толщина 0,25-0,35 мм</t>
        </is>
      </c>
      <c r="D112" s="223" t="inlineStr">
        <is>
          <t>кг</t>
        </is>
      </c>
      <c r="E112" s="146" t="n">
        <v>0.288</v>
      </c>
      <c r="F112" s="147" t="n">
        <v>30.4</v>
      </c>
      <c r="G112" s="105">
        <f>ROUND(F112*E112,2)</f>
        <v/>
      </c>
      <c r="H112" s="235">
        <f>G112/$G$130</f>
        <v/>
      </c>
      <c r="I112" s="105">
        <f>ROUND(F112*Прил.10!$D$12,2)</f>
        <v/>
      </c>
      <c r="J112" s="105">
        <f>ROUND(I112*E112,2)</f>
        <v/>
      </c>
    </row>
    <row r="113" hidden="1" outlineLevel="1" ht="25.5" customFormat="1" customHeight="1" s="157">
      <c r="A113" s="223" t="n">
        <v>85</v>
      </c>
      <c r="B113" s="98" t="inlineStr">
        <is>
          <t>03.1.02.03-0011</t>
        </is>
      </c>
      <c r="C113" s="145" t="inlineStr">
        <is>
          <t>Известь строительная негашеная комовая, сорт I</t>
        </is>
      </c>
      <c r="D113" s="223" t="inlineStr">
        <is>
          <t>т</t>
        </is>
      </c>
      <c r="E113" s="146" t="n">
        <v>0.010017</v>
      </c>
      <c r="F113" s="147" t="n">
        <v>734.5</v>
      </c>
      <c r="G113" s="105">
        <f>ROUND(F113*E113,2)</f>
        <v/>
      </c>
      <c r="H113" s="235">
        <f>G113/$G$130</f>
        <v/>
      </c>
      <c r="I113" s="105">
        <f>ROUND(F113*Прил.10!$D$12,2)</f>
        <v/>
      </c>
      <c r="J113" s="105">
        <f>ROUND(I113*E113,2)</f>
        <v/>
      </c>
    </row>
    <row r="114" hidden="1" outlineLevel="1" ht="25.5" customFormat="1" customHeight="1" s="157">
      <c r="A114" s="223" t="n">
        <v>86</v>
      </c>
      <c r="B114" s="98" t="inlineStr">
        <is>
          <t>02.3.01.02-1012</t>
        </is>
      </c>
      <c r="C114" s="145" t="inlineStr">
        <is>
          <t>Песок природный II класс, средний, круглые сита</t>
        </is>
      </c>
      <c r="D114" s="223" t="inlineStr">
        <is>
          <t>м3</t>
        </is>
      </c>
      <c r="E114" s="146" t="n">
        <v>0.1177</v>
      </c>
      <c r="F114" s="147" t="n">
        <v>59.99</v>
      </c>
      <c r="G114" s="105">
        <f>ROUND(F114*E114,2)</f>
        <v/>
      </c>
      <c r="H114" s="235">
        <f>G114/$G$130</f>
        <v/>
      </c>
      <c r="I114" s="105">
        <f>ROUND(F114*Прил.10!$D$12,2)</f>
        <v/>
      </c>
      <c r="J114" s="105">
        <f>ROUND(I114*E114,2)</f>
        <v/>
      </c>
    </row>
    <row r="115" hidden="1" outlineLevel="1" ht="14.25" customFormat="1" customHeight="1" s="157">
      <c r="A115" s="223" t="n">
        <v>87</v>
      </c>
      <c r="B115" s="98" t="inlineStr">
        <is>
          <t>01.3.01.03-0002</t>
        </is>
      </c>
      <c r="C115" s="145" t="inlineStr">
        <is>
          <t>Керосин для технических целей</t>
        </is>
      </c>
      <c r="D115" s="223" t="inlineStr">
        <is>
          <t>т</t>
        </is>
      </c>
      <c r="E115" s="146" t="n">
        <v>0.002432</v>
      </c>
      <c r="F115" s="147" t="n">
        <v>2606.9</v>
      </c>
      <c r="G115" s="105">
        <f>ROUND(F115*E115,2)</f>
        <v/>
      </c>
      <c r="H115" s="235">
        <f>G115/$G$130</f>
        <v/>
      </c>
      <c r="I115" s="105">
        <f>ROUND(F115*Прил.10!$D$12,2)</f>
        <v/>
      </c>
      <c r="J115" s="105">
        <f>ROUND(I115*E115,2)</f>
        <v/>
      </c>
    </row>
    <row r="116" hidden="1" outlineLevel="1" ht="25.5" customFormat="1" customHeight="1" s="157">
      <c r="A116" s="223" t="n">
        <v>88</v>
      </c>
      <c r="B116" s="98" t="inlineStr">
        <is>
          <t>08.3.03.06-0002</t>
        </is>
      </c>
      <c r="C116" s="145" t="inlineStr">
        <is>
          <t>Проволока горячекатаная в мотках, диаметр 6,3-6,5 мм</t>
        </is>
      </c>
      <c r="D116" s="223" t="inlineStr">
        <is>
          <t>т</t>
        </is>
      </c>
      <c r="E116" s="146" t="n">
        <v>0.0011701</v>
      </c>
      <c r="F116" s="147" t="n">
        <v>4455.2</v>
      </c>
      <c r="G116" s="105">
        <f>ROUND(F116*E116,2)</f>
        <v/>
      </c>
      <c r="H116" s="235">
        <f>G116/$G$130</f>
        <v/>
      </c>
      <c r="I116" s="105">
        <f>ROUND(F116*Прил.10!$D$12,2)</f>
        <v/>
      </c>
      <c r="J116" s="105">
        <f>ROUND(I116*E116,2)</f>
        <v/>
      </c>
    </row>
    <row r="117" hidden="1" outlineLevel="1" ht="14.25" customFormat="1" customHeight="1" s="157">
      <c r="A117" s="223" t="n">
        <v>89</v>
      </c>
      <c r="B117" s="98" t="inlineStr">
        <is>
          <t>08.3.11.01-0091</t>
        </is>
      </c>
      <c r="C117" s="145" t="inlineStr">
        <is>
          <t>Швеллеры № 40, марка стали Ст0</t>
        </is>
      </c>
      <c r="D117" s="223" t="inlineStr">
        <is>
          <t>т</t>
        </is>
      </c>
      <c r="E117" s="146" t="n">
        <v>0.0006712000000000001</v>
      </c>
      <c r="F117" s="147" t="n">
        <v>4920</v>
      </c>
      <c r="G117" s="105">
        <f>ROUND(F117*E117,2)</f>
        <v/>
      </c>
      <c r="H117" s="235">
        <f>G117/$G$130</f>
        <v/>
      </c>
      <c r="I117" s="105">
        <f>ROUND(F117*Прил.10!$D$12,2)</f>
        <v/>
      </c>
      <c r="J117" s="105">
        <f>ROUND(I117*E117,2)</f>
        <v/>
      </c>
    </row>
    <row r="118" hidden="1" outlineLevel="1" ht="14.25" customFormat="1" customHeight="1" s="157">
      <c r="A118" s="223" t="n">
        <v>90</v>
      </c>
      <c r="B118" s="98" t="inlineStr">
        <is>
          <t>01.3.01.02-0002</t>
        </is>
      </c>
      <c r="C118" s="145" t="inlineStr">
        <is>
          <t>Вазелин технический</t>
        </is>
      </c>
      <c r="D118" s="223" t="inlineStr">
        <is>
          <t>кг</t>
        </is>
      </c>
      <c r="E118" s="146" t="n">
        <v>0.07199999999999999</v>
      </c>
      <c r="F118" s="147" t="n">
        <v>44.97</v>
      </c>
      <c r="G118" s="105">
        <f>ROUND(F118*E118,2)</f>
        <v/>
      </c>
      <c r="H118" s="235">
        <f>G118/$G$130</f>
        <v/>
      </c>
      <c r="I118" s="105">
        <f>ROUND(F118*Прил.10!$D$12,2)</f>
        <v/>
      </c>
      <c r="J118" s="105">
        <f>ROUND(I118*E118,2)</f>
        <v/>
      </c>
    </row>
    <row r="119" hidden="1" outlineLevel="1" ht="14.25" customFormat="1" customHeight="1" s="157">
      <c r="A119" s="223" t="n">
        <v>91</v>
      </c>
      <c r="B119" s="98" t="inlineStr">
        <is>
          <t>01.7.11.07-0036</t>
        </is>
      </c>
      <c r="C119" s="145" t="inlineStr">
        <is>
          <t>Электроды сварочные Э46, диаметр 4 мм</t>
        </is>
      </c>
      <c r="D119" s="223" t="inlineStr">
        <is>
          <t>кг</t>
        </is>
      </c>
      <c r="E119" s="146" t="n">
        <v>0.264</v>
      </c>
      <c r="F119" s="147" t="n">
        <v>10.75</v>
      </c>
      <c r="G119" s="105">
        <f>ROUND(F119*E119,2)</f>
        <v/>
      </c>
      <c r="H119" s="235">
        <f>G119/$G$130</f>
        <v/>
      </c>
      <c r="I119" s="105">
        <f>ROUND(F119*Прил.10!$D$12,2)</f>
        <v/>
      </c>
      <c r="J119" s="105">
        <f>ROUND(I119*E119,2)</f>
        <v/>
      </c>
    </row>
    <row r="120" hidden="1" outlineLevel="1" ht="14.25" customFormat="1" customHeight="1" s="157">
      <c r="A120" s="223" t="n">
        <v>92</v>
      </c>
      <c r="B120" s="98" t="inlineStr">
        <is>
          <t>14.5.09.07-0030</t>
        </is>
      </c>
      <c r="C120" s="145" t="inlineStr">
        <is>
          <t>Растворитель Р-4</t>
        </is>
      </c>
      <c r="D120" s="223" t="inlineStr">
        <is>
          <t>кг</t>
        </is>
      </c>
      <c r="E120" s="146" t="n">
        <v>0.2076</v>
      </c>
      <c r="F120" s="147" t="n">
        <v>9.42</v>
      </c>
      <c r="G120" s="105">
        <f>ROUND(F120*E120,2)</f>
        <v/>
      </c>
      <c r="H120" s="235">
        <f>G120/$G$130</f>
        <v/>
      </c>
      <c r="I120" s="105">
        <f>ROUND(F120*Прил.10!$D$12,2)</f>
        <v/>
      </c>
      <c r="J120" s="105">
        <f>ROUND(I120*E120,2)</f>
        <v/>
      </c>
    </row>
    <row r="121" hidden="1" outlineLevel="1" ht="14.25" customFormat="1" customHeight="1" s="157">
      <c r="A121" s="223" t="n">
        <v>93</v>
      </c>
      <c r="B121" s="98" t="inlineStr">
        <is>
          <t>01.7.20.04-0005</t>
        </is>
      </c>
      <c r="C121" s="145" t="inlineStr">
        <is>
          <t>Нитки швейные</t>
        </is>
      </c>
      <c r="D121" s="223" t="inlineStr">
        <is>
          <t>кг</t>
        </is>
      </c>
      <c r="E121" s="146" t="n">
        <v>0.0144</v>
      </c>
      <c r="F121" s="147" t="n">
        <v>133.05</v>
      </c>
      <c r="G121" s="105">
        <f>ROUND(F121*E121,2)</f>
        <v/>
      </c>
      <c r="H121" s="235">
        <f>G121/$G$130</f>
        <v/>
      </c>
      <c r="I121" s="105">
        <f>ROUND(F121*Прил.10!$D$12,2)</f>
        <v/>
      </c>
      <c r="J121" s="105">
        <f>ROUND(I121*E121,2)</f>
        <v/>
      </c>
    </row>
    <row r="122" hidden="1" outlineLevel="1" ht="14.25" customFormat="1" customHeight="1" s="157">
      <c r="A122" s="223" t="n">
        <v>94</v>
      </c>
      <c r="B122" s="98" t="inlineStr">
        <is>
          <t>01.2.01.02-0054</t>
        </is>
      </c>
      <c r="C122" s="145" t="inlineStr">
        <is>
          <t>Битумы нефтяные строительные БН-90/10</t>
        </is>
      </c>
      <c r="D122" s="223" t="inlineStr">
        <is>
          <t>т</t>
        </is>
      </c>
      <c r="E122" s="146" t="n">
        <v>0.001216</v>
      </c>
      <c r="F122" s="147" t="n">
        <v>1383.1</v>
      </c>
      <c r="G122" s="105">
        <f>ROUND(F122*E122,2)</f>
        <v/>
      </c>
      <c r="H122" s="235">
        <f>G122/$G$130</f>
        <v/>
      </c>
      <c r="I122" s="105">
        <f>ROUND(F122*Прил.10!$D$12,2)</f>
        <v/>
      </c>
      <c r="J122" s="105">
        <f>ROUND(I122*E122,2)</f>
        <v/>
      </c>
    </row>
    <row r="123" hidden="1" outlineLevel="1" ht="51" customFormat="1" customHeight="1" s="157">
      <c r="A123" s="223" t="n">
        <v>95</v>
      </c>
      <c r="B123" s="98" t="inlineStr">
        <is>
          <t>07.2.07.12-0020</t>
        </is>
      </c>
      <c r="C123" s="145" t="inlineStr">
        <is>
          <t>Элементы конструктивные зданий и сооружений с преобладанием горячекатаных профилей, средняя масса сборочной единицы от 0,1 до 0,5 т</t>
        </is>
      </c>
      <c r="D123" s="223" t="inlineStr">
        <is>
          <t>т</t>
        </is>
      </c>
      <c r="E123" s="146" t="n">
        <v>0.000206</v>
      </c>
      <c r="F123" s="147" t="n">
        <v>7712</v>
      </c>
      <c r="G123" s="105">
        <f>ROUND(F123*E123,2)</f>
        <v/>
      </c>
      <c r="H123" s="235">
        <f>G123/$G$130</f>
        <v/>
      </c>
      <c r="I123" s="105">
        <f>ROUND(F123*Прил.10!$D$12,2)</f>
        <v/>
      </c>
      <c r="J123" s="105">
        <f>ROUND(I123*E123,2)</f>
        <v/>
      </c>
    </row>
    <row r="124" hidden="1" outlineLevel="1" ht="51" customFormat="1" customHeight="1" s="157">
      <c r="A124" s="223" t="n">
        <v>96</v>
      </c>
      <c r="B124" s="98" t="inlineStr">
        <is>
          <t>01.7.15.14-0043</t>
        </is>
      </c>
      <c r="C124" s="145" t="inlineStr">
        <is>
          <t>Шурупы самонарезающий прокалывающий, для крепления металлических профилей или листовых деталей 3,5/11 мм</t>
        </is>
      </c>
      <c r="D124" s="223" t="inlineStr">
        <is>
          <t>100 шт</t>
        </is>
      </c>
      <c r="E124" s="146" t="n">
        <v>0.72</v>
      </c>
      <c r="F124" s="147" t="n">
        <v>2</v>
      </c>
      <c r="G124" s="105">
        <f>ROUND(F124*E124,2)</f>
        <v/>
      </c>
      <c r="H124" s="235">
        <f>G124/$G$130</f>
        <v/>
      </c>
      <c r="I124" s="105">
        <f>ROUND(F124*Прил.10!$D$12,2)</f>
        <v/>
      </c>
      <c r="J124" s="105">
        <f>ROUND(I124*E124,2)</f>
        <v/>
      </c>
    </row>
    <row r="125" hidden="1" outlineLevel="1" ht="14.25" customFormat="1" customHeight="1" s="157">
      <c r="A125" s="223" t="n">
        <v>97</v>
      </c>
      <c r="B125" s="98" t="inlineStr">
        <is>
          <t>01.7.20.08-0071</t>
        </is>
      </c>
      <c r="C125" s="145" t="inlineStr">
        <is>
          <t>Канат пеньковый пропитанный</t>
        </is>
      </c>
      <c r="D125" s="223" t="inlineStr">
        <is>
          <t>т</t>
        </is>
      </c>
      <c r="E125" s="146" t="n">
        <v>3.46e-05</v>
      </c>
      <c r="F125" s="147" t="n">
        <v>37900</v>
      </c>
      <c r="G125" s="105">
        <f>ROUND(F125*E125,2)</f>
        <v/>
      </c>
      <c r="H125" s="235">
        <f>G125/$G$130</f>
        <v/>
      </c>
      <c r="I125" s="105">
        <f>ROUND(F125*Прил.10!$D$12,2)</f>
        <v/>
      </c>
      <c r="J125" s="105">
        <f>ROUND(I125*E125,2)</f>
        <v/>
      </c>
    </row>
    <row r="126" hidden="1" outlineLevel="1" ht="38.25" customFormat="1" customHeight="1" s="157">
      <c r="A126" s="223" t="n">
        <v>98</v>
      </c>
      <c r="B126" s="98" t="inlineStr">
        <is>
          <t>11.1.03.01-0077</t>
        </is>
      </c>
      <c r="C126" s="145" t="inlineStr">
        <is>
          <t>Бруски обрезные, хвойных пород, длина 4-6,5 м, ширина 75-150 мм, толщина 40-75 мм, сорт I</t>
        </is>
      </c>
      <c r="D126" s="223" t="inlineStr">
        <is>
          <t>м3</t>
        </is>
      </c>
      <c r="E126" s="146" t="n">
        <v>0.0003564</v>
      </c>
      <c r="F126" s="147" t="n">
        <v>1700</v>
      </c>
      <c r="G126" s="105">
        <f>ROUND(F126*E126,2)</f>
        <v/>
      </c>
      <c r="H126" s="235">
        <f>G126/$G$130</f>
        <v/>
      </c>
      <c r="I126" s="105">
        <f>ROUND(F126*Прил.10!$D$12,2)</f>
        <v/>
      </c>
      <c r="J126" s="105">
        <f>ROUND(I126*E126,2)</f>
        <v/>
      </c>
    </row>
    <row r="127" hidden="1" outlineLevel="1" ht="14.25" customFormat="1" customHeight="1" s="157">
      <c r="A127" s="223" t="n">
        <v>99</v>
      </c>
      <c r="B127" s="98" t="inlineStr">
        <is>
          <t>01.7.02.09-0002</t>
        </is>
      </c>
      <c r="C127" s="145" t="inlineStr">
        <is>
          <t>Шпагат бумажный</t>
        </is>
      </c>
      <c r="D127" s="223" t="inlineStr">
        <is>
          <t>кг</t>
        </is>
      </c>
      <c r="E127" s="146" t="n">
        <v>0.036</v>
      </c>
      <c r="F127" s="147" t="n">
        <v>11.5</v>
      </c>
      <c r="G127" s="105">
        <f>ROUND(F127*E127,2)</f>
        <v/>
      </c>
      <c r="H127" s="235">
        <f>G127/$G$130</f>
        <v/>
      </c>
      <c r="I127" s="105">
        <f>ROUND(F127*Прил.10!$D$12,2)</f>
        <v/>
      </c>
      <c r="J127" s="105">
        <f>ROUND(I127*E127,2)</f>
        <v/>
      </c>
    </row>
    <row r="128" hidden="1" outlineLevel="1" ht="51" customFormat="1" customHeight="1" s="157">
      <c r="A128" s="223" t="n">
        <v>100</v>
      </c>
      <c r="B128" s="98" t="inlineStr">
        <is>
          <t>08.2.02.11-0007</t>
        </is>
      </c>
      <c r="C128" s="145" t="inlineStr">
        <is>
          <t>Канат двойной свивки ТК, конструкции 6х19(1+6+12)+1 о.с., оцинкованный, из проволок марки В, маркировочная группа 1770 н/мм2, диаметр 5,5 мм</t>
        </is>
      </c>
      <c r="D128" s="223" t="inlineStr">
        <is>
          <t>10 м</t>
        </is>
      </c>
      <c r="E128" s="146" t="n">
        <v>0.0064702</v>
      </c>
      <c r="F128" s="147" t="n">
        <v>50.24</v>
      </c>
      <c r="G128" s="105">
        <f>ROUND(F128*E128,2)</f>
        <v/>
      </c>
      <c r="H128" s="235">
        <f>G128/$G$130</f>
        <v/>
      </c>
      <c r="I128" s="105">
        <f>ROUND(F128*Прил.10!$D$12,2)</f>
        <v/>
      </c>
      <c r="J128" s="105">
        <f>ROUND(I128*E128,2)</f>
        <v/>
      </c>
    </row>
    <row r="129" collapsed="1" customFormat="1" s="157">
      <c r="A129" s="223" t="n"/>
      <c r="B129" s="223" t="n"/>
      <c r="C129" s="222" t="inlineStr">
        <is>
          <t>Итого прочие материалы</t>
        </is>
      </c>
      <c r="D129" s="223" t="n"/>
      <c r="E129" s="224" t="n"/>
      <c r="F129" s="225" t="n"/>
      <c r="G129" s="105">
        <f>SUM(G70:G128)</f>
        <v/>
      </c>
      <c r="H129" s="235">
        <f>G129/G130</f>
        <v/>
      </c>
      <c r="I129" s="105" t="n"/>
      <c r="J129" s="105">
        <f>SUM(J70:J128)</f>
        <v/>
      </c>
      <c r="L129" s="128" t="n"/>
    </row>
    <row r="130" ht="14.25" customFormat="1" customHeight="1" s="157">
      <c r="A130" s="223" t="n"/>
      <c r="B130" s="223" t="n"/>
      <c r="C130" s="234" t="inlineStr">
        <is>
          <t>Итого по разделу «Материалы»</t>
        </is>
      </c>
      <c r="D130" s="223" t="n"/>
      <c r="E130" s="224" t="n"/>
      <c r="F130" s="225" t="n"/>
      <c r="G130" s="105">
        <f>G69+G129</f>
        <v/>
      </c>
      <c r="H130" s="235" t="n">
        <v>1</v>
      </c>
      <c r="I130" s="225" t="n"/>
      <c r="J130" s="105">
        <f>J69+J129</f>
        <v/>
      </c>
      <c r="K130" s="50" t="n"/>
    </row>
    <row r="131" ht="14.25" customFormat="1" customHeight="1" s="157">
      <c r="A131" s="223" t="n"/>
      <c r="B131" s="223" t="n"/>
      <c r="C131" s="222" t="inlineStr">
        <is>
          <t>ИТОГО ПО РМ</t>
        </is>
      </c>
      <c r="D131" s="223" t="n"/>
      <c r="E131" s="224" t="n"/>
      <c r="F131" s="225" t="n"/>
      <c r="G131" s="105">
        <f>G14+G51+G130</f>
        <v/>
      </c>
      <c r="H131" s="235" t="n"/>
      <c r="I131" s="225" t="n"/>
      <c r="J131" s="105">
        <f>J14+J51+J130</f>
        <v/>
      </c>
    </row>
    <row r="132" ht="14.25" customFormat="1" customHeight="1" s="157">
      <c r="A132" s="223" t="n"/>
      <c r="B132" s="223" t="n"/>
      <c r="C132" s="222" t="inlineStr">
        <is>
          <t>Накладные расходы</t>
        </is>
      </c>
      <c r="D132" s="223" t="inlineStr">
        <is>
          <t>%</t>
        </is>
      </c>
      <c r="E132" s="70">
        <f>ROUND(G132/(G14+G16),2)</f>
        <v/>
      </c>
      <c r="F132" s="225" t="n"/>
      <c r="G132" s="105" t="n">
        <v>10530.54</v>
      </c>
      <c r="H132" s="235" t="n"/>
      <c r="I132" s="225" t="n"/>
      <c r="J132" s="105">
        <f>ROUND(E132*(J14+J16),2)</f>
        <v/>
      </c>
      <c r="K132" s="71" t="n"/>
    </row>
    <row r="133" ht="14.25" customFormat="1" customHeight="1" s="157">
      <c r="A133" s="223" t="n"/>
      <c r="B133" s="223" t="n"/>
      <c r="C133" s="222" t="inlineStr">
        <is>
          <t>Сметная прибыль</t>
        </is>
      </c>
      <c r="D133" s="223" t="inlineStr">
        <is>
          <t>%</t>
        </is>
      </c>
      <c r="E133" s="70">
        <f>ROUND(G133/(G14+G16),2)</f>
        <v/>
      </c>
      <c r="F133" s="225" t="n"/>
      <c r="G133" s="105" t="n">
        <v>5802.66</v>
      </c>
      <c r="H133" s="235" t="n"/>
      <c r="I133" s="225" t="n"/>
      <c r="J133" s="105">
        <f>ROUND(E133*(J14+J16),2)</f>
        <v/>
      </c>
      <c r="K133" s="71" t="n"/>
    </row>
    <row r="134" ht="14.25" customFormat="1" customHeight="1" s="157">
      <c r="A134" s="223" t="n"/>
      <c r="B134" s="223" t="n"/>
      <c r="C134" s="222" t="inlineStr">
        <is>
          <t>Итого СМР (с НР и СП)</t>
        </is>
      </c>
      <c r="D134" s="223" t="n"/>
      <c r="E134" s="224" t="n"/>
      <c r="F134" s="225" t="n"/>
      <c r="G134" s="105">
        <f>G14+G51+G130+G132+G133</f>
        <v/>
      </c>
      <c r="H134" s="235" t="n"/>
      <c r="I134" s="225" t="n"/>
      <c r="J134" s="105">
        <f>J14+J51+J130+J132+J133</f>
        <v/>
      </c>
      <c r="L134" s="72" t="n"/>
    </row>
    <row r="135" ht="14.25" customFormat="1" customHeight="1" s="157">
      <c r="A135" s="223" t="n"/>
      <c r="B135" s="223" t="n"/>
      <c r="C135" s="222" t="inlineStr">
        <is>
          <t>ВСЕГО СМР + ОБОРУДОВАНИЕ</t>
        </is>
      </c>
      <c r="D135" s="223" t="n"/>
      <c r="E135" s="224" t="n"/>
      <c r="F135" s="225" t="n"/>
      <c r="G135" s="105">
        <f>G134+G57</f>
        <v/>
      </c>
      <c r="H135" s="235" t="n"/>
      <c r="I135" s="225" t="n"/>
      <c r="J135" s="105">
        <f>J134+J57</f>
        <v/>
      </c>
      <c r="L135" s="71" t="n"/>
    </row>
    <row r="136" ht="14.25" customFormat="1" customHeight="1" s="157">
      <c r="A136" s="223" t="n"/>
      <c r="B136" s="223" t="n"/>
      <c r="C136" s="222" t="inlineStr">
        <is>
          <t>ИТОГО ПОКАЗАТЕЛЬ НА ЕД. ИЗМ.</t>
        </is>
      </c>
      <c r="D136" s="223" t="inlineStr">
        <is>
          <t>ед.</t>
        </is>
      </c>
      <c r="E136" s="129">
        <f>'Прил.1 Сравнит табл'!D15</f>
        <v/>
      </c>
      <c r="F136" s="225" t="n"/>
      <c r="G136" s="105">
        <f>G135/E136</f>
        <v/>
      </c>
      <c r="H136" s="235" t="n"/>
      <c r="I136" s="225" t="n"/>
      <c r="J136" s="105">
        <f>J135/E136</f>
        <v/>
      </c>
      <c r="L136" s="96" t="n"/>
    </row>
    <row r="138" ht="14.25" customFormat="1" customHeight="1" s="157">
      <c r="A138" s="158" t="n"/>
    </row>
    <row r="139" ht="14.25" customFormat="1" customHeight="1" s="157">
      <c r="A139" s="156" t="inlineStr">
        <is>
          <t>Составил ______________________        Д.Ю. Нефедова</t>
        </is>
      </c>
      <c r="B139" s="157" t="n"/>
    </row>
    <row r="140" ht="14.25" customFormat="1" customHeight="1" s="157">
      <c r="A140" s="159" t="inlineStr">
        <is>
          <t xml:space="preserve">                         (подпись, инициалы, фамилия)</t>
        </is>
      </c>
      <c r="B140" s="157" t="n"/>
    </row>
    <row r="141" ht="14.25" customFormat="1" customHeight="1" s="157">
      <c r="A141" s="156" t="n"/>
      <c r="B141" s="157" t="n"/>
    </row>
    <row r="142" ht="14.25" customFormat="1" customHeight="1" s="157">
      <c r="A142" s="156" t="inlineStr">
        <is>
          <t>Проверил ______________________        А.В. Костянецкая</t>
        </is>
      </c>
      <c r="B142" s="157" t="n"/>
    </row>
    <row r="143" ht="14.25" customFormat="1" customHeight="1" s="157">
      <c r="A143" s="159" t="inlineStr">
        <is>
          <t xml:space="preserve">                        (подпись, инициалы, фамилия)</t>
        </is>
      </c>
      <c r="B143" s="157" t="n"/>
    </row>
  </sheetData>
  <mergeCells count="19">
    <mergeCell ref="H9:H10"/>
    <mergeCell ref="B15:H15"/>
    <mergeCell ref="B53:J53"/>
    <mergeCell ref="C9:C10"/>
    <mergeCell ref="E9:E10"/>
    <mergeCell ref="B52:J52"/>
    <mergeCell ref="A7:H7"/>
    <mergeCell ref="B9:B10"/>
    <mergeCell ref="D9:D10"/>
    <mergeCell ref="B18:H18"/>
    <mergeCell ref="B12:H12"/>
    <mergeCell ref="D6:J6"/>
    <mergeCell ref="B60:H60"/>
    <mergeCell ref="F9:G9"/>
    <mergeCell ref="A4:H4"/>
    <mergeCell ref="B59:J59"/>
    <mergeCell ref="B17:H17"/>
    <mergeCell ref="A9:A10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2"/>
  <sheetViews>
    <sheetView view="pageBreakPreview" workbookViewId="0">
      <selection activeCell="C21" sqref="C21"/>
    </sheetView>
  </sheetViews>
  <sheetFormatPr baseColWidth="8" defaultRowHeight="15"/>
  <cols>
    <col width="5.7109375" customWidth="1" style="176" min="1" max="1"/>
    <col width="14.85546875" customWidth="1" style="176" min="2" max="2"/>
    <col width="39.140625" customWidth="1" style="176" min="3" max="3"/>
    <col width="8.28515625" customWidth="1" style="176" min="4" max="4"/>
    <col width="13.5703125" customWidth="1" style="176" min="5" max="5"/>
    <col width="12.42578125" customWidth="1" style="176" min="6" max="6"/>
    <col width="14.140625" customWidth="1" style="176" min="7" max="7"/>
  </cols>
  <sheetData>
    <row r="1">
      <c r="A1" s="242" t="inlineStr">
        <is>
          <t>Приложение №6</t>
        </is>
      </c>
    </row>
    <row r="2" s="176">
      <c r="A2" s="242" t="n"/>
      <c r="B2" s="242" t="n"/>
      <c r="C2" s="242" t="n"/>
      <c r="D2" s="242" t="n"/>
      <c r="E2" s="242" t="n"/>
      <c r="F2" s="242" t="n"/>
      <c r="G2" s="242" t="n"/>
    </row>
    <row r="3" s="176">
      <c r="A3" s="242" t="n"/>
      <c r="B3" s="242" t="n"/>
      <c r="C3" s="242" t="n"/>
      <c r="D3" s="242" t="n"/>
      <c r="E3" s="242" t="n"/>
      <c r="F3" s="242" t="n"/>
      <c r="G3" s="242" t="n"/>
    </row>
    <row r="4">
      <c r="A4" s="242" t="n"/>
      <c r="B4" s="242" t="n"/>
      <c r="C4" s="242" t="n"/>
      <c r="D4" s="242" t="n"/>
      <c r="E4" s="242" t="n"/>
      <c r="F4" s="242" t="n"/>
      <c r="G4" s="242" t="n"/>
    </row>
    <row r="5">
      <c r="A5" s="219" t="inlineStr">
        <is>
          <t>Расчет стоимости оборудования</t>
        </is>
      </c>
    </row>
    <row r="6" ht="64.5" customHeight="1" s="176">
      <c r="A6" s="244">
        <f>'Прил.1 Сравнит табл'!B7</f>
        <v/>
      </c>
    </row>
    <row r="7">
      <c r="A7" s="156" t="n"/>
      <c r="B7" s="156" t="n"/>
      <c r="C7" s="156" t="n"/>
      <c r="D7" s="156" t="n"/>
      <c r="E7" s="156" t="n"/>
      <c r="F7" s="156" t="n"/>
      <c r="G7" s="156" t="n"/>
    </row>
    <row r="8" ht="30" customHeight="1" s="176">
      <c r="A8" s="243" t="inlineStr">
        <is>
          <t>№ пп.</t>
        </is>
      </c>
      <c r="B8" s="243" t="inlineStr">
        <is>
          <t>Код ресурса</t>
        </is>
      </c>
      <c r="C8" s="243" t="inlineStr">
        <is>
          <t>Наименование</t>
        </is>
      </c>
      <c r="D8" s="243" t="inlineStr">
        <is>
          <t>Ед. изм.</t>
        </is>
      </c>
      <c r="E8" s="223" t="inlineStr">
        <is>
          <t>Кол-во единиц по проектным данным</t>
        </is>
      </c>
      <c r="F8" s="243" t="inlineStr">
        <is>
          <t>Сметная стоимость в ценах на 01.01.2000 (руб.)</t>
        </is>
      </c>
      <c r="G8" s="248" t="n"/>
    </row>
    <row r="9">
      <c r="A9" s="250" t="n"/>
      <c r="B9" s="250" t="n"/>
      <c r="C9" s="250" t="n"/>
      <c r="D9" s="250" t="n"/>
      <c r="E9" s="250" t="n"/>
      <c r="F9" s="223" t="inlineStr">
        <is>
          <t>на ед. изм.</t>
        </is>
      </c>
      <c r="G9" s="223" t="inlineStr">
        <is>
          <t>общая</t>
        </is>
      </c>
    </row>
    <row r="10">
      <c r="A10" s="223" t="n">
        <v>1</v>
      </c>
      <c r="B10" s="223" t="n">
        <v>2</v>
      </c>
      <c r="C10" s="223" t="n">
        <v>3</v>
      </c>
      <c r="D10" s="223" t="n">
        <v>4</v>
      </c>
      <c r="E10" s="223" t="n">
        <v>5</v>
      </c>
      <c r="F10" s="223" t="n">
        <v>6</v>
      </c>
      <c r="G10" s="223" t="n">
        <v>7</v>
      </c>
    </row>
    <row r="11" ht="15" customHeight="1" s="176">
      <c r="A11" s="34" t="n"/>
      <c r="B11" s="222" t="inlineStr">
        <is>
          <t>ИНЖЕНЕРНОЕ ОБОРУДОВАНИЕ</t>
        </is>
      </c>
      <c r="C11" s="247" t="n"/>
      <c r="D11" s="247" t="n"/>
      <c r="E11" s="247" t="n"/>
      <c r="F11" s="247" t="n"/>
      <c r="G11" s="248" t="n"/>
    </row>
    <row r="12" ht="27" customHeight="1" s="176">
      <c r="A12" s="223" t="n"/>
      <c r="B12" s="234" t="n"/>
      <c r="C12" s="222" t="inlineStr">
        <is>
          <t>ИТОГО ИНЖЕНЕРНОЕ ОБОРУДОВАНИЕ</t>
        </is>
      </c>
      <c r="D12" s="234" t="n"/>
      <c r="E12" s="9" t="n"/>
      <c r="F12" s="225" t="n"/>
      <c r="G12" s="225" t="n">
        <v>0</v>
      </c>
    </row>
    <row r="13">
      <c r="A13" s="223" t="n"/>
      <c r="B13" s="222" t="inlineStr">
        <is>
          <t>ТЕХНОЛОГИЧЕСКОЕ ОБОРУДОВАНИЕ</t>
        </is>
      </c>
      <c r="C13" s="247" t="n"/>
      <c r="D13" s="247" t="n"/>
      <c r="E13" s="247" t="n"/>
      <c r="F13" s="247" t="n"/>
      <c r="G13" s="248" t="n"/>
    </row>
    <row r="14">
      <c r="A14" s="223" t="n">
        <v>1</v>
      </c>
      <c r="B14" s="129">
        <f>'Прил.5 Расчет СМР и ОБ'!B54</f>
        <v/>
      </c>
      <c r="C14" s="130">
        <f>'Прил.5 Расчет СМР и ОБ'!C54</f>
        <v/>
      </c>
      <c r="D14" s="129">
        <f>'Прил.5 Расчет СМР и ОБ'!D54</f>
        <v/>
      </c>
      <c r="E14" s="129">
        <f>'Прил.5 Расчет СМР и ОБ'!E54</f>
        <v/>
      </c>
      <c r="F14" s="105">
        <f>'Прил.5 Расчет СМР и ОБ'!F54</f>
        <v/>
      </c>
      <c r="G14" s="105">
        <f>ROUND(E14*F14,2)</f>
        <v/>
      </c>
    </row>
    <row r="15" ht="25.5" customHeight="1" s="176">
      <c r="A15" s="223" t="n"/>
      <c r="B15" s="13" t="n"/>
      <c r="C15" s="13" t="inlineStr">
        <is>
          <t>ИТОГО ТЕХНОЛОГИЧЕСКОЕ ОБОРУДОВАНИЕ</t>
        </is>
      </c>
      <c r="D15" s="13" t="n"/>
      <c r="E15" s="14" t="n"/>
      <c r="F15" s="225" t="n"/>
      <c r="G15" s="105">
        <f>SUM(G14:G14)</f>
        <v/>
      </c>
    </row>
    <row r="16" ht="19.5" customHeight="1" s="176">
      <c r="A16" s="223" t="n"/>
      <c r="B16" s="222" t="n"/>
      <c r="C16" s="222" t="inlineStr">
        <is>
          <t>Всего по разделу «Оборудование»</t>
        </is>
      </c>
      <c r="D16" s="222" t="n"/>
      <c r="E16" s="241" t="n"/>
      <c r="F16" s="225" t="n"/>
      <c r="G16" s="105">
        <f>G12+G15</f>
        <v/>
      </c>
    </row>
    <row r="17">
      <c r="A17" s="158" t="n"/>
      <c r="B17" s="12" t="n"/>
      <c r="C17" s="158" t="n"/>
      <c r="D17" s="158" t="n"/>
      <c r="E17" s="158" t="n"/>
      <c r="F17" s="158" t="n"/>
      <c r="G17" s="158" t="n"/>
    </row>
    <row r="18" s="176">
      <c r="A18" s="156" t="inlineStr">
        <is>
          <t>Составил ______________________        Д.Ю. Нефедова</t>
        </is>
      </c>
      <c r="B18" s="157" t="n"/>
      <c r="C18" s="157" t="n"/>
      <c r="D18" s="158" t="n"/>
      <c r="E18" s="158" t="n"/>
      <c r="F18" s="158" t="n"/>
      <c r="G18" s="158" t="n"/>
    </row>
    <row r="19" s="176">
      <c r="A19" s="159" t="inlineStr">
        <is>
          <t xml:space="preserve">                         (подпись, инициалы, фамилия)</t>
        </is>
      </c>
      <c r="B19" s="157" t="n"/>
      <c r="C19" s="157" t="n"/>
      <c r="D19" s="158" t="n"/>
      <c r="E19" s="158" t="n"/>
      <c r="F19" s="158" t="n"/>
      <c r="G19" s="158" t="n"/>
    </row>
    <row r="20" s="176">
      <c r="A20" s="156" t="n"/>
      <c r="B20" s="157" t="n"/>
      <c r="C20" s="157" t="n"/>
      <c r="D20" s="158" t="n"/>
      <c r="E20" s="158" t="n"/>
      <c r="F20" s="158" t="n"/>
      <c r="G20" s="158" t="n"/>
    </row>
    <row r="21" s="176">
      <c r="A21" s="156" t="inlineStr">
        <is>
          <t>Проверил ______________________        А.В. Костянецкая</t>
        </is>
      </c>
      <c r="B21" s="157" t="n"/>
      <c r="C21" s="157" t="n"/>
      <c r="D21" s="158" t="n"/>
      <c r="E21" s="158" t="n"/>
      <c r="F21" s="158" t="n"/>
      <c r="G21" s="158" t="n"/>
    </row>
    <row r="22" s="176">
      <c r="A22" s="159" t="inlineStr">
        <is>
          <t xml:space="preserve">                        (подпись, инициалы, фамилия)</t>
        </is>
      </c>
      <c r="B22" s="157" t="n"/>
      <c r="C22" s="157" t="n"/>
      <c r="D22" s="158" t="n"/>
      <c r="E22" s="158" t="n"/>
      <c r="F22" s="158" t="n"/>
      <c r="G22" s="158" t="n"/>
    </row>
  </sheetData>
  <mergeCells count="11">
    <mergeCell ref="A8:A9"/>
    <mergeCell ref="A1:G1"/>
    <mergeCell ref="E8:E9"/>
    <mergeCell ref="C8:C9"/>
    <mergeCell ref="B11:G11"/>
    <mergeCell ref="A6:G6"/>
    <mergeCell ref="D8:D9"/>
    <mergeCell ref="B8:B9"/>
    <mergeCell ref="B13:G13"/>
    <mergeCell ref="A5:G5"/>
    <mergeCell ref="F8:G8"/>
  </mergeCells>
  <pageMargins left="0.7" right="0.7" top="0.75" bottom="0.75" header="0.3" footer="0.3"/>
  <pageSetup orientation="portrait" paperSize="9" scale="81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D13" sqref="D13"/>
    </sheetView>
  </sheetViews>
  <sheetFormatPr baseColWidth="8" defaultRowHeight="15"/>
  <cols>
    <col width="12.7109375" customWidth="1" style="176" min="1" max="1"/>
    <col width="22.42578125" customWidth="1" style="176" min="2" max="2"/>
    <col width="37.140625" customWidth="1" style="176" min="3" max="3"/>
    <col width="49" customWidth="1" style="176" min="4" max="4"/>
    <col width="9.140625" customWidth="1" style="176" min="5" max="5"/>
  </cols>
  <sheetData>
    <row r="1" ht="15.75" customHeight="1" s="176">
      <c r="A1" s="175" t="n"/>
      <c r="B1" s="175" t="n"/>
      <c r="C1" s="175" t="n"/>
      <c r="D1" s="175" t="inlineStr">
        <is>
          <t>Приложение №7</t>
        </is>
      </c>
    </row>
    <row r="2" ht="15.75" customHeight="1" s="176">
      <c r="A2" s="175" t="n"/>
      <c r="B2" s="175" t="n"/>
      <c r="C2" s="175" t="n"/>
      <c r="D2" s="175" t="n"/>
    </row>
    <row r="3" ht="15.75" customHeight="1" s="176">
      <c r="A3" s="175" t="n"/>
      <c r="B3" s="183" t="inlineStr">
        <is>
          <t>Расчет показателя УНЦ</t>
        </is>
      </c>
      <c r="C3" s="175" t="n"/>
      <c r="D3" s="175" t="n"/>
    </row>
    <row r="4" ht="15.75" customHeight="1" s="176">
      <c r="A4" s="175" t="n"/>
      <c r="B4" s="175" t="n"/>
      <c r="C4" s="175" t="n"/>
      <c r="D4" s="175" t="n"/>
    </row>
    <row r="5" ht="47.25" customHeight="1" s="176">
      <c r="A5" s="245" t="inlineStr">
        <is>
          <t xml:space="preserve">Наименование разрабатываемого показателя УНЦ - </t>
        </is>
      </c>
      <c r="D5" s="245">
        <f>'Прил.5 Расчет СМР и ОБ'!D6:J6</f>
        <v/>
      </c>
    </row>
    <row r="6" ht="15.75" customHeight="1" s="176">
      <c r="A6" s="175" t="inlineStr">
        <is>
          <t>Единица измерения  — 1 ед</t>
        </is>
      </c>
      <c r="B6" s="175" t="n"/>
      <c r="C6" s="175" t="n"/>
      <c r="D6" s="175" t="n"/>
    </row>
    <row r="7" ht="15.75" customHeight="1" s="176">
      <c r="A7" s="175" t="n"/>
      <c r="B7" s="175" t="n"/>
      <c r="C7" s="175" t="n"/>
      <c r="D7" s="175" t="n"/>
    </row>
    <row r="8">
      <c r="A8" s="214" t="inlineStr">
        <is>
          <t>Код показателя</t>
        </is>
      </c>
      <c r="B8" s="214" t="inlineStr">
        <is>
          <t>Наименование показателя</t>
        </is>
      </c>
      <c r="C8" s="214" t="inlineStr">
        <is>
          <t>Наименование РМ, входящих в состав показателя</t>
        </is>
      </c>
      <c r="D8" s="214" t="inlineStr">
        <is>
          <t>Норматив цены на 01.01.2023, тыс.руб.</t>
        </is>
      </c>
    </row>
    <row r="9">
      <c r="A9" s="250" t="n"/>
      <c r="B9" s="250" t="n"/>
      <c r="C9" s="250" t="n"/>
      <c r="D9" s="250" t="n"/>
    </row>
    <row r="10" ht="15.75" customHeight="1" s="176">
      <c r="A10" s="214" t="n">
        <v>1</v>
      </c>
      <c r="B10" s="214" t="n">
        <v>2</v>
      </c>
      <c r="C10" s="214" t="n">
        <v>3</v>
      </c>
      <c r="D10" s="214" t="n">
        <v>4</v>
      </c>
    </row>
    <row r="11" ht="63" customHeight="1" s="176">
      <c r="A11" s="214" t="inlineStr">
        <is>
          <t>Э4-1</t>
        </is>
      </c>
      <c r="B11" s="214" t="inlineStr">
        <is>
          <t xml:space="preserve">УНЦ здания РП (СП, РТП, ТП) блочного типа 6 - 20 кВ </t>
        </is>
      </c>
      <c r="C11" s="154">
        <f>D5</f>
        <v/>
      </c>
      <c r="D11" s="163">
        <f>'Прил.4 РМ'!C41/1000</f>
        <v/>
      </c>
    </row>
    <row r="13">
      <c r="A13" s="156" t="inlineStr">
        <is>
          <t>Составил ______________________        Д.Ю. Нефедова</t>
        </is>
      </c>
      <c r="B13" s="157" t="n"/>
      <c r="C13" s="157" t="n"/>
      <c r="D13" s="158" t="n"/>
    </row>
    <row r="14">
      <c r="A14" s="159" t="inlineStr">
        <is>
          <t xml:space="preserve">                         (подпись, инициалы, фамилия)</t>
        </is>
      </c>
      <c r="B14" s="157" t="n"/>
      <c r="C14" s="157" t="n"/>
      <c r="D14" s="158" t="n"/>
    </row>
    <row r="15">
      <c r="A15" s="156" t="n"/>
      <c r="B15" s="157" t="n"/>
      <c r="C15" s="157" t="n"/>
      <c r="D15" s="158" t="n"/>
    </row>
    <row r="16">
      <c r="A16" s="156" t="inlineStr">
        <is>
          <t>Проверил ______________________        А.В. Костянецкая</t>
        </is>
      </c>
      <c r="B16" s="157" t="n"/>
      <c r="C16" s="157" t="n"/>
      <c r="D16" s="158" t="n"/>
    </row>
    <row r="17" ht="20.25" customHeight="1" s="176">
      <c r="A17" s="159" t="inlineStr">
        <is>
          <t xml:space="preserve">                        (подпись, инициалы, фамилия)</t>
        </is>
      </c>
      <c r="B17" s="157" t="n"/>
      <c r="C17" s="157" t="n"/>
      <c r="D17" s="158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zoomScale="60" zoomScaleNormal="100" workbookViewId="0">
      <selection activeCell="C24" sqref="C24"/>
    </sheetView>
  </sheetViews>
  <sheetFormatPr baseColWidth="8" defaultRowHeight="15"/>
  <cols>
    <col width="40.7109375" customWidth="1" style="176" min="2" max="2"/>
    <col width="37" customWidth="1" style="176" min="3" max="3"/>
    <col width="32" customWidth="1" style="176" min="4" max="4"/>
  </cols>
  <sheetData>
    <row r="4" ht="15.75" customHeight="1" s="176">
      <c r="B4" s="210" t="inlineStr">
        <is>
          <t>Приложение № 10</t>
        </is>
      </c>
    </row>
    <row r="5" ht="18.75" customHeight="1" s="176">
      <c r="B5" s="25" t="n"/>
    </row>
    <row r="6" ht="15.75" customHeight="1" s="176">
      <c r="B6" s="211" t="inlineStr">
        <is>
          <t>Используемые индексы изменений сметной стоимости и нормы сопутствующих затрат</t>
        </is>
      </c>
    </row>
    <row r="7">
      <c r="B7" s="246" t="n"/>
    </row>
    <row r="8" ht="47.25" customHeight="1" s="176">
      <c r="B8" s="214" t="inlineStr">
        <is>
          <t>Наименование индекса / норм сопутствующих затрат</t>
        </is>
      </c>
      <c r="C8" s="214" t="inlineStr">
        <is>
          <t>Дата применения и обоснование индекса / норм сопутствующих затрат</t>
        </is>
      </c>
      <c r="D8" s="214" t="inlineStr">
        <is>
          <t>Размер индекса / норма сопутствующих затрат</t>
        </is>
      </c>
    </row>
    <row r="9" ht="15.75" customHeight="1" s="176">
      <c r="B9" s="214" t="n">
        <v>1</v>
      </c>
      <c r="C9" s="214" t="n">
        <v>2</v>
      </c>
      <c r="D9" s="214" t="n">
        <v>3</v>
      </c>
    </row>
    <row r="10" ht="31.5" customHeight="1" s="176">
      <c r="B10" s="214" t="inlineStr">
        <is>
          <t xml:space="preserve">Индекс изменения сметной стоимости на 1 квартал 2023 года. ОЗП </t>
        </is>
      </c>
      <c r="C10" s="214" t="inlineStr">
        <is>
          <t>Письмо Минстроя России от 30.03.2023г. №17106-ИФ/09  прил.1</t>
        </is>
      </c>
      <c r="D10" s="214" t="n">
        <v>44.29</v>
      </c>
    </row>
    <row r="11" ht="31.5" customHeight="1" s="176">
      <c r="B11" s="214" t="inlineStr">
        <is>
          <t>Индекс изменения сметной стоимости на 1 квартал 2023 года. ЭМ</t>
        </is>
      </c>
      <c r="C11" s="214" t="inlineStr">
        <is>
          <t>Письмо Минстроя России от 30.03.2023г. №17106-ИФ/09  прил.1</t>
        </is>
      </c>
      <c r="D11" s="214" t="n">
        <v>13.47</v>
      </c>
    </row>
    <row r="12" ht="31.5" customHeight="1" s="176">
      <c r="B12" s="214" t="inlineStr">
        <is>
          <t>Индекс изменения сметной стоимости на 1 квартал 2023 года. МАТ</t>
        </is>
      </c>
      <c r="C12" s="214" t="inlineStr">
        <is>
          <t>Письмо Минстроя России от 30.03.2023г. №17106-ИФ/09  прил.1</t>
        </is>
      </c>
      <c r="D12" s="214" t="n">
        <v>8.039999999999999</v>
      </c>
    </row>
    <row r="13" ht="31.5" customHeight="1" s="176">
      <c r="B13" s="214" t="inlineStr">
        <is>
          <t>Индекс изменения сметной стоимости на 1 квартал 2023 года. ОБ</t>
        </is>
      </c>
      <c r="C13" s="115" t="inlineStr">
        <is>
          <t>Письмо Минстроя России от 23.02.2023г. №9791-ИФ/09 прил.6</t>
        </is>
      </c>
      <c r="D13" s="214" t="n">
        <v>6.26</v>
      </c>
    </row>
    <row r="14" ht="78.75" customHeight="1" s="176">
      <c r="B14" s="214" t="inlineStr">
        <is>
          <t>Временные здания и сооружения</t>
        </is>
      </c>
      <c r="C14" s="214" t="inlineStr">
        <is>
          <t xml:space="preserve">п.23 Приложения №1 Методики определения затрат на строительство временных зданий и сооружений   по приказу Минстроя РФ №332/пр от 19.06.2020  </t>
        </is>
      </c>
      <c r="D14" s="200" t="n">
        <v>0.025</v>
      </c>
    </row>
    <row r="15" ht="78.75" customHeight="1" s="176">
      <c r="B15" s="214" t="inlineStr">
        <is>
          <t>Дополнительные затраты при производстве строительно-монтажных работ в зимнее время</t>
        </is>
      </c>
      <c r="C15" s="214" t="inlineStr">
        <is>
      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5" s="200" t="n">
        <v>0.021</v>
      </c>
    </row>
    <row r="16" ht="34.5" customHeight="1" s="176">
      <c r="B16" s="214" t="inlineStr">
        <is>
          <t>Пусконаладочные работы</t>
        </is>
      </c>
      <c r="C16" s="214" t="n"/>
      <c r="D16" s="214" t="inlineStr">
        <is>
          <t>Расчет</t>
        </is>
      </c>
    </row>
    <row r="17" ht="31.5" customHeight="1" s="176">
      <c r="B17" s="214" t="inlineStr">
        <is>
          <t>Строительный контроль</t>
        </is>
      </c>
      <c r="C17" s="214" t="inlineStr">
        <is>
          <t>Постановление Правительства РФ от 21.06.10 г. № 468</t>
        </is>
      </c>
      <c r="D17" s="200" t="n">
        <v>0.0214</v>
      </c>
    </row>
    <row r="18" ht="31.5" customHeight="1" s="176">
      <c r="B18" s="214" t="inlineStr">
        <is>
          <t>Авторский надзор - 0,2%</t>
        </is>
      </c>
      <c r="C18" s="214" t="inlineStr">
        <is>
          <t>Приказ от 4.08.2020 № 421/пр п.173</t>
        </is>
      </c>
      <c r="D18" s="200" t="n">
        <v>0.002</v>
      </c>
    </row>
    <row r="19" ht="24" customHeight="1" s="176">
      <c r="B19" s="214" t="inlineStr">
        <is>
          <t>Непредвиденные расходы</t>
        </is>
      </c>
      <c r="C19" s="214" t="inlineStr">
        <is>
          <t>Приказ от 4.08.2020 № 421/пр п.179</t>
        </is>
      </c>
      <c r="D19" s="200" t="n">
        <v>0.03</v>
      </c>
    </row>
    <row r="20" ht="18.75" customHeight="1" s="176">
      <c r="B20" s="26" t="n"/>
    </row>
    <row r="21" ht="18.75" customHeight="1" s="176">
      <c r="B21" s="26" t="n"/>
    </row>
    <row r="22" ht="18.75" customHeight="1" s="176">
      <c r="B22" s="26" t="n"/>
    </row>
    <row r="23" ht="18.75" customHeight="1" s="176">
      <c r="B23" s="26" t="n"/>
    </row>
    <row r="26">
      <c r="B26" s="156" t="inlineStr">
        <is>
          <t>Составил ______________________        Д.Ю. Нефедова</t>
        </is>
      </c>
      <c r="C26" s="157" t="n"/>
    </row>
    <row r="27">
      <c r="B27" s="159" t="inlineStr">
        <is>
          <t xml:space="preserve">                         (подпись, инициалы, фамилия)</t>
        </is>
      </c>
      <c r="C27" s="157" t="n"/>
    </row>
    <row r="28">
      <c r="B28" s="156" t="n"/>
      <c r="C28" s="157" t="n"/>
    </row>
    <row r="29">
      <c r="B29" s="156" t="inlineStr">
        <is>
          <t>Проверил ______________________        А.В. Костянецкая</t>
        </is>
      </c>
      <c r="C29" s="157" t="n"/>
    </row>
    <row r="30">
      <c r="B30" s="159" t="inlineStr">
        <is>
          <t xml:space="preserve">                        (подпись, инициалы, фамилия)</t>
        </is>
      </c>
      <c r="C30" s="157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workbookViewId="0">
      <selection activeCell="J8" sqref="J8"/>
    </sheetView>
  </sheetViews>
  <sheetFormatPr baseColWidth="8" defaultRowHeight="15"/>
  <cols>
    <col width="9.140625" customWidth="1" style="176" min="1" max="1"/>
    <col width="44.85546875" customWidth="1" style="176" min="2" max="2"/>
    <col width="13" customWidth="1" style="176" min="3" max="3"/>
    <col width="22.85546875" customWidth="1" style="176" min="4" max="4"/>
    <col width="21.5703125" customWidth="1" style="176" min="5" max="5"/>
    <col width="43.85546875" customWidth="1" style="176" min="6" max="6"/>
    <col width="9.140625" customWidth="1" style="176" min="7" max="7"/>
  </cols>
  <sheetData>
    <row r="2" ht="18" customHeight="1" s="176">
      <c r="A2" s="211" t="inlineStr">
        <is>
          <t>Расчет размера средств на оплату труда рабочих-строителей в текущем уровне цен (ФОТр.тек.)</t>
        </is>
      </c>
    </row>
    <row r="3" ht="15.75" customHeight="1" s="176">
      <c r="A3" s="175" t="n"/>
      <c r="B3" s="175" t="n"/>
      <c r="C3" s="175" t="n"/>
      <c r="D3" s="175" t="n"/>
      <c r="E3" s="175" t="n"/>
      <c r="F3" s="175" t="n"/>
    </row>
    <row r="4" ht="18" customHeight="1" s="176">
      <c r="A4" s="172" t="inlineStr">
        <is>
          <t>Составлен в уровне цен на 01.01.2023 г.</t>
        </is>
      </c>
      <c r="B4" s="175" t="n"/>
      <c r="C4" s="175" t="n"/>
      <c r="D4" s="175" t="n"/>
      <c r="E4" s="175" t="n"/>
      <c r="F4" s="175" t="n"/>
    </row>
    <row r="5" ht="15.75" customHeight="1" s="176">
      <c r="A5" s="191" t="inlineStr">
        <is>
          <t>№ пп.</t>
        </is>
      </c>
      <c r="B5" s="191" t="inlineStr">
        <is>
          <t>Наименование элемента</t>
        </is>
      </c>
      <c r="C5" s="191" t="inlineStr">
        <is>
          <t>Обозначение</t>
        </is>
      </c>
      <c r="D5" s="191" t="inlineStr">
        <is>
          <t>Формула</t>
        </is>
      </c>
      <c r="E5" s="191" t="inlineStr">
        <is>
          <t>Величина элемента</t>
        </is>
      </c>
      <c r="F5" s="191" t="inlineStr">
        <is>
          <t>Наименования обосновывающих документов</t>
        </is>
      </c>
    </row>
    <row r="6" ht="15.75" customHeight="1" s="176">
      <c r="A6" s="191" t="n">
        <v>1</v>
      </c>
      <c r="B6" s="191" t="n">
        <v>2</v>
      </c>
      <c r="C6" s="191" t="n">
        <v>3</v>
      </c>
      <c r="D6" s="191" t="n">
        <v>4</v>
      </c>
      <c r="E6" s="191" t="n">
        <v>5</v>
      </c>
      <c r="F6" s="191" t="n">
        <v>6</v>
      </c>
    </row>
    <row r="7" ht="110.25" customHeight="1" s="176">
      <c r="A7" s="160" t="inlineStr">
        <is>
          <t>1.1</t>
        </is>
      </c>
      <c r="B7" s="161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14" t="inlineStr">
        <is>
          <t>С1ср</t>
        </is>
      </c>
      <c r="D7" s="214" t="inlineStr">
        <is>
          <t>-</t>
        </is>
      </c>
      <c r="E7" s="163" t="n">
        <v>47872.94</v>
      </c>
      <c r="F7" s="161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</row>
    <row r="8" ht="31.5" customHeight="1" s="176">
      <c r="A8" s="160" t="inlineStr">
        <is>
          <t>1.2</t>
        </is>
      </c>
      <c r="B8" s="161" t="inlineStr">
        <is>
          <t>Среднегодовое нормативное число часов работы одного рабочего в месяц, часы (ч.)</t>
        </is>
      </c>
      <c r="C8" s="214" t="inlineStr">
        <is>
          <t>tср</t>
        </is>
      </c>
      <c r="D8" s="214" t="inlineStr">
        <is>
          <t>1973ч/12мес.</t>
        </is>
      </c>
      <c r="E8" s="163">
        <f>1973/12</f>
        <v/>
      </c>
      <c r="F8" s="161" t="inlineStr">
        <is>
          <t>Производственный календарь 2023 год
(40-часов.неделя)</t>
        </is>
      </c>
      <c r="G8" s="23" t="n"/>
    </row>
    <row r="9" ht="15.75" customHeight="1" s="176">
      <c r="A9" s="160" t="inlineStr">
        <is>
          <t>1.3</t>
        </is>
      </c>
      <c r="B9" s="161" t="inlineStr">
        <is>
          <t>Коэффициент увеличения</t>
        </is>
      </c>
      <c r="C9" s="214" t="inlineStr">
        <is>
          <t>Кув</t>
        </is>
      </c>
      <c r="D9" s="214" t="inlineStr">
        <is>
          <t>-</t>
        </is>
      </c>
      <c r="E9" s="163" t="n">
        <v>1</v>
      </c>
      <c r="F9" s="161" t="n"/>
      <c r="G9" s="24" t="n"/>
    </row>
    <row r="10" ht="15.75" customHeight="1" s="176">
      <c r="A10" s="160" t="inlineStr">
        <is>
          <t>1.4</t>
        </is>
      </c>
      <c r="B10" s="161" t="inlineStr">
        <is>
          <t>Средний разряд работ</t>
        </is>
      </c>
      <c r="C10" s="214" t="n"/>
      <c r="D10" s="214" t="n"/>
      <c r="E10" s="164" t="n">
        <v>3.4</v>
      </c>
      <c r="F10" s="161" t="inlineStr">
        <is>
          <t>РТМ</t>
        </is>
      </c>
      <c r="G10" s="24" t="n"/>
    </row>
    <row r="11" ht="78.75" customHeight="1" s="176">
      <c r="A11" s="160" t="inlineStr">
        <is>
          <t>1.5</t>
        </is>
      </c>
      <c r="B11" s="161" t="inlineStr">
        <is>
          <t>Тарифный коэффициент среднего разряда работ</t>
        </is>
      </c>
      <c r="C11" s="214" t="inlineStr">
        <is>
          <t>КТ</t>
        </is>
      </c>
      <c r="D11" s="214" t="inlineStr">
        <is>
          <t>-</t>
        </is>
      </c>
      <c r="E11" s="165" t="n">
        <v>1.247</v>
      </c>
      <c r="F11" s="161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</row>
    <row r="12" ht="78.75" customHeight="1" s="176">
      <c r="A12" s="160" t="inlineStr">
        <is>
          <t>1.6</t>
        </is>
      </c>
      <c r="B12" s="205" t="inlineStr">
        <is>
          <t>Коэффициент инфляции, определяемый поквартально</t>
        </is>
      </c>
      <c r="C12" s="214" t="inlineStr">
        <is>
          <t>Кинф</t>
        </is>
      </c>
      <c r="D12" s="214" t="inlineStr">
        <is>
          <t>-</t>
        </is>
      </c>
      <c r="E12" s="167" t="n">
        <v>1.139</v>
      </c>
      <c r="F12" s="168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4" t="n"/>
    </row>
    <row r="13" ht="63" customHeight="1" s="176">
      <c r="A13" s="160" t="inlineStr">
        <is>
          <t>1.7</t>
        </is>
      </c>
      <c r="B13" s="169" t="inlineStr">
        <is>
          <t>Размер средств на оплату труда рабочих-строителей в текущем уровне цен (ФОТр.тек.), руб/чел.-ч</t>
        </is>
      </c>
      <c r="C13" s="214" t="inlineStr">
        <is>
          <t>ФОТр.тек.</t>
        </is>
      </c>
      <c r="D13" s="214" t="inlineStr">
        <is>
          <t>(С1ср/tср*КТ*Т*Кув)*Кинф</t>
        </is>
      </c>
      <c r="E13" s="170">
        <f>((E7*E9/E8)*E11)*E12</f>
        <v/>
      </c>
      <c r="F13" s="161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2025-01-24T12:19:40Z</dcterms:modified>
  <cp:lastModifiedBy>REDMIBOOK</cp:lastModifiedBy>
  <cp:lastPrinted>2023-12-01T12:13:50Z</cp:lastPrinted>
</cp:coreProperties>
</file>