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Downloads\"/>
    </mc:Choice>
  </mc:AlternateContent>
  <xr:revisionPtr revIDLastSave="0" documentId="13_ncr:1_{F4951A0A-420E-47AA-9132-D3AC176A368B}" xr6:coauthVersionLast="47" xr6:coauthVersionMax="47" xr10:uidLastSave="{00000000-0000-0000-0000-000000000000}"/>
  <bookViews>
    <workbookView xWindow="-120" yWindow="-120" windowWidth="25440" windowHeight="15270" activeTab="2" xr2:uid="{EA2887E7-D72E-4F7E-9A95-B0F4E80A2ABD}"/>
  </bookViews>
  <sheets>
    <sheet name="Rupa" sheetId="1" r:id="rId1"/>
    <sheet name="HELIODUR" sheetId="8" r:id="rId2"/>
    <sheet name="AkzoNobel SolidoColor" sheetId="3" r:id="rId3"/>
    <sheet name="AkzoNobel" sheetId="9" r:id="rId4"/>
    <sheet name="AkzoNobel Д-Дур" sheetId="2" r:id="rId5"/>
    <sheet name="AkzoNobel Sikkens" sheetId="6" r:id="rId6"/>
    <sheet name="OSWALD" sheetId="7" r:id="rId7"/>
    <sheet name="AkzoNobel Морилки" sheetId="4" r:id="rId8"/>
    <sheet name="Морилки Турция" sheetId="5" r:id="rId9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7" l="1"/>
  <c r="E17" i="7"/>
  <c r="C17" i="7"/>
  <c r="C19" i="7" s="1"/>
  <c r="C19" i="9"/>
  <c r="C20" i="9" s="1"/>
  <c r="C17" i="9"/>
  <c r="C6" i="9"/>
  <c r="C8" i="9" s="1"/>
  <c r="D8" i="8"/>
  <c r="C6" i="8"/>
  <c r="C8" i="8" s="1"/>
  <c r="F41" i="6"/>
  <c r="E39" i="6"/>
  <c r="E41" i="6"/>
  <c r="C29" i="6"/>
  <c r="G71" i="6"/>
  <c r="G73" i="6" s="1"/>
  <c r="H73" i="6" s="1"/>
  <c r="H74" i="6" s="1"/>
  <c r="E71" i="6"/>
  <c r="E73" i="6" s="1"/>
  <c r="F73" i="6" s="1"/>
  <c r="F74" i="6" s="1"/>
  <c r="C71" i="6"/>
  <c r="C73" i="6" s="1"/>
  <c r="D73" i="6" s="1"/>
  <c r="D74" i="6" s="1"/>
  <c r="C60" i="6"/>
  <c r="C49" i="6"/>
  <c r="C39" i="6"/>
  <c r="C41" i="6" s="1"/>
  <c r="D41" i="6" s="1"/>
  <c r="D42" i="6" s="1"/>
  <c r="E61" i="7"/>
  <c r="C61" i="7"/>
  <c r="E50" i="7"/>
  <c r="E52" i="7" s="1"/>
  <c r="F52" i="7" s="1"/>
  <c r="F53" i="7" s="1"/>
  <c r="C50" i="7"/>
  <c r="C52" i="7" s="1"/>
  <c r="C39" i="7"/>
  <c r="C28" i="7"/>
  <c r="C30" i="7" s="1"/>
  <c r="D30" i="7" s="1"/>
  <c r="D31" i="7" s="1"/>
  <c r="C62" i="6"/>
  <c r="D62" i="6" s="1"/>
  <c r="D63" i="6" s="1"/>
  <c r="C51" i="6"/>
  <c r="D51" i="6" s="1"/>
  <c r="D52" i="6" s="1"/>
  <c r="C41" i="7"/>
  <c r="C8" i="7"/>
  <c r="G11" i="5"/>
  <c r="I11" i="5" s="1"/>
  <c r="G10" i="5"/>
  <c r="I10" i="5" s="1"/>
  <c r="G9" i="5"/>
  <c r="I9" i="5" s="1"/>
  <c r="G8" i="5"/>
  <c r="I8" i="5" s="1"/>
  <c r="G7" i="5"/>
  <c r="I7" i="5" s="1"/>
  <c r="G6" i="5"/>
  <c r="I6" i="5" s="1"/>
  <c r="G5" i="5"/>
  <c r="I5" i="5" s="1"/>
  <c r="G4" i="5"/>
  <c r="I4" i="5" s="1"/>
  <c r="G3" i="5"/>
  <c r="I3" i="5" s="1"/>
  <c r="G2" i="5"/>
  <c r="I2" i="5" s="1"/>
  <c r="F2" i="5"/>
  <c r="H2" i="5" s="1"/>
  <c r="J2" i="5" s="1"/>
  <c r="F11" i="5"/>
  <c r="H11" i="5" s="1"/>
  <c r="F10" i="5"/>
  <c r="H10" i="5" s="1"/>
  <c r="F9" i="5"/>
  <c r="H9" i="5" s="1"/>
  <c r="F8" i="5"/>
  <c r="H8" i="5" s="1"/>
  <c r="F7" i="5"/>
  <c r="H7" i="5" s="1"/>
  <c r="F6" i="5"/>
  <c r="H6" i="5" s="1"/>
  <c r="F5" i="5"/>
  <c r="H5" i="5" s="1"/>
  <c r="F4" i="5"/>
  <c r="H4" i="5" s="1"/>
  <c r="F3" i="5"/>
  <c r="H3" i="5" s="1"/>
  <c r="B3" i="5"/>
  <c r="B11" i="5"/>
  <c r="B10" i="5"/>
  <c r="B9" i="5"/>
  <c r="B8" i="5"/>
  <c r="B7" i="5"/>
  <c r="B6" i="5"/>
  <c r="B5" i="5"/>
  <c r="B4" i="5"/>
  <c r="B2" i="5"/>
  <c r="E2" i="5"/>
  <c r="E11" i="5"/>
  <c r="E10" i="5"/>
  <c r="E9" i="5"/>
  <c r="E3" i="5"/>
  <c r="E8" i="5"/>
  <c r="E7" i="5"/>
  <c r="E6" i="5"/>
  <c r="E5" i="5"/>
  <c r="E4" i="5"/>
  <c r="H4" i="4"/>
  <c r="H3" i="4"/>
  <c r="E63" i="7"/>
  <c r="F63" i="7" s="1"/>
  <c r="F64" i="7" s="1"/>
  <c r="C63" i="7"/>
  <c r="D63" i="7" s="1"/>
  <c r="D64" i="7" s="1"/>
  <c r="C6" i="7"/>
  <c r="D8" i="7" s="1"/>
  <c r="D9" i="7" s="1"/>
  <c r="I54" i="1"/>
  <c r="I56" i="1" s="1"/>
  <c r="J56" i="1" s="1"/>
  <c r="G54" i="1"/>
  <c r="G56" i="1" s="1"/>
  <c r="D31" i="6"/>
  <c r="D32" i="6" s="1"/>
  <c r="E6" i="3"/>
  <c r="E8" i="3" s="1"/>
  <c r="F8" i="3" s="1"/>
  <c r="C6" i="3"/>
  <c r="D8" i="3"/>
  <c r="D32" i="1"/>
  <c r="H8" i="1"/>
  <c r="C17" i="6"/>
  <c r="C19" i="6" s="1"/>
  <c r="C31" i="6"/>
  <c r="C6" i="6"/>
  <c r="C8" i="6" s="1"/>
  <c r="D8" i="6" s="1"/>
  <c r="D9" i="6" s="1"/>
  <c r="D9" i="2"/>
  <c r="D8" i="2"/>
  <c r="D22" i="2"/>
  <c r="D21" i="2"/>
  <c r="D20" i="2"/>
  <c r="D23" i="2" s="1"/>
  <c r="C42" i="2"/>
  <c r="C44" i="2" s="1"/>
  <c r="E2" i="4"/>
  <c r="G2" i="4" s="1"/>
  <c r="I2" i="4" s="1"/>
  <c r="E11" i="4"/>
  <c r="F11" i="4" s="1"/>
  <c r="H11" i="4" s="1"/>
  <c r="E10" i="4"/>
  <c r="F10" i="4" s="1"/>
  <c r="H10" i="4" s="1"/>
  <c r="E9" i="4"/>
  <c r="G9" i="4" s="1"/>
  <c r="I9" i="4" s="1"/>
  <c r="E8" i="4"/>
  <c r="G8" i="4" s="1"/>
  <c r="I8" i="4" s="1"/>
  <c r="E7" i="4"/>
  <c r="F7" i="4" s="1"/>
  <c r="H7" i="4" s="1"/>
  <c r="E6" i="4"/>
  <c r="F6" i="4" s="1"/>
  <c r="H6" i="4" s="1"/>
  <c r="E5" i="4"/>
  <c r="F5" i="4" s="1"/>
  <c r="H5" i="4" s="1"/>
  <c r="E4" i="4"/>
  <c r="F4" i="4" s="1"/>
  <c r="E3" i="4"/>
  <c r="F3" i="4" s="1"/>
  <c r="C6" i="1"/>
  <c r="C8" i="1" s="1"/>
  <c r="F8" i="1" s="1"/>
  <c r="C30" i="2"/>
  <c r="C32" i="2" s="1"/>
  <c r="C33" i="2" s="1"/>
  <c r="D33" i="2" s="1"/>
  <c r="C18" i="2"/>
  <c r="C20" i="2" s="1"/>
  <c r="C6" i="2"/>
  <c r="C8" i="2" s="1"/>
  <c r="C9" i="2" s="1"/>
  <c r="C8" i="3"/>
  <c r="E54" i="1"/>
  <c r="E56" i="1" s="1"/>
  <c r="E57" i="1" s="1"/>
  <c r="F57" i="1" s="1"/>
  <c r="C54" i="1"/>
  <c r="C56" i="1" s="1"/>
  <c r="C57" i="1" s="1"/>
  <c r="D57" i="1" s="1"/>
  <c r="E42" i="1"/>
  <c r="E44" i="1" s="1"/>
  <c r="E45" i="1" s="1"/>
  <c r="C42" i="1"/>
  <c r="C44" i="1" s="1"/>
  <c r="C45" i="1" s="1"/>
  <c r="D45" i="1" s="1"/>
  <c r="E30" i="1"/>
  <c r="E32" i="1" s="1"/>
  <c r="E33" i="1" s="1"/>
  <c r="C30" i="1"/>
  <c r="C32" i="1" s="1"/>
  <c r="C33" i="1" s="1"/>
  <c r="F33" i="1" s="1"/>
  <c r="G18" i="1"/>
  <c r="G20" i="1" s="1"/>
  <c r="G21" i="1" s="1"/>
  <c r="H21" i="1" s="1"/>
  <c r="E18" i="1"/>
  <c r="E20" i="1" s="1"/>
  <c r="H20" i="1" s="1"/>
  <c r="C18" i="1"/>
  <c r="C20" i="1" s="1"/>
  <c r="F20" i="1" s="1"/>
  <c r="G6" i="1"/>
  <c r="E6" i="1"/>
  <c r="E8" i="1" s="1"/>
  <c r="E10" i="1" s="1"/>
  <c r="G8" i="1"/>
  <c r="G10" i="1" s="1"/>
  <c r="H10" i="1" s="1"/>
  <c r="D19" i="9" l="1"/>
  <c r="D20" i="9"/>
  <c r="D22" i="9" s="1"/>
  <c r="C21" i="9"/>
  <c r="D21" i="9" s="1"/>
  <c r="C10" i="9"/>
  <c r="D10" i="9" s="1"/>
  <c r="C9" i="9"/>
  <c r="D9" i="9" s="1"/>
  <c r="D8" i="9"/>
  <c r="C9" i="8"/>
  <c r="C10" i="8"/>
  <c r="D33" i="1"/>
  <c r="D20" i="1"/>
  <c r="F56" i="1"/>
  <c r="G58" i="1"/>
  <c r="H58" i="1" s="1"/>
  <c r="H56" i="1"/>
  <c r="F42" i="6"/>
  <c r="D41" i="7"/>
  <c r="D42" i="7" s="1"/>
  <c r="D19" i="6"/>
  <c r="D21" i="6" s="1"/>
  <c r="C20" i="6"/>
  <c r="D20" i="6" s="1"/>
  <c r="D52" i="7"/>
  <c r="D53" i="7" s="1"/>
  <c r="J10" i="5"/>
  <c r="D8" i="1"/>
  <c r="F32" i="1"/>
  <c r="F44" i="1"/>
  <c r="F45" i="1"/>
  <c r="G57" i="1"/>
  <c r="H57" i="1" s="1"/>
  <c r="D56" i="1"/>
  <c r="D32" i="2"/>
  <c r="J3" i="5"/>
  <c r="J9" i="5"/>
  <c r="J7" i="5"/>
  <c r="J4" i="5"/>
  <c r="J6" i="5"/>
  <c r="J8" i="5"/>
  <c r="J11" i="5"/>
  <c r="J5" i="5"/>
  <c r="D19" i="7"/>
  <c r="D20" i="7" s="1"/>
  <c r="I58" i="1"/>
  <c r="J58" i="1" s="1"/>
  <c r="I57" i="1"/>
  <c r="J57" i="1" s="1"/>
  <c r="J59" i="1" s="1"/>
  <c r="E10" i="3"/>
  <c r="F10" i="3" s="1"/>
  <c r="E9" i="3"/>
  <c r="D44" i="1"/>
  <c r="C46" i="2"/>
  <c r="D46" i="2" s="1"/>
  <c r="C45" i="2"/>
  <c r="D45" i="2" s="1"/>
  <c r="D44" i="2"/>
  <c r="D47" i="2" s="1"/>
  <c r="F9" i="4"/>
  <c r="H9" i="4" s="1"/>
  <c r="J9" i="4" s="1"/>
  <c r="G3" i="4"/>
  <c r="I3" i="4" s="1"/>
  <c r="J3" i="4" s="1"/>
  <c r="G6" i="4"/>
  <c r="I6" i="4" s="1"/>
  <c r="J6" i="4" s="1"/>
  <c r="F2" i="4"/>
  <c r="H2" i="4" s="1"/>
  <c r="J2" i="4" s="1"/>
  <c r="G5" i="4"/>
  <c r="I5" i="4" s="1"/>
  <c r="J5" i="4" s="1"/>
  <c r="F8" i="4"/>
  <c r="H8" i="4" s="1"/>
  <c r="J8" i="4" s="1"/>
  <c r="G4" i="4"/>
  <c r="I4" i="4" s="1"/>
  <c r="J4" i="4" s="1"/>
  <c r="G7" i="4"/>
  <c r="I7" i="4" s="1"/>
  <c r="J7" i="4" s="1"/>
  <c r="G11" i="4"/>
  <c r="I11" i="4" s="1"/>
  <c r="J11" i="4" s="1"/>
  <c r="G10" i="4"/>
  <c r="I10" i="4" s="1"/>
  <c r="J10" i="4" s="1"/>
  <c r="C34" i="2"/>
  <c r="D34" i="2" s="1"/>
  <c r="D35" i="2" s="1"/>
  <c r="C22" i="2"/>
  <c r="C21" i="2"/>
  <c r="C10" i="2"/>
  <c r="D10" i="2" s="1"/>
  <c r="D11" i="2" s="1"/>
  <c r="C10" i="3"/>
  <c r="D10" i="3" s="1"/>
  <c r="C9" i="3"/>
  <c r="D9" i="3" s="1"/>
  <c r="D11" i="3" s="1"/>
  <c r="G9" i="1"/>
  <c r="H9" i="1" s="1"/>
  <c r="H11" i="1" s="1"/>
  <c r="C58" i="1"/>
  <c r="D58" i="1" s="1"/>
  <c r="E58" i="1"/>
  <c r="F58" i="1" s="1"/>
  <c r="F59" i="1" s="1"/>
  <c r="C46" i="1"/>
  <c r="E46" i="1"/>
  <c r="C34" i="1"/>
  <c r="E34" i="1"/>
  <c r="C22" i="1"/>
  <c r="C21" i="1"/>
  <c r="E22" i="1"/>
  <c r="H22" i="1" s="1"/>
  <c r="H23" i="1" s="1"/>
  <c r="E21" i="1"/>
  <c r="G22" i="1"/>
  <c r="E9" i="1"/>
  <c r="C9" i="1"/>
  <c r="C10" i="1"/>
  <c r="D11" i="9" l="1"/>
  <c r="D10" i="8"/>
  <c r="D9" i="8"/>
  <c r="D11" i="8" s="1"/>
  <c r="H59" i="1"/>
  <c r="F9" i="3"/>
  <c r="F11" i="3" s="1"/>
  <c r="F10" i="1"/>
  <c r="D10" i="1"/>
  <c r="D9" i="1"/>
  <c r="F9" i="1"/>
  <c r="F21" i="1"/>
  <c r="D21" i="1"/>
  <c r="F34" i="1"/>
  <c r="F35" i="1" s="1"/>
  <c r="D34" i="1"/>
  <c r="D35" i="1" s="1"/>
  <c r="F46" i="1"/>
  <c r="D46" i="1"/>
  <c r="D59" i="1"/>
  <c r="F47" i="1"/>
  <c r="F22" i="1"/>
  <c r="D22" i="1"/>
  <c r="D47" i="1"/>
  <c r="D11" i="1" l="1"/>
  <c r="D23" i="1"/>
  <c r="F23" i="1"/>
  <c r="F11" i="1"/>
  <c r="E19" i="7"/>
  <c r="F20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<sst xmlns="http://schemas.openxmlformats.org/spreadsheetml/2006/main" count="431" uniqueCount="133">
  <si>
    <t>Грунт PD</t>
  </si>
  <si>
    <t>6,6</t>
  </si>
  <si>
    <t>S м2 =</t>
  </si>
  <si>
    <t>Смесь = 100%+50% (810) +30% = 1.8</t>
  </si>
  <si>
    <t>Лак PV</t>
  </si>
  <si>
    <t>Смесь = 100%+50% (825) +30% = 1.8</t>
  </si>
  <si>
    <t>Лак AV</t>
  </si>
  <si>
    <t>Смесь = 100%+10% (890) +30% = 1.4</t>
  </si>
  <si>
    <t>Грунт PA</t>
  </si>
  <si>
    <t>Эмаль PB</t>
  </si>
  <si>
    <t>Смесь = 100%+33% (865) +30% = 1.66</t>
  </si>
  <si>
    <t>Смесь = 100%+50% (865) +30% = 1.8</t>
  </si>
  <si>
    <t>Эмаль SC-T470</t>
  </si>
  <si>
    <t>Смесь = 100%+50% (310.70) +30% = 1.8</t>
  </si>
  <si>
    <t>Грунт Д-ДУР Плюс Белый</t>
  </si>
  <si>
    <t>2650-751001-200</t>
  </si>
  <si>
    <t>Лак Д-ДУР</t>
  </si>
  <si>
    <t>2575-001251-180</t>
  </si>
  <si>
    <t>Смесь = 100%+30% (1871-01085) +30% = 1.6</t>
  </si>
  <si>
    <t>Цвета</t>
  </si>
  <si>
    <t>Пропорция разведения</t>
  </si>
  <si>
    <t>Светлая сосна - 16043035</t>
  </si>
  <si>
    <t>Сосна - 16043015</t>
  </si>
  <si>
    <t>Анегри Т4 - 889200590</t>
  </si>
  <si>
    <t>1:3</t>
  </si>
  <si>
    <t>1:15</t>
  </si>
  <si>
    <t>1:20</t>
  </si>
  <si>
    <t>Анегри Т5 - 889200591</t>
  </si>
  <si>
    <t>Красный Грецкий Орех - 8892013</t>
  </si>
  <si>
    <t>1:7</t>
  </si>
  <si>
    <t>Вишня - 16043065</t>
  </si>
  <si>
    <t>Махагон - 16043005</t>
  </si>
  <si>
    <t>Красный - 16043075</t>
  </si>
  <si>
    <t>Бордовый - 16043085</t>
  </si>
  <si>
    <t>Палисандровое дерево - 8892028</t>
  </si>
  <si>
    <t>1:5</t>
  </si>
  <si>
    <t>Расход ацетона/ растворитель 646</t>
  </si>
  <si>
    <t>Расход Морилка</t>
  </si>
  <si>
    <t>Расход смеси на площадь S в 1 слой</t>
  </si>
  <si>
    <t>м2 на 1кг</t>
  </si>
  <si>
    <r>
      <t xml:space="preserve"> ←Для расчета необходимо задать площадь</t>
    </r>
    <r>
      <rPr>
        <sz val="11"/>
        <color theme="1"/>
        <rFont val="Aptos Narrow"/>
        <family val="2"/>
      </rPr>
      <t>←</t>
    </r>
  </si>
  <si>
    <t>Расход отвердителя, кг</t>
  </si>
  <si>
    <t>Расход грунта, кг</t>
  </si>
  <si>
    <t>Расход разбовителя, кг</t>
  </si>
  <si>
    <t>Расход грунта, л</t>
  </si>
  <si>
    <t>Расход отвердителя, л</t>
  </si>
  <si>
    <t>Расход разбовителя, л</t>
  </si>
  <si>
    <t>Расход эмали, л</t>
  </si>
  <si>
    <t>Расход лака, л</t>
  </si>
  <si>
    <t>2675-755251-01</t>
  </si>
  <si>
    <t>Эмаль Д-ДУР-01</t>
  </si>
  <si>
    <t>Эмаль Д-ДУР-00</t>
  </si>
  <si>
    <t>2675-755251-00</t>
  </si>
  <si>
    <t>Цена за еденицу:</t>
  </si>
  <si>
    <t>Итого:</t>
  </si>
  <si>
    <t>Расход эмали, кг</t>
  </si>
  <si>
    <t>Расход лака, кг</t>
  </si>
  <si>
    <t>Расход ацетона/ растворителя 646</t>
  </si>
  <si>
    <t>Антисептик Cetol 567 BDP</t>
  </si>
  <si>
    <t>567 BDP</t>
  </si>
  <si>
    <t>Смесь = 100%+5%(Вода)</t>
  </si>
  <si>
    <t>Расход антисептика, л</t>
  </si>
  <si>
    <t>Гибрид AQUA Combi WA D20</t>
  </si>
  <si>
    <t>Расход гибридного состава, л</t>
  </si>
  <si>
    <t>Краска CETOL® WF
9810-46-25
(WF761)</t>
  </si>
  <si>
    <t>WF 761</t>
  </si>
  <si>
    <t>Краска CETOL® WF
771</t>
  </si>
  <si>
    <t>WF 771</t>
  </si>
  <si>
    <r>
      <t xml:space="preserve">СETOL </t>
    </r>
    <r>
      <rPr>
        <b/>
        <sz val="12"/>
        <color rgb="FFC00000"/>
        <rFont val="Arial"/>
        <family val="2"/>
      </rPr>
      <t xml:space="preserve">® </t>
    </r>
    <r>
      <rPr>
        <b/>
        <sz val="11"/>
        <rFont val="Arial"/>
        <family val="2"/>
      </rPr>
      <t>WF 9830-03-05</t>
    </r>
  </si>
  <si>
    <r>
      <t>CETOL</t>
    </r>
    <r>
      <rPr>
        <b/>
        <sz val="12"/>
        <color rgb="FFC00000"/>
        <rFont val="Arial"/>
        <family val="2"/>
      </rPr>
      <t xml:space="preserve">® </t>
    </r>
    <r>
      <rPr>
        <b/>
        <sz val="11"/>
        <rFont val="Arial"/>
        <family val="2"/>
      </rPr>
      <t>WF 9810-03-15</t>
    </r>
  </si>
  <si>
    <r>
      <t>CETOL</t>
    </r>
    <r>
      <rPr>
        <b/>
        <sz val="12"/>
        <color rgb="FFC00000"/>
        <rFont val="Arial"/>
        <family val="2"/>
      </rPr>
      <t xml:space="preserve">® </t>
    </r>
    <r>
      <rPr>
        <b/>
        <sz val="11"/>
        <rFont val="Arial"/>
        <family val="2"/>
      </rPr>
      <t>WF 9810-03-25</t>
    </r>
  </si>
  <si>
    <t>Расход покрытия, л</t>
  </si>
  <si>
    <t>D 20</t>
  </si>
  <si>
    <t>м2 на 1 л</t>
  </si>
  <si>
    <t>Смесь = 100%+1000%(Вода)</t>
  </si>
  <si>
    <t>Axil</t>
  </si>
  <si>
    <t>Антисептик Axil 2000 (Концентрат)</t>
  </si>
  <si>
    <t>Расход воды, л</t>
  </si>
  <si>
    <t>T470-00</t>
  </si>
  <si>
    <t>T470-01</t>
  </si>
  <si>
    <t>Смесь = 100%+33% (816) +30% = 1.66</t>
  </si>
  <si>
    <t xml:space="preserve">м2 на 1 </t>
  </si>
  <si>
    <t>973-10</t>
  </si>
  <si>
    <t>973-20</t>
  </si>
  <si>
    <t>Смесь = 100%+100% (870) +30% = 2.3</t>
  </si>
  <si>
    <t>Антисептик WT420</t>
  </si>
  <si>
    <t>Масло WT090</t>
  </si>
  <si>
    <t>Краска WT894 (771)</t>
  </si>
  <si>
    <t>Краска интерьерная DECOPLUS WM 610</t>
  </si>
  <si>
    <t>WM610/1 (База А - Белая)</t>
  </si>
  <si>
    <t>WM610/1 (База С - Прозрачная)</t>
  </si>
  <si>
    <t>WT892/1</t>
  </si>
  <si>
    <t>WMA 695 (База А - Белая)</t>
  </si>
  <si>
    <t>WMA 695 (База С - Прозрачная)</t>
  </si>
  <si>
    <t>WT090</t>
  </si>
  <si>
    <t>WT420</t>
  </si>
  <si>
    <t xml:space="preserve"> WT894</t>
  </si>
  <si>
    <t>Смесь = 100%</t>
  </si>
  <si>
    <t>Краска для наружных работ WINTEX WMA 695 (3310)</t>
  </si>
  <si>
    <t>Лазурь «3 в 1» FULLPROTECT WT 892 (под кисть) полуматовая (761)</t>
  </si>
  <si>
    <t>Цена Морилка</t>
  </si>
  <si>
    <t>Цена Ацетон</t>
  </si>
  <si>
    <t>Цена Общая</t>
  </si>
  <si>
    <t>1 - 480055 - Коричневый</t>
  </si>
  <si>
    <t>2 - 480093 - Старый дуб</t>
  </si>
  <si>
    <t>3 - 483101 - Светлый орех</t>
  </si>
  <si>
    <t>4 - 483004 - Фундукт темный</t>
  </si>
  <si>
    <t>5 - 483007 - Античный орех</t>
  </si>
  <si>
    <t>6 - 480222 - Венге коричневый</t>
  </si>
  <si>
    <t>7 - 480744 - Орех</t>
  </si>
  <si>
    <t>8 - 483162 - Орех Тобако</t>
  </si>
  <si>
    <t>9 - 483810 - Пепельно Серый</t>
  </si>
  <si>
    <t>10 - 480049 - Черный</t>
  </si>
  <si>
    <r>
      <t xml:space="preserve"> ←Для расчета необходимо задать пропорцию</t>
    </r>
    <r>
      <rPr>
        <sz val="11"/>
        <color theme="1"/>
        <rFont val="Aptos Narrow"/>
        <family val="2"/>
      </rPr>
      <t>←</t>
    </r>
  </si>
  <si>
    <t>Цена Растворитель 646</t>
  </si>
  <si>
    <t>Цена:</t>
  </si>
  <si>
    <t>Необходимая пропорция (1:5, 1:10, 1:15 и тд.)</t>
  </si>
  <si>
    <t>1:10</t>
  </si>
  <si>
    <t>Расход масла, л</t>
  </si>
  <si>
    <t>Финишное покрытие CETOL® WF 9830-9810(для распыления)</t>
  </si>
  <si>
    <t>Краска RUBBOL WF
3310
(WF361)</t>
  </si>
  <si>
    <t>3310-03-25</t>
  </si>
  <si>
    <t>3310-06-25 (01)</t>
  </si>
  <si>
    <t>Лак-Акриловый HELIODUR ANR</t>
  </si>
  <si>
    <t>Смесь = 100%+10% (310.84) +30% = 1.4</t>
  </si>
  <si>
    <t>ANR 3N-5N-10N-90N</t>
  </si>
  <si>
    <t>Смесь = 100%+50% (310.84) +30% = 1.8</t>
  </si>
  <si>
    <t xml:space="preserve">Грунт белый SCP320HZ5F </t>
  </si>
  <si>
    <t>Лак ПУ Паркетный</t>
  </si>
  <si>
    <t>2115715l2A</t>
  </si>
  <si>
    <t>Смесь = 100%+100% (310.84) +30% = 1.8</t>
  </si>
  <si>
    <t>Смесь = 100%+50% (860) +30% = 1.8</t>
  </si>
  <si>
    <t>WT092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</si>
</sst>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C0000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1" xfId="0" applyFont="1" applyFill="1" applyBorder="1"/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11" xfId="0" applyNumberFormat="1" applyFont="1" applyFill="1" applyBorder="1"/>
    <xf numFmtId="1" fontId="1" fillId="2" borderId="6" xfId="0" applyNumberFormat="1" applyFont="1" applyFill="1" applyBorder="1" applyAlignment="1">
      <alignment horizontal="center"/>
    </xf>
    <xf numFmtId="164" fontId="1" fillId="2" borderId="12" xfId="0" applyNumberFormat="1" applyFont="1" applyFill="1" applyBorder="1"/>
    <xf numFmtId="2" fontId="1" fillId="0" borderId="0" xfId="0" applyNumberFormat="1" applyFont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0" xfId="0" applyFill="1"/>
    <xf numFmtId="0" fontId="0" fillId="6" borderId="5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2" fontId="0" fillId="0" borderId="5" xfId="0" applyNumberFormat="1" applyBorder="1"/>
    <xf numFmtId="2" fontId="1" fillId="0" borderId="5" xfId="0" applyNumberFormat="1" applyFont="1" applyBorder="1"/>
    <xf numFmtId="0" fontId="0" fillId="0" borderId="8" xfId="0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1" fillId="2" borderId="14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wrapText="1"/>
    </xf>
    <xf numFmtId="0" fontId="0" fillId="6" borderId="0" xfId="0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2" fontId="0" fillId="0" borderId="11" xfId="0" applyNumberFormat="1" applyBorder="1" applyAlignment="1">
      <alignment horizontal="center"/>
    </xf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1" fillId="2" borderId="10" xfId="0" applyNumberFormat="1" applyFont="1" applyFill="1" applyBorder="1"/>
    <xf numFmtId="2" fontId="0" fillId="0" borderId="12" xfId="0" applyNumberFormat="1" applyBorder="1" applyAlignment="1">
      <alignment horizontal="center"/>
    </xf>
    <xf numFmtId="0" fontId="1" fillId="0" borderId="8" xfId="0" applyFont="1" applyBorder="1"/>
    <xf numFmtId="2" fontId="1" fillId="0" borderId="9" xfId="0" applyNumberFormat="1" applyFont="1" applyBorder="1"/>
    <xf numFmtId="0" fontId="1" fillId="0" borderId="10" xfId="0" applyFont="1" applyBorder="1"/>
    <xf numFmtId="2" fontId="1" fillId="2" borderId="4" xfId="0" applyNumberFormat="1" applyFont="1" applyFill="1" applyBorder="1" applyAlignment="1">
      <alignment horizontal="center"/>
    </xf>
    <xf numFmtId="2" fontId="1" fillId="2" borderId="15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1" xfId="0" applyNumberFormat="1" applyFont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/>
    <xf numFmtId="0" fontId="1" fillId="5" borderId="1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/>
    <xf numFmtId="0" fontId="0" fillId="4" borderId="9" xfId="0" applyFill="1" applyBorder="1" applyAlignment="1"/>
    <xf numFmtId="0" fontId="1" fillId="6" borderId="0" xfId="0" applyFont="1" applyFill="1" applyBorder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 applyAlignment="1"/>
    <xf numFmtId="2" fontId="1" fillId="6" borderId="0" xfId="0" applyNumberFormat="1" applyFont="1" applyFill="1" applyBorder="1" applyAlignment="1">
      <alignment horizontal="center"/>
    </xf>
    <xf numFmtId="0" fontId="1" fillId="6" borderId="0" xfId="0" applyFont="1" applyFill="1" applyBorder="1"/>
    <xf numFmtId="2" fontId="0" fillId="6" borderId="0" xfId="0" applyNumberFormat="1" applyFill="1" applyBorder="1"/>
    <xf numFmtId="2" fontId="1" fillId="6" borderId="0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2" fontId="1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43C1-5386-45A8-90DD-E999519DE4F2}">
  <dimension ref="A1:J59"/>
  <sheetViews>
    <sheetView topLeftCell="A37" workbookViewId="0">
      <selection activeCell="D11" sqref="D11"/>
    </sheetView>
  </sheetViews>
  <sheetFormatPr defaultRowHeight="15" x14ac:dyDescent="0.25"/>
  <cols>
    <col min="1" max="1" width="22.85546875" customWidth="1"/>
    <col min="2" max="2" width="35.140625" customWidth="1"/>
    <col min="4" max="4" width="32.42578125" customWidth="1"/>
    <col min="6" max="6" width="33.140625" customWidth="1"/>
    <col min="8" max="8" width="37.42578125" customWidth="1"/>
    <col min="10" max="10" width="28.85546875" customWidth="1"/>
  </cols>
  <sheetData>
    <row r="1" spans="1:8" x14ac:dyDescent="0.25">
      <c r="A1" s="18" t="s">
        <v>0</v>
      </c>
      <c r="B1" s="14" t="s">
        <v>3</v>
      </c>
      <c r="C1" s="35">
        <v>155</v>
      </c>
      <c r="D1" s="14" t="s">
        <v>3</v>
      </c>
      <c r="E1" s="35">
        <v>125</v>
      </c>
      <c r="F1" s="14" t="s">
        <v>3</v>
      </c>
      <c r="G1" s="35">
        <v>118</v>
      </c>
    </row>
    <row r="2" spans="1:8" x14ac:dyDescent="0.25">
      <c r="A2" s="3"/>
      <c r="B2" s="8" t="s">
        <v>39</v>
      </c>
      <c r="C2" s="13" t="s">
        <v>1</v>
      </c>
      <c r="D2" s="4"/>
      <c r="E2" s="13" t="s">
        <v>1</v>
      </c>
      <c r="F2" s="4"/>
      <c r="G2" s="13" t="s">
        <v>1</v>
      </c>
    </row>
    <row r="3" spans="1:8" x14ac:dyDescent="0.25">
      <c r="A3" s="3"/>
      <c r="G3" s="6"/>
    </row>
    <row r="4" spans="1:8" x14ac:dyDescent="0.25">
      <c r="A4" s="10" t="s">
        <v>2</v>
      </c>
      <c r="B4" s="76">
        <v>1</v>
      </c>
      <c r="C4" s="84" t="s">
        <v>40</v>
      </c>
      <c r="D4" s="85"/>
      <c r="E4" s="85"/>
      <c r="F4" s="85"/>
      <c r="G4" s="85"/>
      <c r="H4" s="86"/>
    </row>
    <row r="5" spans="1:8" x14ac:dyDescent="0.25">
      <c r="A5" s="3"/>
      <c r="G5" s="6"/>
    </row>
    <row r="6" spans="1:8" x14ac:dyDescent="0.25">
      <c r="A6" s="3"/>
      <c r="B6" s="8" t="s">
        <v>38</v>
      </c>
      <c r="C6" s="24">
        <f>B4/6</f>
        <v>0.16666666666666666</v>
      </c>
      <c r="D6" s="33"/>
      <c r="E6" s="24">
        <f>B4/6</f>
        <v>0.16666666666666666</v>
      </c>
      <c r="F6" s="33"/>
      <c r="G6" s="24">
        <f>B4/6</f>
        <v>0.16666666666666666</v>
      </c>
    </row>
    <row r="7" spans="1:8" x14ac:dyDescent="0.25">
      <c r="A7" s="3"/>
      <c r="C7" s="9"/>
      <c r="D7" s="8" t="s">
        <v>115</v>
      </c>
      <c r="E7" s="9"/>
      <c r="F7" s="8" t="s">
        <v>115</v>
      </c>
      <c r="G7" s="9"/>
      <c r="H7" s="8" t="s">
        <v>115</v>
      </c>
    </row>
    <row r="8" spans="1:8" x14ac:dyDescent="0.25">
      <c r="A8">
        <v>498</v>
      </c>
      <c r="B8" s="15" t="s">
        <v>42</v>
      </c>
      <c r="C8" s="46">
        <f>C6/1.8</f>
        <v>9.2592592592592587E-2</v>
      </c>
      <c r="D8" s="56">
        <f>C8*A8</f>
        <v>46.111111111111107</v>
      </c>
      <c r="E8" s="71">
        <f>E6/1.8</f>
        <v>9.2592592592592587E-2</v>
      </c>
      <c r="F8" s="56">
        <f>694*C8</f>
        <v>64.259259259259252</v>
      </c>
      <c r="G8" s="71">
        <f>G6/1.8</f>
        <v>9.2592592592592587E-2</v>
      </c>
      <c r="H8" s="56">
        <f>685*G8</f>
        <v>63.425925925925924</v>
      </c>
    </row>
    <row r="9" spans="1:8" x14ac:dyDescent="0.25">
      <c r="A9">
        <v>833</v>
      </c>
      <c r="B9" s="16" t="s">
        <v>41</v>
      </c>
      <c r="C9" s="69">
        <f>(C8*50)/100</f>
        <v>4.6296296296296301E-2</v>
      </c>
      <c r="D9" s="56">
        <f t="shared" ref="D9:D10" si="0">C9*A9</f>
        <v>38.564814814814817</v>
      </c>
      <c r="E9" s="72">
        <f>(E8*50)/100</f>
        <v>4.6296296296296301E-2</v>
      </c>
      <c r="F9" s="56">
        <f>A9*C9</f>
        <v>38.564814814814817</v>
      </c>
      <c r="G9" s="72">
        <f>(G8*50)/100</f>
        <v>4.6296296296296301E-2</v>
      </c>
      <c r="H9" s="56">
        <f>A9*G9</f>
        <v>38.564814814814817</v>
      </c>
    </row>
    <row r="10" spans="1:8" x14ac:dyDescent="0.25">
      <c r="A10">
        <v>266</v>
      </c>
      <c r="B10" s="17" t="s">
        <v>43</v>
      </c>
      <c r="C10" s="70">
        <f>(C8*30)/100</f>
        <v>2.7777777777777776E-2</v>
      </c>
      <c r="D10" s="56">
        <f t="shared" si="0"/>
        <v>7.3888888888888884</v>
      </c>
      <c r="E10" s="34">
        <f>(E8*30)/100</f>
        <v>2.7777777777777776E-2</v>
      </c>
      <c r="F10" s="56">
        <f>A10*C10</f>
        <v>7.3888888888888884</v>
      </c>
      <c r="G10" s="34">
        <f>(G8*30)/100</f>
        <v>2.7777777777777776E-2</v>
      </c>
      <c r="H10" s="56">
        <f>A10*G10</f>
        <v>7.3888888888888884</v>
      </c>
    </row>
    <row r="11" spans="1:8" x14ac:dyDescent="0.25">
      <c r="C11" s="66" t="s">
        <v>54</v>
      </c>
      <c r="D11" s="73">
        <f>SUM(D8:D10)</f>
        <v>92.06481481481481</v>
      </c>
      <c r="E11" s="66" t="s">
        <v>54</v>
      </c>
      <c r="F11" s="73">
        <f>SUM(F8:F10)</f>
        <v>110.21296296296296</v>
      </c>
      <c r="G11" s="66" t="s">
        <v>54</v>
      </c>
      <c r="H11" s="73">
        <f>SUM(H8:H10)</f>
        <v>109.37962962962962</v>
      </c>
    </row>
    <row r="13" spans="1:8" x14ac:dyDescent="0.25">
      <c r="A13" s="18" t="s">
        <v>4</v>
      </c>
      <c r="B13" s="14" t="s">
        <v>5</v>
      </c>
      <c r="C13" s="35">
        <v>220</v>
      </c>
      <c r="D13" s="14" t="s">
        <v>131</v>
      </c>
      <c r="E13" s="35">
        <v>290</v>
      </c>
      <c r="F13" s="14" t="s">
        <v>84</v>
      </c>
      <c r="G13" s="35">
        <v>210</v>
      </c>
    </row>
    <row r="14" spans="1:8" x14ac:dyDescent="0.25">
      <c r="A14" s="3"/>
      <c r="B14" s="8" t="s">
        <v>39</v>
      </c>
      <c r="C14" s="13" t="s">
        <v>1</v>
      </c>
      <c r="D14" s="4"/>
      <c r="E14" s="13" t="s">
        <v>1</v>
      </c>
      <c r="F14" s="4"/>
      <c r="G14" s="13" t="s">
        <v>1</v>
      </c>
    </row>
    <row r="15" spans="1:8" x14ac:dyDescent="0.25">
      <c r="A15" s="3"/>
      <c r="G15" s="6"/>
    </row>
    <row r="16" spans="1:8" x14ac:dyDescent="0.25">
      <c r="A16" s="10" t="s">
        <v>2</v>
      </c>
      <c r="B16" s="76">
        <v>1</v>
      </c>
      <c r="C16" s="84" t="s">
        <v>40</v>
      </c>
      <c r="D16" s="85"/>
      <c r="E16" s="85"/>
      <c r="F16" s="85"/>
      <c r="G16" s="85"/>
      <c r="H16" s="86"/>
    </row>
    <row r="17" spans="1:8" x14ac:dyDescent="0.25">
      <c r="A17" s="3"/>
      <c r="G17" s="6"/>
      <c r="H17" s="6"/>
    </row>
    <row r="18" spans="1:8" x14ac:dyDescent="0.25">
      <c r="A18" s="3"/>
      <c r="B18" s="8" t="s">
        <v>38</v>
      </c>
      <c r="C18" s="24">
        <f>B16/6</f>
        <v>0.16666666666666666</v>
      </c>
      <c r="D18" s="33"/>
      <c r="E18" s="24">
        <f>B16/6</f>
        <v>0.16666666666666666</v>
      </c>
      <c r="F18" s="33"/>
      <c r="G18" s="24">
        <f>B16/6</f>
        <v>0.16666666666666666</v>
      </c>
      <c r="H18" s="6"/>
    </row>
    <row r="19" spans="1:8" x14ac:dyDescent="0.25">
      <c r="A19" s="3"/>
      <c r="C19" s="9"/>
      <c r="D19" s="8" t="s">
        <v>115</v>
      </c>
      <c r="E19" s="9"/>
      <c r="F19" s="8" t="s">
        <v>115</v>
      </c>
      <c r="G19" s="25"/>
      <c r="H19" s="8" t="s">
        <v>115</v>
      </c>
    </row>
    <row r="20" spans="1:8" x14ac:dyDescent="0.25">
      <c r="A20">
        <v>908</v>
      </c>
      <c r="B20" s="15" t="s">
        <v>56</v>
      </c>
      <c r="C20" s="26">
        <f>C18/1.8</f>
        <v>9.2592592592592587E-2</v>
      </c>
      <c r="D20" s="55">
        <f>C20*A20</f>
        <v>84.074074074074076</v>
      </c>
      <c r="E20" s="26">
        <f>E18/1.8</f>
        <v>9.2592592592592587E-2</v>
      </c>
      <c r="F20" s="55">
        <f>A20*C20</f>
        <v>84.074074074074076</v>
      </c>
      <c r="G20" s="26">
        <f>G18/2.3</f>
        <v>7.2463768115942032E-2</v>
      </c>
      <c r="H20" s="55">
        <f>A20*E20</f>
        <v>84.074074074074076</v>
      </c>
    </row>
    <row r="21" spans="1:8" x14ac:dyDescent="0.25">
      <c r="A21">
        <v>862</v>
      </c>
      <c r="B21" s="16" t="s">
        <v>41</v>
      </c>
      <c r="C21" s="27">
        <f>(C20*50)/100</f>
        <v>4.6296296296296301E-2</v>
      </c>
      <c r="D21" s="56">
        <f>C21*A21</f>
        <v>39.907407407407412</v>
      </c>
      <c r="E21" s="27">
        <f>(E20*50)/100</f>
        <v>4.6296296296296301E-2</v>
      </c>
      <c r="F21" s="56">
        <f>893*C21</f>
        <v>41.342592592592595</v>
      </c>
      <c r="G21" s="27">
        <f>(G20*100)/100</f>
        <v>7.2463768115942032E-2</v>
      </c>
      <c r="H21" s="56">
        <f>862*G21</f>
        <v>62.463768115942031</v>
      </c>
    </row>
    <row r="22" spans="1:8" x14ac:dyDescent="0.25">
      <c r="A22">
        <v>266</v>
      </c>
      <c r="B22" s="17" t="s">
        <v>43</v>
      </c>
      <c r="C22" s="28">
        <f>(C20*30)/100</f>
        <v>2.7777777777777776E-2</v>
      </c>
      <c r="D22" s="57">
        <f t="shared" ref="D22" si="1">C22*A22</f>
        <v>7.3888888888888884</v>
      </c>
      <c r="E22" s="28">
        <f>(E20*30)/100</f>
        <v>2.7777777777777776E-2</v>
      </c>
      <c r="F22" s="57">
        <f>A22*C22</f>
        <v>7.3888888888888884</v>
      </c>
      <c r="G22" s="28">
        <f>(G20*30)/100</f>
        <v>2.1739130434782608E-2</v>
      </c>
      <c r="H22" s="57">
        <f>A22*E22</f>
        <v>7.3888888888888884</v>
      </c>
    </row>
    <row r="23" spans="1:8" x14ac:dyDescent="0.25">
      <c r="C23" s="66" t="s">
        <v>54</v>
      </c>
      <c r="D23" s="73">
        <f>SUM(D20:D22)</f>
        <v>131.37037037037038</v>
      </c>
      <c r="E23" s="66" t="s">
        <v>54</v>
      </c>
      <c r="F23" s="73">
        <f>SUM(F20:F22)</f>
        <v>132.80555555555557</v>
      </c>
      <c r="G23" s="66" t="s">
        <v>54</v>
      </c>
      <c r="H23" s="73">
        <f>SUM(H20:H22)</f>
        <v>153.92673107890499</v>
      </c>
    </row>
    <row r="25" spans="1:8" x14ac:dyDescent="0.25">
      <c r="A25" s="18" t="s">
        <v>6</v>
      </c>
      <c r="B25" s="2" t="s">
        <v>7</v>
      </c>
      <c r="C25" s="35">
        <v>740</v>
      </c>
      <c r="D25" s="14" t="s">
        <v>7</v>
      </c>
      <c r="E25" s="35">
        <v>795</v>
      </c>
      <c r="F25" s="11"/>
    </row>
    <row r="26" spans="1:8" x14ac:dyDescent="0.25">
      <c r="A26" s="3"/>
      <c r="B26" s="8" t="s">
        <v>39</v>
      </c>
      <c r="C26" s="13" t="s">
        <v>1</v>
      </c>
      <c r="D26" s="4"/>
      <c r="E26" s="13" t="s">
        <v>1</v>
      </c>
      <c r="F26" s="6"/>
    </row>
    <row r="27" spans="1:8" x14ac:dyDescent="0.25">
      <c r="A27" s="3"/>
      <c r="E27" s="6"/>
      <c r="F27" s="6"/>
    </row>
    <row r="28" spans="1:8" x14ac:dyDescent="0.25">
      <c r="A28" s="10" t="s">
        <v>2</v>
      </c>
      <c r="B28" s="76">
        <v>1</v>
      </c>
      <c r="C28" s="84" t="s">
        <v>40</v>
      </c>
      <c r="D28" s="85"/>
      <c r="E28" s="85"/>
      <c r="F28" s="86"/>
      <c r="G28" s="36"/>
    </row>
    <row r="29" spans="1:8" x14ac:dyDescent="0.25">
      <c r="A29" s="3"/>
      <c r="E29" s="6"/>
      <c r="F29" s="6"/>
    </row>
    <row r="30" spans="1:8" x14ac:dyDescent="0.25">
      <c r="A30" s="3"/>
      <c r="B30" s="8" t="s">
        <v>38</v>
      </c>
      <c r="C30" s="24">
        <f>B28/6</f>
        <v>0.16666666666666666</v>
      </c>
      <c r="D30" s="33"/>
      <c r="E30" s="24">
        <f>B28/6</f>
        <v>0.16666666666666666</v>
      </c>
      <c r="F30" s="6"/>
    </row>
    <row r="31" spans="1:8" x14ac:dyDescent="0.25">
      <c r="A31" s="3"/>
      <c r="C31" s="9"/>
      <c r="D31" s="8" t="s">
        <v>115</v>
      </c>
      <c r="E31" s="25"/>
      <c r="F31" s="8" t="s">
        <v>115</v>
      </c>
    </row>
    <row r="32" spans="1:8" x14ac:dyDescent="0.25">
      <c r="A32">
        <v>1046</v>
      </c>
      <c r="B32" s="15" t="s">
        <v>56</v>
      </c>
      <c r="C32" s="72">
        <f>C30/1.4</f>
        <v>0.11904761904761905</v>
      </c>
      <c r="D32" s="55">
        <f>C32*A32</f>
        <v>124.52380952380953</v>
      </c>
      <c r="E32" s="26">
        <f>E30/1.4</f>
        <v>0.11904761904761905</v>
      </c>
      <c r="F32" s="55">
        <f>1071*C32</f>
        <v>127.50000000000001</v>
      </c>
    </row>
    <row r="33" spans="1:7" x14ac:dyDescent="0.25">
      <c r="A33">
        <v>1143</v>
      </c>
      <c r="B33" s="16" t="s">
        <v>41</v>
      </c>
      <c r="C33" s="72">
        <f>(C32*10)/100</f>
        <v>1.1904761904761904E-2</v>
      </c>
      <c r="D33" s="56">
        <f>C33*A33</f>
        <v>13.607142857142856</v>
      </c>
      <c r="E33" s="27">
        <f>(E32*10)/100</f>
        <v>1.1904761904761904E-2</v>
      </c>
      <c r="F33" s="56">
        <f>A33*C33</f>
        <v>13.607142857142856</v>
      </c>
    </row>
    <row r="34" spans="1:7" x14ac:dyDescent="0.25">
      <c r="A34">
        <v>266</v>
      </c>
      <c r="B34" s="17" t="s">
        <v>43</v>
      </c>
      <c r="C34" s="34">
        <f>(C32*30)/100</f>
        <v>3.5714285714285719E-2</v>
      </c>
      <c r="D34" s="57">
        <f t="shared" ref="D34" si="2">C34*A34</f>
        <v>9.5000000000000018</v>
      </c>
      <c r="E34" s="28">
        <f>(E32*30)/100</f>
        <v>3.5714285714285719E-2</v>
      </c>
      <c r="F34" s="57">
        <f>A34*C34</f>
        <v>9.5000000000000018</v>
      </c>
    </row>
    <row r="35" spans="1:7" x14ac:dyDescent="0.25">
      <c r="C35" s="66" t="s">
        <v>54</v>
      </c>
      <c r="D35" s="73">
        <f>SUM(D32:D34)</f>
        <v>147.63095238095238</v>
      </c>
      <c r="E35" s="66" t="s">
        <v>54</v>
      </c>
      <c r="F35" s="73">
        <f>SUM(F32:F34)</f>
        <v>150.60714285714286</v>
      </c>
    </row>
    <row r="37" spans="1:7" x14ac:dyDescent="0.25">
      <c r="A37" s="18" t="s">
        <v>8</v>
      </c>
      <c r="B37" s="14" t="s">
        <v>10</v>
      </c>
      <c r="C37" s="35">
        <v>777</v>
      </c>
      <c r="D37" s="14" t="s">
        <v>80</v>
      </c>
      <c r="E37" s="35">
        <v>334</v>
      </c>
      <c r="F37" s="11"/>
    </row>
    <row r="38" spans="1:7" x14ac:dyDescent="0.25">
      <c r="A38" s="3"/>
      <c r="B38" s="8" t="s">
        <v>39</v>
      </c>
      <c r="C38" s="13" t="s">
        <v>1</v>
      </c>
      <c r="D38" s="4"/>
      <c r="E38" s="13" t="s">
        <v>1</v>
      </c>
      <c r="F38" s="6"/>
    </row>
    <row r="39" spans="1:7" x14ac:dyDescent="0.25">
      <c r="A39" s="3"/>
      <c r="E39" s="6"/>
      <c r="F39" s="6"/>
    </row>
    <row r="40" spans="1:7" x14ac:dyDescent="0.25">
      <c r="A40" s="10" t="s">
        <v>2</v>
      </c>
      <c r="B40" s="76">
        <v>1</v>
      </c>
      <c r="C40" s="84" t="s">
        <v>40</v>
      </c>
      <c r="D40" s="85"/>
      <c r="E40" s="85"/>
      <c r="F40" s="86"/>
      <c r="G40" s="36"/>
    </row>
    <row r="41" spans="1:7" x14ac:dyDescent="0.25">
      <c r="A41" s="3"/>
      <c r="E41" s="6"/>
      <c r="F41" s="6"/>
    </row>
    <row r="42" spans="1:7" x14ac:dyDescent="0.25">
      <c r="A42" s="3"/>
      <c r="B42" s="8" t="s">
        <v>38</v>
      </c>
      <c r="C42" s="24">
        <f>B40/6</f>
        <v>0.16666666666666666</v>
      </c>
      <c r="D42" s="74"/>
      <c r="E42" s="24">
        <f>B40/6</f>
        <v>0.16666666666666666</v>
      </c>
      <c r="F42" s="6"/>
    </row>
    <row r="43" spans="1:7" x14ac:dyDescent="0.25">
      <c r="A43" s="3"/>
      <c r="C43" s="9"/>
      <c r="D43" s="8" t="s">
        <v>115</v>
      </c>
      <c r="E43" s="25"/>
      <c r="F43" s="8" t="s">
        <v>115</v>
      </c>
    </row>
    <row r="44" spans="1:7" x14ac:dyDescent="0.25">
      <c r="A44">
        <v>523</v>
      </c>
      <c r="B44" s="15" t="s">
        <v>42</v>
      </c>
      <c r="C44" s="26">
        <f>C42/1.66</f>
        <v>0.10040160642570281</v>
      </c>
      <c r="D44" s="55">
        <f>C44*A44</f>
        <v>52.510040160642568</v>
      </c>
      <c r="E44" s="26">
        <f>E42/1.66</f>
        <v>0.10040160642570281</v>
      </c>
      <c r="F44" s="55">
        <f>447*C44</f>
        <v>44.879518072289159</v>
      </c>
    </row>
    <row r="45" spans="1:7" x14ac:dyDescent="0.25">
      <c r="A45">
        <v>867</v>
      </c>
      <c r="B45" s="16" t="s">
        <v>41</v>
      </c>
      <c r="C45" s="27">
        <f>(C44*33)/100</f>
        <v>3.3132530120481923E-2</v>
      </c>
      <c r="D45" s="56">
        <f>C45*A45</f>
        <v>28.725903614457827</v>
      </c>
      <c r="E45" s="27">
        <f>(E44*33)/100</f>
        <v>3.3132530120481923E-2</v>
      </c>
      <c r="F45" s="56">
        <f>694*C45</f>
        <v>22.993975903614455</v>
      </c>
    </row>
    <row r="46" spans="1:7" x14ac:dyDescent="0.25">
      <c r="A46">
        <v>266</v>
      </c>
      <c r="B46" s="17" t="s">
        <v>43</v>
      </c>
      <c r="C46" s="28">
        <f>(C44*30)/100</f>
        <v>3.0120481927710843E-2</v>
      </c>
      <c r="D46" s="57">
        <f>C46*A46</f>
        <v>8.0120481927710845</v>
      </c>
      <c r="E46" s="28">
        <f>(E44*30)/100</f>
        <v>3.0120481927710843E-2</v>
      </c>
      <c r="F46" s="57">
        <f>A46*C46</f>
        <v>8.0120481927710845</v>
      </c>
    </row>
    <row r="47" spans="1:7" x14ac:dyDescent="0.25">
      <c r="C47" s="66" t="s">
        <v>54</v>
      </c>
      <c r="D47" s="73">
        <f>SUM(D44:D46)</f>
        <v>89.247991967871485</v>
      </c>
      <c r="E47" s="66" t="s">
        <v>54</v>
      </c>
      <c r="F47" s="73">
        <f>SUM(F44:F46)</f>
        <v>75.885542168674704</v>
      </c>
    </row>
    <row r="49" spans="1:10" x14ac:dyDescent="0.25">
      <c r="A49" s="18" t="s">
        <v>9</v>
      </c>
      <c r="B49" s="14" t="s">
        <v>11</v>
      </c>
      <c r="C49" s="35">
        <v>440</v>
      </c>
      <c r="D49" s="14" t="s">
        <v>11</v>
      </c>
      <c r="E49" s="35">
        <v>420</v>
      </c>
      <c r="F49" s="14" t="s">
        <v>11</v>
      </c>
      <c r="G49" s="35" t="s">
        <v>82</v>
      </c>
      <c r="H49" s="14" t="s">
        <v>11</v>
      </c>
      <c r="I49" s="35" t="s">
        <v>83</v>
      </c>
      <c r="J49" s="11"/>
    </row>
    <row r="50" spans="1:10" x14ac:dyDescent="0.25">
      <c r="A50" s="3"/>
      <c r="B50" s="8" t="s">
        <v>39</v>
      </c>
      <c r="C50" s="13" t="s">
        <v>1</v>
      </c>
      <c r="D50" s="4"/>
      <c r="E50" s="13" t="s">
        <v>1</v>
      </c>
      <c r="G50" s="6"/>
      <c r="J50" s="6"/>
    </row>
    <row r="51" spans="1:10" x14ac:dyDescent="0.25">
      <c r="A51" s="3"/>
      <c r="E51" s="6"/>
      <c r="G51" s="6"/>
      <c r="J51" s="6"/>
    </row>
    <row r="52" spans="1:10" x14ac:dyDescent="0.25">
      <c r="A52" s="10" t="s">
        <v>2</v>
      </c>
      <c r="B52" s="76">
        <v>1</v>
      </c>
      <c r="C52" s="84" t="s">
        <v>40</v>
      </c>
      <c r="D52" s="85"/>
      <c r="E52" s="85"/>
      <c r="F52" s="85"/>
      <c r="G52" s="85"/>
      <c r="H52" s="85"/>
      <c r="I52" s="85"/>
      <c r="J52" s="86"/>
    </row>
    <row r="53" spans="1:10" x14ac:dyDescent="0.25">
      <c r="A53" s="3"/>
      <c r="E53" s="6"/>
      <c r="G53" s="6"/>
      <c r="J53" s="6"/>
    </row>
    <row r="54" spans="1:10" x14ac:dyDescent="0.25">
      <c r="A54" s="3"/>
      <c r="B54" s="8" t="s">
        <v>38</v>
      </c>
      <c r="C54" s="24">
        <f>B52/6</f>
        <v>0.16666666666666666</v>
      </c>
      <c r="D54" s="74"/>
      <c r="E54" s="24">
        <f>B52/6</f>
        <v>0.16666666666666666</v>
      </c>
      <c r="G54" s="24">
        <f>B52/6</f>
        <v>0.16666666666666666</v>
      </c>
      <c r="I54" s="24">
        <f>B52/6</f>
        <v>0.16666666666666666</v>
      </c>
      <c r="J54" s="6"/>
    </row>
    <row r="55" spans="1:10" x14ac:dyDescent="0.25">
      <c r="A55" s="3"/>
      <c r="C55" s="9"/>
      <c r="D55" s="8" t="s">
        <v>115</v>
      </c>
      <c r="E55" s="25"/>
      <c r="F55" s="8" t="s">
        <v>115</v>
      </c>
      <c r="G55" s="6"/>
      <c r="H55" s="8" t="s">
        <v>115</v>
      </c>
      <c r="I55" s="6"/>
      <c r="J55" s="8" t="s">
        <v>115</v>
      </c>
    </row>
    <row r="56" spans="1:10" x14ac:dyDescent="0.25">
      <c r="A56">
        <v>996</v>
      </c>
      <c r="B56" s="15" t="s">
        <v>55</v>
      </c>
      <c r="C56" s="26">
        <f>C54/1.8</f>
        <v>9.2592592592592587E-2</v>
      </c>
      <c r="D56" s="55">
        <f>C56*A56</f>
        <v>92.222222222222214</v>
      </c>
      <c r="E56" s="26">
        <f>E54/1.8</f>
        <v>9.2592592592592587E-2</v>
      </c>
      <c r="F56" s="55">
        <f>898*E56</f>
        <v>83.148148148148138</v>
      </c>
      <c r="G56" s="26">
        <f>G54/1.8</f>
        <v>9.2592592592592587E-2</v>
      </c>
      <c r="H56" s="55">
        <f>1102*G56</f>
        <v>102.03703703703704</v>
      </c>
      <c r="I56" s="26">
        <f>I54/1.8</f>
        <v>9.2592592592592587E-2</v>
      </c>
      <c r="J56" s="55">
        <f>1017*I56</f>
        <v>94.166666666666657</v>
      </c>
    </row>
    <row r="57" spans="1:10" x14ac:dyDescent="0.25">
      <c r="A57">
        <v>867</v>
      </c>
      <c r="B57" s="16" t="s">
        <v>41</v>
      </c>
      <c r="C57" s="27">
        <f>(C56*50)/100</f>
        <v>4.6296296296296301E-2</v>
      </c>
      <c r="D57" s="56">
        <f>C57*A57</f>
        <v>40.138888888888893</v>
      </c>
      <c r="E57" s="27">
        <f>(E56*50)/100</f>
        <v>4.6296296296296301E-2</v>
      </c>
      <c r="F57" s="56">
        <f>A57*E57</f>
        <v>40.138888888888893</v>
      </c>
      <c r="G57" s="27">
        <f>(G56*50)/100</f>
        <v>4.6296296296296301E-2</v>
      </c>
      <c r="H57" s="56">
        <f>A57*G57</f>
        <v>40.138888888888893</v>
      </c>
      <c r="I57" s="27">
        <f>(I56*50)/100</f>
        <v>4.6296296296296301E-2</v>
      </c>
      <c r="J57" s="56">
        <f>A57*I57</f>
        <v>40.138888888888893</v>
      </c>
    </row>
    <row r="58" spans="1:10" x14ac:dyDescent="0.25">
      <c r="A58">
        <v>266</v>
      </c>
      <c r="B58" s="17" t="s">
        <v>43</v>
      </c>
      <c r="C58" s="28">
        <f>(C56*30)/100</f>
        <v>2.7777777777777776E-2</v>
      </c>
      <c r="D58" s="57">
        <f>C58*A58</f>
        <v>7.3888888888888884</v>
      </c>
      <c r="E58" s="28">
        <f>(E56*30)/100</f>
        <v>2.7777777777777776E-2</v>
      </c>
      <c r="F58" s="57">
        <f>A58*E58</f>
        <v>7.3888888888888884</v>
      </c>
      <c r="G58" s="28">
        <f>(G56*30)/100</f>
        <v>2.7777777777777776E-2</v>
      </c>
      <c r="H58" s="57">
        <f>A58*G58</f>
        <v>7.3888888888888884</v>
      </c>
      <c r="I58" s="28">
        <f>(I56*30)/100</f>
        <v>2.7777777777777776E-2</v>
      </c>
      <c r="J58" s="57">
        <f>A58*I58</f>
        <v>7.3888888888888884</v>
      </c>
    </row>
    <row r="59" spans="1:10" x14ac:dyDescent="0.25">
      <c r="C59" s="66" t="s">
        <v>54</v>
      </c>
      <c r="D59" s="73">
        <f>SUM(D56:D58)</f>
        <v>139.75</v>
      </c>
      <c r="E59" s="66" t="s">
        <v>54</v>
      </c>
      <c r="F59" s="73">
        <f>SUM(F56:F58)</f>
        <v>130.67592592592592</v>
      </c>
      <c r="G59" s="66" t="s">
        <v>54</v>
      </c>
      <c r="H59" s="73">
        <f>SUM(H56:H58)</f>
        <v>149.56481481481481</v>
      </c>
      <c r="I59" s="66" t="s">
        <v>54</v>
      </c>
      <c r="J59" s="73">
        <f>SUM(J56:J58)</f>
        <v>141.69444444444443</v>
      </c>
    </row>
  </sheetData>
  <mergeCells count="5">
    <mergeCell ref="C52:J52"/>
    <mergeCell ref="C4:H4"/>
    <mergeCell ref="C16:H16"/>
    <mergeCell ref="C28:F28"/>
    <mergeCell ref="C40:F4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3375-17B2-4143-8BAF-31D224887873}">
  <dimension ref="A1:J11"/>
  <sheetViews>
    <sheetView workbookViewId="0">
      <selection activeCell="D20" sqref="D20"/>
    </sheetView>
  </sheetViews>
  <sheetFormatPr defaultRowHeight="15" x14ac:dyDescent="0.25"/>
  <cols>
    <col min="1" max="1" width="31.28515625" customWidth="1"/>
    <col min="2" max="2" width="35.140625" customWidth="1"/>
    <col min="3" max="3" width="23.28515625" customWidth="1"/>
    <col min="4" max="4" width="35" customWidth="1"/>
    <col min="6" max="6" width="35" customWidth="1"/>
    <col min="7" max="7" width="9.140625" customWidth="1"/>
    <col min="8" max="8" width="37.42578125" customWidth="1"/>
    <col min="10" max="10" width="34" customWidth="1"/>
  </cols>
  <sheetData>
    <row r="1" spans="1:10" x14ac:dyDescent="0.25">
      <c r="A1" s="18" t="s">
        <v>123</v>
      </c>
      <c r="B1" s="2" t="s">
        <v>124</v>
      </c>
      <c r="C1" s="35" t="s">
        <v>125</v>
      </c>
      <c r="D1" s="11"/>
      <c r="E1" s="92"/>
      <c r="F1" s="93"/>
      <c r="G1" s="92"/>
      <c r="H1" s="93"/>
      <c r="I1" s="92"/>
      <c r="J1" s="93"/>
    </row>
    <row r="2" spans="1:10" x14ac:dyDescent="0.25">
      <c r="A2" s="3"/>
      <c r="B2" s="66" t="s">
        <v>39</v>
      </c>
      <c r="C2" s="13" t="s">
        <v>1</v>
      </c>
      <c r="D2" s="5"/>
      <c r="E2" s="94"/>
      <c r="F2" s="93"/>
      <c r="G2" s="94"/>
      <c r="H2" s="93"/>
      <c r="I2" s="94"/>
      <c r="J2" s="93"/>
    </row>
    <row r="3" spans="1:10" x14ac:dyDescent="0.25">
      <c r="A3" s="3"/>
      <c r="C3" s="3"/>
      <c r="D3" s="6"/>
      <c r="E3" s="93"/>
      <c r="F3" s="93"/>
      <c r="G3" s="93"/>
      <c r="H3" s="93"/>
      <c r="I3" s="93"/>
      <c r="J3" s="93"/>
    </row>
    <row r="4" spans="1:10" x14ac:dyDescent="0.25">
      <c r="A4" s="10" t="s">
        <v>2</v>
      </c>
      <c r="B4" s="100">
        <v>1</v>
      </c>
      <c r="C4" s="84" t="s">
        <v>40</v>
      </c>
      <c r="D4" s="86"/>
      <c r="E4" s="95"/>
      <c r="F4" s="95"/>
      <c r="G4" s="95"/>
      <c r="H4" s="95"/>
      <c r="I4" s="95"/>
      <c r="J4" s="95"/>
    </row>
    <row r="5" spans="1:10" x14ac:dyDescent="0.25">
      <c r="A5" s="3"/>
      <c r="C5" s="3"/>
      <c r="D5" s="6"/>
      <c r="E5" s="93"/>
      <c r="F5" s="93"/>
      <c r="G5" s="93"/>
      <c r="H5" s="93"/>
      <c r="I5" s="93"/>
      <c r="J5" s="93"/>
    </row>
    <row r="6" spans="1:10" x14ac:dyDescent="0.25">
      <c r="A6" s="3"/>
      <c r="B6" s="66" t="s">
        <v>38</v>
      </c>
      <c r="C6" s="24">
        <f>B4/6</f>
        <v>0.16666666666666666</v>
      </c>
      <c r="D6" s="103"/>
      <c r="E6" s="96"/>
      <c r="F6" s="93"/>
      <c r="G6" s="96"/>
      <c r="H6" s="93"/>
      <c r="I6" s="96"/>
      <c r="J6" s="93"/>
    </row>
    <row r="7" spans="1:10" x14ac:dyDescent="0.25">
      <c r="A7" s="3"/>
      <c r="C7" s="104"/>
      <c r="D7" s="8" t="s">
        <v>115</v>
      </c>
      <c r="E7" s="92"/>
      <c r="F7" s="97"/>
      <c r="G7" s="92"/>
      <c r="H7" s="97"/>
      <c r="I7" s="92"/>
      <c r="J7" s="97"/>
    </row>
    <row r="8" spans="1:10" x14ac:dyDescent="0.25">
      <c r="A8">
        <v>1819</v>
      </c>
      <c r="B8" s="101" t="s">
        <v>56</v>
      </c>
      <c r="C8" s="69">
        <f>C6/1.4</f>
        <v>0.11904761904761905</v>
      </c>
      <c r="D8" s="55">
        <f>C8*A8</f>
        <v>216.54761904761907</v>
      </c>
      <c r="E8" s="96"/>
      <c r="F8" s="98"/>
      <c r="G8" s="96"/>
      <c r="H8" s="98"/>
      <c r="I8" s="96"/>
      <c r="J8" s="98"/>
    </row>
    <row r="9" spans="1:10" x14ac:dyDescent="0.25">
      <c r="A9">
        <v>2199</v>
      </c>
      <c r="B9" s="3" t="s">
        <v>41</v>
      </c>
      <c r="C9" s="69">
        <f>(C8*10)/100</f>
        <v>1.1904761904761904E-2</v>
      </c>
      <c r="D9" s="56">
        <f>C9*A9</f>
        <v>26.178571428571427</v>
      </c>
      <c r="E9" s="96"/>
      <c r="F9" s="98"/>
      <c r="G9" s="96"/>
      <c r="H9" s="98"/>
      <c r="I9" s="96"/>
      <c r="J9" s="98"/>
    </row>
    <row r="10" spans="1:10" x14ac:dyDescent="0.25">
      <c r="A10">
        <v>266</v>
      </c>
      <c r="B10" s="102" t="s">
        <v>43</v>
      </c>
      <c r="C10" s="70">
        <f>(C8*30)/100</f>
        <v>3.5714285714285719E-2</v>
      </c>
      <c r="D10" s="57">
        <f t="shared" ref="D10" si="0">C10*A10</f>
        <v>9.5000000000000018</v>
      </c>
      <c r="E10" s="96"/>
      <c r="F10" s="98"/>
      <c r="G10" s="96"/>
      <c r="H10" s="98"/>
      <c r="I10" s="96"/>
      <c r="J10" s="98"/>
    </row>
    <row r="11" spans="1:10" x14ac:dyDescent="0.25">
      <c r="C11" s="66" t="s">
        <v>54</v>
      </c>
      <c r="D11" s="73">
        <f>SUM(D8:D10)</f>
        <v>252.22619047619048</v>
      </c>
      <c r="E11" s="97"/>
      <c r="F11" s="99"/>
      <c r="G11" s="97"/>
      <c r="H11" s="99"/>
      <c r="I11" s="97"/>
      <c r="J11" s="99"/>
    </row>
  </sheetData>
  <mergeCells count="1">
    <mergeCell ref="C4:D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FF67-274A-4DCE-B941-C727C9B9407B}">
  <dimension ref="A1:G11"/>
  <sheetViews>
    <sheetView tabSelected="1" workbookViewId="0">
      <selection activeCell="F11" sqref="F11"/>
    </sheetView>
  </sheetViews>
  <sheetFormatPr defaultRowHeight="15" x14ac:dyDescent="0.25"/>
  <cols>
    <col min="1" max="1" width="22.85546875" customWidth="1"/>
    <col min="2" max="2" width="34.140625" customWidth="1"/>
    <col min="4" max="4" width="34.28515625" customWidth="1"/>
    <col min="6" max="6" width="37.5703125" customWidth="1"/>
  </cols>
  <sheetData>
    <row r="1" spans="1:7" x14ac:dyDescent="0.25">
      <c r="A1" s="18" t="s">
        <v>12</v>
      </c>
      <c r="B1" s="14" t="s">
        <v>13</v>
      </c>
      <c r="C1" s="35" t="s">
        <v>78</v>
      </c>
      <c r="D1" s="14" t="s">
        <v>13</v>
      </c>
      <c r="E1" s="35" t="s">
        <v>79</v>
      </c>
      <c r="F1" s="14"/>
    </row>
    <row r="2" spans="1:7" x14ac:dyDescent="0.25">
      <c r="A2" s="3"/>
      <c r="B2" s="10" t="s">
        <v>39</v>
      </c>
      <c r="C2" s="13" t="s">
        <v>1</v>
      </c>
      <c r="D2" s="5"/>
      <c r="E2" s="13" t="s">
        <v>1</v>
      </c>
      <c r="F2" s="5"/>
    </row>
    <row r="3" spans="1:7" x14ac:dyDescent="0.25">
      <c r="A3" s="3"/>
      <c r="C3" s="6"/>
      <c r="D3" s="6"/>
      <c r="E3" s="6"/>
      <c r="F3" s="6"/>
    </row>
    <row r="4" spans="1:7" x14ac:dyDescent="0.25">
      <c r="A4" s="10" t="s">
        <v>2</v>
      </c>
      <c r="B4" s="77">
        <v>1</v>
      </c>
      <c r="C4" s="84" t="s">
        <v>40</v>
      </c>
      <c r="D4" s="85"/>
      <c r="E4" s="85"/>
      <c r="F4" s="86"/>
      <c r="G4" s="36"/>
    </row>
    <row r="5" spans="1:7" x14ac:dyDescent="0.25">
      <c r="A5" s="3"/>
      <c r="C5" s="6"/>
      <c r="D5" s="6"/>
      <c r="E5" s="6"/>
      <c r="F5" s="6"/>
    </row>
    <row r="6" spans="1:7" x14ac:dyDescent="0.25">
      <c r="A6" s="3"/>
      <c r="B6" s="8" t="s">
        <v>38</v>
      </c>
      <c r="C6" s="24">
        <f>B4/6</f>
        <v>0.16666666666666666</v>
      </c>
      <c r="D6" s="5"/>
      <c r="E6" s="24">
        <f>B4/6</f>
        <v>0.16666666666666666</v>
      </c>
      <c r="F6" s="5"/>
    </row>
    <row r="7" spans="1:7" x14ac:dyDescent="0.25">
      <c r="A7" s="3"/>
      <c r="C7" s="25"/>
      <c r="D7" s="8" t="s">
        <v>115</v>
      </c>
      <c r="E7" s="25"/>
      <c r="F7" s="8" t="s">
        <v>115</v>
      </c>
    </row>
    <row r="8" spans="1:7" x14ac:dyDescent="0.25">
      <c r="A8" s="3">
        <v>1574</v>
      </c>
      <c r="B8" s="15" t="s">
        <v>55</v>
      </c>
      <c r="C8" s="26">
        <f>C6/1.8</f>
        <v>9.2592592592592587E-2</v>
      </c>
      <c r="D8" s="55">
        <f>C8*A8</f>
        <v>145.74074074074073</v>
      </c>
      <c r="E8" s="26">
        <f>E6/1.8</f>
        <v>9.2592592592592587E-2</v>
      </c>
      <c r="F8" s="55">
        <f>2286*E8</f>
        <v>211.66666666666666</v>
      </c>
      <c r="G8" s="74"/>
    </row>
    <row r="9" spans="1:7" x14ac:dyDescent="0.25">
      <c r="A9" s="7">
        <v>2612</v>
      </c>
      <c r="B9" s="16" t="s">
        <v>41</v>
      </c>
      <c r="C9" s="27">
        <f>(C8*50)/100</f>
        <v>4.6296296296296301E-2</v>
      </c>
      <c r="D9" s="56">
        <f>C9*A9</f>
        <v>120.92592592592594</v>
      </c>
      <c r="E9" s="27">
        <f>(E8*50)/100</f>
        <v>4.6296296296296301E-2</v>
      </c>
      <c r="F9" s="56">
        <f>A9*E9</f>
        <v>120.92592592592594</v>
      </c>
    </row>
    <row r="10" spans="1:7" x14ac:dyDescent="0.25">
      <c r="A10">
        <v>266</v>
      </c>
      <c r="B10" s="17" t="s">
        <v>43</v>
      </c>
      <c r="C10" s="28">
        <f>(C8*30)/100</f>
        <v>2.7777777777777776E-2</v>
      </c>
      <c r="D10" s="57">
        <f>C10*A10</f>
        <v>7.3888888888888884</v>
      </c>
      <c r="E10" s="28">
        <f>(E8*30)/100</f>
        <v>2.7777777777777776E-2</v>
      </c>
      <c r="F10" s="57">
        <f>A10*E10</f>
        <v>7.3888888888888884</v>
      </c>
    </row>
    <row r="11" spans="1:7" x14ac:dyDescent="0.25">
      <c r="C11" s="66" t="s">
        <v>54</v>
      </c>
      <c r="D11" s="73">
        <f>SUM(D8:D10)</f>
        <v>274.0555555555556</v>
      </c>
      <c r="E11" s="66" t="s">
        <v>54</v>
      </c>
      <c r="F11" s="73">
        <f>SUM(F8:F10)</f>
        <v>339.98148148148152</v>
      </c>
    </row>
  </sheetData>
  <mergeCells count="1"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C73F-40D0-4B23-914F-C6FC64D812C5}">
  <dimension ref="A1:G22"/>
  <sheetViews>
    <sheetView workbookViewId="0">
      <selection activeCell="D11" sqref="D11"/>
    </sheetView>
  </sheetViews>
  <sheetFormatPr defaultRowHeight="15" x14ac:dyDescent="0.25"/>
  <cols>
    <col min="1" max="1" width="27.140625" customWidth="1"/>
    <col min="2" max="2" width="38.5703125" customWidth="1"/>
    <col min="3" max="3" width="15.85546875" customWidth="1"/>
    <col min="4" max="4" width="34.28515625" customWidth="1"/>
    <col min="6" max="6" width="37.5703125" customWidth="1"/>
  </cols>
  <sheetData>
    <row r="1" spans="1:7" x14ac:dyDescent="0.25">
      <c r="A1" s="18" t="s">
        <v>127</v>
      </c>
      <c r="B1" s="14" t="s">
        <v>126</v>
      </c>
      <c r="C1" s="35">
        <v>111.58</v>
      </c>
      <c r="D1" s="6"/>
      <c r="E1" s="92"/>
      <c r="F1" s="93"/>
    </row>
    <row r="2" spans="1:7" x14ac:dyDescent="0.25">
      <c r="A2" s="3"/>
      <c r="B2" s="10" t="s">
        <v>39</v>
      </c>
      <c r="C2" s="13" t="s">
        <v>1</v>
      </c>
      <c r="D2" s="5"/>
      <c r="E2" s="94"/>
      <c r="F2" s="94"/>
    </row>
    <row r="3" spans="1:7" x14ac:dyDescent="0.25">
      <c r="A3" s="3"/>
      <c r="C3" s="6"/>
      <c r="D3" s="6"/>
      <c r="E3" s="93"/>
      <c r="F3" s="93"/>
    </row>
    <row r="4" spans="1:7" x14ac:dyDescent="0.25">
      <c r="A4" s="10" t="s">
        <v>2</v>
      </c>
      <c r="B4" s="77">
        <v>1</v>
      </c>
      <c r="C4" s="90" t="s">
        <v>40</v>
      </c>
      <c r="D4" s="91"/>
      <c r="E4" s="95"/>
      <c r="F4" s="95"/>
      <c r="G4" s="36"/>
    </row>
    <row r="5" spans="1:7" x14ac:dyDescent="0.25">
      <c r="A5" s="3"/>
      <c r="C5" s="6"/>
      <c r="D5" s="6"/>
      <c r="E5" s="93"/>
      <c r="F5" s="93"/>
    </row>
    <row r="6" spans="1:7" x14ac:dyDescent="0.25">
      <c r="A6" s="3"/>
      <c r="B6" s="8" t="s">
        <v>38</v>
      </c>
      <c r="C6" s="24">
        <f>B4/6</f>
        <v>0.16666666666666666</v>
      </c>
      <c r="D6" s="5"/>
      <c r="E6" s="96"/>
      <c r="F6" s="94"/>
    </row>
    <row r="7" spans="1:7" x14ac:dyDescent="0.25">
      <c r="A7" s="3"/>
      <c r="C7" s="25"/>
      <c r="D7" s="8" t="s">
        <v>115</v>
      </c>
      <c r="E7" s="92"/>
      <c r="F7" s="97"/>
    </row>
    <row r="8" spans="1:7" x14ac:dyDescent="0.25">
      <c r="A8" s="3">
        <v>2038</v>
      </c>
      <c r="B8" s="15" t="s">
        <v>55</v>
      </c>
      <c r="C8" s="26">
        <f>C6/1.8</f>
        <v>9.2592592592592587E-2</v>
      </c>
      <c r="D8" s="55">
        <f>C8*A8</f>
        <v>188.7037037037037</v>
      </c>
      <c r="E8" s="96"/>
      <c r="F8" s="98"/>
      <c r="G8" s="74"/>
    </row>
    <row r="9" spans="1:7" x14ac:dyDescent="0.25">
      <c r="A9" s="7">
        <v>1544</v>
      </c>
      <c r="B9" s="16" t="s">
        <v>41</v>
      </c>
      <c r="C9" s="27">
        <f>(C8*50)/100</f>
        <v>4.6296296296296301E-2</v>
      </c>
      <c r="D9" s="56">
        <f>C9*A9</f>
        <v>71.481481481481495</v>
      </c>
      <c r="E9" s="96"/>
      <c r="F9" s="98"/>
    </row>
    <row r="10" spans="1:7" x14ac:dyDescent="0.25">
      <c r="A10">
        <v>266</v>
      </c>
      <c r="B10" s="17" t="s">
        <v>43</v>
      </c>
      <c r="C10" s="28">
        <f>(C8*30)/100</f>
        <v>2.7777777777777776E-2</v>
      </c>
      <c r="D10" s="57">
        <f>C10*A10</f>
        <v>7.3888888888888884</v>
      </c>
      <c r="E10" s="96"/>
      <c r="F10" s="98"/>
    </row>
    <row r="11" spans="1:7" x14ac:dyDescent="0.25">
      <c r="C11" s="66" t="s">
        <v>54</v>
      </c>
      <c r="D11" s="73">
        <f>SUM(D8:D10)</f>
        <v>267.57407407407413</v>
      </c>
      <c r="E11" s="97"/>
      <c r="F11" s="99"/>
    </row>
    <row r="12" spans="1:7" x14ac:dyDescent="0.25">
      <c r="A12" s="18" t="s">
        <v>128</v>
      </c>
      <c r="B12" s="14" t="s">
        <v>130</v>
      </c>
      <c r="C12" s="35" t="s">
        <v>129</v>
      </c>
      <c r="D12" s="6"/>
    </row>
    <row r="13" spans="1:7" x14ac:dyDescent="0.25">
      <c r="A13" s="3"/>
      <c r="B13" s="10" t="s">
        <v>39</v>
      </c>
      <c r="C13" s="13" t="s">
        <v>1</v>
      </c>
      <c r="D13" s="5"/>
    </row>
    <row r="14" spans="1:7" x14ac:dyDescent="0.25">
      <c r="A14" s="3"/>
      <c r="C14" s="6"/>
      <c r="D14" s="6"/>
    </row>
    <row r="15" spans="1:7" x14ac:dyDescent="0.25">
      <c r="A15" s="10" t="s">
        <v>2</v>
      </c>
      <c r="B15" s="77">
        <v>1</v>
      </c>
      <c r="C15" s="90" t="s">
        <v>40</v>
      </c>
      <c r="D15" s="91"/>
    </row>
    <row r="16" spans="1:7" x14ac:dyDescent="0.25">
      <c r="A16" s="3"/>
      <c r="C16" s="6"/>
      <c r="D16" s="6"/>
    </row>
    <row r="17" spans="1:4" x14ac:dyDescent="0.25">
      <c r="A17" s="3"/>
      <c r="B17" s="8" t="s">
        <v>38</v>
      </c>
      <c r="C17" s="24">
        <f>B15/6</f>
        <v>0.16666666666666666</v>
      </c>
      <c r="D17" s="5"/>
    </row>
    <row r="18" spans="1:4" x14ac:dyDescent="0.25">
      <c r="A18" s="3"/>
      <c r="C18" s="25"/>
      <c r="D18" s="8" t="s">
        <v>115</v>
      </c>
    </row>
    <row r="19" spans="1:4" x14ac:dyDescent="0.25">
      <c r="A19" s="3">
        <v>2288</v>
      </c>
      <c r="B19" s="15" t="s">
        <v>55</v>
      </c>
      <c r="C19" s="26">
        <f>C17/2.3</f>
        <v>7.2463768115942032E-2</v>
      </c>
      <c r="D19" s="55">
        <f>C19*A19</f>
        <v>165.79710144927537</v>
      </c>
    </row>
    <row r="20" spans="1:4" x14ac:dyDescent="0.25">
      <c r="A20" s="7">
        <v>2288</v>
      </c>
      <c r="B20" s="16" t="s">
        <v>41</v>
      </c>
      <c r="C20" s="27">
        <f>(C19*100)/100</f>
        <v>7.2463768115942032E-2</v>
      </c>
      <c r="D20" s="56">
        <f>C20*A20</f>
        <v>165.79710144927537</v>
      </c>
    </row>
    <row r="21" spans="1:4" x14ac:dyDescent="0.25">
      <c r="A21">
        <v>266</v>
      </c>
      <c r="B21" s="17" t="s">
        <v>43</v>
      </c>
      <c r="C21" s="28">
        <f>(C19*30)/100</f>
        <v>2.1739130434782608E-2</v>
      </c>
      <c r="D21" s="57">
        <f>C21*A21</f>
        <v>5.7826086956521738</v>
      </c>
    </row>
    <row r="22" spans="1:4" x14ac:dyDescent="0.25">
      <c r="C22" s="66" t="s">
        <v>54</v>
      </c>
      <c r="D22" s="73">
        <f>SUM(D19:D21)</f>
        <v>337.37681159420293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C48C-E16C-46B9-BC9B-8EEDDFEFF3FB}">
  <dimension ref="A1:G47"/>
  <sheetViews>
    <sheetView topLeftCell="A25" workbookViewId="0">
      <selection activeCell="H7" sqref="H7"/>
    </sheetView>
  </sheetViews>
  <sheetFormatPr defaultRowHeight="15" x14ac:dyDescent="0.25"/>
  <cols>
    <col min="1" max="1" width="22.85546875" customWidth="1"/>
    <col min="2" max="2" width="43.42578125" customWidth="1"/>
    <col min="3" max="3" width="24.28515625" customWidth="1"/>
    <col min="4" max="4" width="32.42578125" customWidth="1"/>
  </cols>
  <sheetData>
    <row r="1" spans="1:7" x14ac:dyDescent="0.25">
      <c r="A1" s="18" t="s">
        <v>14</v>
      </c>
      <c r="B1" s="14" t="s">
        <v>18</v>
      </c>
      <c r="C1" s="35" t="s">
        <v>15</v>
      </c>
      <c r="D1" s="11"/>
    </row>
    <row r="2" spans="1:7" x14ac:dyDescent="0.25">
      <c r="A2" s="3"/>
      <c r="B2" s="10" t="s">
        <v>39</v>
      </c>
      <c r="C2" s="13" t="s">
        <v>1</v>
      </c>
      <c r="D2" s="6"/>
    </row>
    <row r="3" spans="1:7" x14ac:dyDescent="0.25">
      <c r="A3" s="3"/>
      <c r="C3" s="6"/>
      <c r="D3" s="6"/>
    </row>
    <row r="4" spans="1:7" x14ac:dyDescent="0.25">
      <c r="A4" s="10" t="s">
        <v>2</v>
      </c>
      <c r="B4" s="76">
        <v>1</v>
      </c>
      <c r="C4" s="84" t="s">
        <v>40</v>
      </c>
      <c r="D4" s="86"/>
      <c r="E4" s="36"/>
      <c r="F4" s="36"/>
      <c r="G4" s="37"/>
    </row>
    <row r="5" spans="1:7" x14ac:dyDescent="0.25">
      <c r="A5" s="3"/>
      <c r="C5" s="6"/>
      <c r="D5" s="6"/>
    </row>
    <row r="6" spans="1:7" x14ac:dyDescent="0.25">
      <c r="A6" s="3"/>
      <c r="B6" s="8" t="s">
        <v>38</v>
      </c>
      <c r="C6" s="24">
        <f>B4/6</f>
        <v>0.16666666666666666</v>
      </c>
      <c r="D6" s="6"/>
    </row>
    <row r="7" spans="1:7" x14ac:dyDescent="0.25">
      <c r="A7" s="13" t="s">
        <v>53</v>
      </c>
      <c r="C7" s="25"/>
      <c r="D7" s="8" t="s">
        <v>115</v>
      </c>
    </row>
    <row r="8" spans="1:7" x14ac:dyDescent="0.25">
      <c r="A8">
        <v>2102</v>
      </c>
      <c r="B8" s="15" t="s">
        <v>44</v>
      </c>
      <c r="C8" s="26">
        <f>C6/1.6</f>
        <v>0.10416666666666666</v>
      </c>
      <c r="D8" s="42">
        <f>C8*A8</f>
        <v>218.95833333333331</v>
      </c>
    </row>
    <row r="9" spans="1:7" x14ac:dyDescent="0.25">
      <c r="A9" s="16">
        <v>2612</v>
      </c>
      <c r="B9" s="16" t="s">
        <v>45</v>
      </c>
      <c r="C9" s="27">
        <f>(C8*30)/100</f>
        <v>3.1249999999999997E-2</v>
      </c>
      <c r="D9" s="42">
        <f t="shared" ref="D9:D10" si="0">C9*A9</f>
        <v>81.624999999999986</v>
      </c>
    </row>
    <row r="10" spans="1:7" x14ac:dyDescent="0.25">
      <c r="A10" s="17">
        <v>266</v>
      </c>
      <c r="B10" s="17" t="s">
        <v>46</v>
      </c>
      <c r="C10" s="27">
        <f>(C8*30)/100</f>
        <v>3.1249999999999997E-2</v>
      </c>
      <c r="D10" s="42">
        <f t="shared" si="0"/>
        <v>8.3124999999999982</v>
      </c>
    </row>
    <row r="11" spans="1:7" x14ac:dyDescent="0.25">
      <c r="C11" s="66" t="s">
        <v>54</v>
      </c>
      <c r="D11" s="67">
        <f>SUM(D8:D10)</f>
        <v>308.89583333333331</v>
      </c>
    </row>
    <row r="13" spans="1:7" x14ac:dyDescent="0.25">
      <c r="A13" s="18" t="s">
        <v>16</v>
      </c>
      <c r="B13" s="14" t="s">
        <v>18</v>
      </c>
      <c r="C13" s="35" t="s">
        <v>17</v>
      </c>
      <c r="D13" s="11"/>
    </row>
    <row r="14" spans="1:7" x14ac:dyDescent="0.25">
      <c r="A14" s="3"/>
      <c r="B14" s="10" t="s">
        <v>39</v>
      </c>
      <c r="C14" s="13" t="s">
        <v>1</v>
      </c>
      <c r="D14" s="6"/>
    </row>
    <row r="15" spans="1:7" x14ac:dyDescent="0.25">
      <c r="A15" s="3"/>
      <c r="C15" s="6"/>
      <c r="D15" s="6"/>
    </row>
    <row r="16" spans="1:7" x14ac:dyDescent="0.25">
      <c r="A16" s="10" t="s">
        <v>2</v>
      </c>
      <c r="B16" s="77">
        <v>20</v>
      </c>
      <c r="C16" s="84" t="s">
        <v>40</v>
      </c>
      <c r="D16" s="86"/>
      <c r="E16" s="36"/>
      <c r="F16" s="36"/>
      <c r="G16" s="37"/>
    </row>
    <row r="17" spans="1:7" x14ac:dyDescent="0.25">
      <c r="A17" s="3"/>
      <c r="C17" s="6"/>
      <c r="D17" s="6"/>
    </row>
    <row r="18" spans="1:7" x14ac:dyDescent="0.25">
      <c r="A18" s="3"/>
      <c r="B18" s="8" t="s">
        <v>38</v>
      </c>
      <c r="C18" s="24">
        <f>B16/6</f>
        <v>3.3333333333333335</v>
      </c>
      <c r="D18" s="6"/>
    </row>
    <row r="19" spans="1:7" x14ac:dyDescent="0.25">
      <c r="A19" s="10" t="s">
        <v>53</v>
      </c>
      <c r="C19" s="25"/>
      <c r="D19" s="8" t="s">
        <v>115</v>
      </c>
    </row>
    <row r="20" spans="1:7" x14ac:dyDescent="0.25">
      <c r="A20" s="15">
        <v>2612</v>
      </c>
      <c r="B20" s="15" t="s">
        <v>48</v>
      </c>
      <c r="C20" s="26">
        <f>C18/1.6</f>
        <v>2.0833333333333335</v>
      </c>
      <c r="D20" s="42">
        <f>C20*A20</f>
        <v>5441.666666666667</v>
      </c>
    </row>
    <row r="21" spans="1:7" x14ac:dyDescent="0.25">
      <c r="A21" s="16">
        <v>2612</v>
      </c>
      <c r="B21" s="16" t="s">
        <v>45</v>
      </c>
      <c r="C21" s="27">
        <f>(C20*30)/100</f>
        <v>0.62500000000000011</v>
      </c>
      <c r="D21" s="42">
        <f t="shared" ref="D21:D22" si="1">C21*A21</f>
        <v>1632.5000000000002</v>
      </c>
    </row>
    <row r="22" spans="1:7" x14ac:dyDescent="0.25">
      <c r="A22" s="17">
        <v>266</v>
      </c>
      <c r="B22" s="17" t="s">
        <v>46</v>
      </c>
      <c r="C22" s="27">
        <f>(C20*30)/100</f>
        <v>0.62500000000000011</v>
      </c>
      <c r="D22" s="42">
        <f t="shared" si="1"/>
        <v>166.25000000000003</v>
      </c>
    </row>
    <row r="23" spans="1:7" x14ac:dyDescent="0.25">
      <c r="C23" s="66" t="s">
        <v>54</v>
      </c>
      <c r="D23" s="67">
        <f>SUM(D20:D22)</f>
        <v>7240.416666666667</v>
      </c>
    </row>
    <row r="25" spans="1:7" x14ac:dyDescent="0.25">
      <c r="A25" s="18" t="s">
        <v>50</v>
      </c>
      <c r="B25" s="14" t="s">
        <v>18</v>
      </c>
      <c r="C25" s="35" t="s">
        <v>49</v>
      </c>
      <c r="D25" s="11"/>
    </row>
    <row r="26" spans="1:7" x14ac:dyDescent="0.25">
      <c r="A26" s="3"/>
      <c r="B26" s="10" t="s">
        <v>39</v>
      </c>
      <c r="C26" s="13" t="s">
        <v>1</v>
      </c>
      <c r="D26" s="6"/>
    </row>
    <row r="27" spans="1:7" x14ac:dyDescent="0.25">
      <c r="A27" s="3"/>
      <c r="C27" s="6"/>
      <c r="D27" s="6"/>
    </row>
    <row r="28" spans="1:7" x14ac:dyDescent="0.25">
      <c r="A28" s="10" t="s">
        <v>2</v>
      </c>
      <c r="B28" s="77">
        <v>3</v>
      </c>
      <c r="C28" s="84" t="s">
        <v>40</v>
      </c>
      <c r="D28" s="86"/>
      <c r="E28" s="36"/>
      <c r="F28" s="36"/>
      <c r="G28" s="37"/>
    </row>
    <row r="29" spans="1:7" x14ac:dyDescent="0.25">
      <c r="A29" s="3"/>
      <c r="C29" s="6"/>
      <c r="D29" s="6"/>
    </row>
    <row r="30" spans="1:7" x14ac:dyDescent="0.25">
      <c r="A30" s="3"/>
      <c r="B30" s="8" t="s">
        <v>38</v>
      </c>
      <c r="C30" s="24">
        <f>B28/6</f>
        <v>0.5</v>
      </c>
      <c r="D30" s="6"/>
    </row>
    <row r="31" spans="1:7" x14ac:dyDescent="0.25">
      <c r="A31" s="10" t="s">
        <v>53</v>
      </c>
      <c r="C31" s="25"/>
      <c r="D31" s="8" t="s">
        <v>115</v>
      </c>
    </row>
    <row r="32" spans="1:7" x14ac:dyDescent="0.25">
      <c r="A32" s="15">
        <v>2612</v>
      </c>
      <c r="B32" s="15" t="s">
        <v>47</v>
      </c>
      <c r="C32" s="26">
        <f>C30/1.6</f>
        <v>0.3125</v>
      </c>
      <c r="D32" s="42">
        <f>C32*A32</f>
        <v>816.25</v>
      </c>
    </row>
    <row r="33" spans="1:4" x14ac:dyDescent="0.25">
      <c r="A33" s="16">
        <v>2612</v>
      </c>
      <c r="B33" s="16" t="s">
        <v>45</v>
      </c>
      <c r="C33" s="27">
        <f>(C32*30)/100</f>
        <v>9.375E-2</v>
      </c>
      <c r="D33" s="42">
        <f t="shared" ref="D33:D34" si="2">C33*A33</f>
        <v>244.875</v>
      </c>
    </row>
    <row r="34" spans="1:4" x14ac:dyDescent="0.25">
      <c r="A34" s="17">
        <v>266</v>
      </c>
      <c r="B34" s="17" t="s">
        <v>46</v>
      </c>
      <c r="C34" s="27">
        <f>(C32*30)/100</f>
        <v>9.375E-2</v>
      </c>
      <c r="D34" s="42">
        <f t="shared" si="2"/>
        <v>24.9375</v>
      </c>
    </row>
    <row r="35" spans="1:4" x14ac:dyDescent="0.25">
      <c r="C35" s="66" t="s">
        <v>54</v>
      </c>
      <c r="D35" s="67">
        <f>SUM(D32:D34)</f>
        <v>1086.0625</v>
      </c>
    </row>
    <row r="37" spans="1:4" x14ac:dyDescent="0.25">
      <c r="A37" s="18" t="s">
        <v>51</v>
      </c>
      <c r="B37" s="14" t="s">
        <v>18</v>
      </c>
      <c r="C37" s="35" t="s">
        <v>52</v>
      </c>
      <c r="D37" s="11"/>
    </row>
    <row r="38" spans="1:4" x14ac:dyDescent="0.25">
      <c r="A38" s="3"/>
      <c r="B38" s="10" t="s">
        <v>39</v>
      </c>
      <c r="C38" s="13" t="s">
        <v>1</v>
      </c>
      <c r="D38" s="6"/>
    </row>
    <row r="39" spans="1:4" x14ac:dyDescent="0.25">
      <c r="A39" s="3"/>
      <c r="C39" s="6"/>
      <c r="D39" s="6"/>
    </row>
    <row r="40" spans="1:4" x14ac:dyDescent="0.25">
      <c r="A40" s="10" t="s">
        <v>2</v>
      </c>
      <c r="B40" s="77">
        <v>15</v>
      </c>
      <c r="C40" s="84" t="s">
        <v>40</v>
      </c>
      <c r="D40" s="86"/>
    </row>
    <row r="41" spans="1:4" x14ac:dyDescent="0.25">
      <c r="A41" s="3"/>
      <c r="C41" s="6"/>
      <c r="D41" s="6"/>
    </row>
    <row r="42" spans="1:4" x14ac:dyDescent="0.25">
      <c r="A42" s="3"/>
      <c r="B42" s="8" t="s">
        <v>38</v>
      </c>
      <c r="C42" s="24">
        <f>B40/6</f>
        <v>2.5</v>
      </c>
      <c r="D42" s="6"/>
    </row>
    <row r="43" spans="1:4" x14ac:dyDescent="0.25">
      <c r="A43" s="10" t="s">
        <v>53</v>
      </c>
      <c r="C43" s="25"/>
      <c r="D43" s="8" t="s">
        <v>115</v>
      </c>
    </row>
    <row r="44" spans="1:4" x14ac:dyDescent="0.25">
      <c r="A44" s="15">
        <v>2329</v>
      </c>
      <c r="B44" s="15" t="s">
        <v>47</v>
      </c>
      <c r="C44" s="26">
        <f>C42/1.6</f>
        <v>1.5625</v>
      </c>
      <c r="D44" s="42">
        <f>C44*A44</f>
        <v>3639.0625</v>
      </c>
    </row>
    <row r="45" spans="1:4" x14ac:dyDescent="0.25">
      <c r="A45" s="16">
        <v>2612</v>
      </c>
      <c r="B45" s="16" t="s">
        <v>45</v>
      </c>
      <c r="C45" s="27">
        <f>(C44*30)/100</f>
        <v>0.46875</v>
      </c>
      <c r="D45" s="42">
        <f t="shared" ref="D45:D46" si="3">C45*A45</f>
        <v>1224.375</v>
      </c>
    </row>
    <row r="46" spans="1:4" x14ac:dyDescent="0.25">
      <c r="A46" s="17">
        <v>266</v>
      </c>
      <c r="B46" s="17" t="s">
        <v>46</v>
      </c>
      <c r="C46" s="27">
        <f>(C44*30)/100</f>
        <v>0.46875</v>
      </c>
      <c r="D46" s="42">
        <f t="shared" si="3"/>
        <v>124.6875</v>
      </c>
    </row>
    <row r="47" spans="1:4" x14ac:dyDescent="0.25">
      <c r="C47" s="66" t="s">
        <v>54</v>
      </c>
      <c r="D47" s="67">
        <f>SUM(D44:D46)</f>
        <v>4988.125</v>
      </c>
    </row>
  </sheetData>
  <mergeCells count="4">
    <mergeCell ref="C40:D40"/>
    <mergeCell ref="C4:D4"/>
    <mergeCell ref="C16:D16"/>
    <mergeCell ref="C28:D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F1C1-2774-4B78-AC35-31D107D789ED}">
  <dimension ref="A1:H74"/>
  <sheetViews>
    <sheetView topLeftCell="A54" workbookViewId="0">
      <selection activeCell="H50" sqref="H50"/>
    </sheetView>
  </sheetViews>
  <sheetFormatPr defaultRowHeight="15" x14ac:dyDescent="0.25"/>
  <cols>
    <col min="1" max="1" width="36.28515625" customWidth="1"/>
    <col min="2" max="2" width="35.140625" customWidth="1"/>
    <col min="3" max="3" width="11.28515625" customWidth="1"/>
    <col min="4" max="4" width="32.42578125" customWidth="1"/>
    <col min="5" max="5" width="11" customWidth="1"/>
    <col min="6" max="6" width="33.140625" customWidth="1"/>
    <col min="8" max="8" width="32.7109375" customWidth="1"/>
  </cols>
  <sheetData>
    <row r="1" spans="1:4" x14ac:dyDescent="0.25">
      <c r="A1" s="18" t="s">
        <v>58</v>
      </c>
      <c r="B1" s="14" t="s">
        <v>60</v>
      </c>
      <c r="C1" s="35" t="s">
        <v>59</v>
      </c>
      <c r="D1" s="11"/>
    </row>
    <row r="2" spans="1:4" x14ac:dyDescent="0.25">
      <c r="A2" s="3"/>
      <c r="B2" s="10" t="s">
        <v>73</v>
      </c>
      <c r="C2" s="13">
        <v>10</v>
      </c>
      <c r="D2" s="6"/>
    </row>
    <row r="3" spans="1:4" x14ac:dyDescent="0.25">
      <c r="A3" s="3"/>
      <c r="C3" s="6"/>
      <c r="D3" s="6"/>
    </row>
    <row r="4" spans="1:4" x14ac:dyDescent="0.25">
      <c r="A4" s="10" t="s">
        <v>2</v>
      </c>
      <c r="B4" s="76">
        <v>1</v>
      </c>
      <c r="C4" s="84" t="s">
        <v>40</v>
      </c>
      <c r="D4" s="86"/>
    </row>
    <row r="5" spans="1:4" x14ac:dyDescent="0.25">
      <c r="A5" s="3"/>
      <c r="C5" s="6"/>
      <c r="D5" s="6"/>
    </row>
    <row r="6" spans="1:4" x14ac:dyDescent="0.25">
      <c r="A6" s="3"/>
      <c r="B6" s="8" t="s">
        <v>38</v>
      </c>
      <c r="C6" s="24">
        <f>B4/10</f>
        <v>0.1</v>
      </c>
      <c r="D6" s="6"/>
    </row>
    <row r="7" spans="1:4" x14ac:dyDescent="0.25">
      <c r="A7" s="10" t="s">
        <v>53</v>
      </c>
      <c r="C7" s="25"/>
      <c r="D7" s="8" t="s">
        <v>115</v>
      </c>
    </row>
    <row r="8" spans="1:4" x14ac:dyDescent="0.25">
      <c r="A8">
        <v>2011</v>
      </c>
      <c r="B8" s="68" t="s">
        <v>61</v>
      </c>
      <c r="C8" s="26">
        <f>C6/1</f>
        <v>0.1</v>
      </c>
      <c r="D8" s="75">
        <f>A8*C8</f>
        <v>201.10000000000002</v>
      </c>
    </row>
    <row r="9" spans="1:4" x14ac:dyDescent="0.25">
      <c r="C9" s="8" t="s">
        <v>54</v>
      </c>
      <c r="D9" s="73">
        <f>SUM(D8:D8)</f>
        <v>201.10000000000002</v>
      </c>
    </row>
    <row r="10" spans="1:4" x14ac:dyDescent="0.25">
      <c r="C10" s="1"/>
    </row>
    <row r="11" spans="1:4" x14ac:dyDescent="0.25">
      <c r="C11" s="1"/>
    </row>
    <row r="12" spans="1:4" x14ac:dyDescent="0.25">
      <c r="A12" s="18" t="s">
        <v>76</v>
      </c>
      <c r="B12" s="14" t="s">
        <v>74</v>
      </c>
      <c r="C12" s="35" t="s">
        <v>75</v>
      </c>
      <c r="D12" s="11"/>
    </row>
    <row r="13" spans="1:4" x14ac:dyDescent="0.25">
      <c r="A13" s="3"/>
      <c r="B13" s="10" t="s">
        <v>73</v>
      </c>
      <c r="C13" s="13">
        <v>10</v>
      </c>
      <c r="D13" s="6"/>
    </row>
    <row r="14" spans="1:4" x14ac:dyDescent="0.25">
      <c r="A14" s="3"/>
      <c r="C14" s="6"/>
      <c r="D14" s="6"/>
    </row>
    <row r="15" spans="1:4" x14ac:dyDescent="0.25">
      <c r="A15" s="10" t="s">
        <v>2</v>
      </c>
      <c r="B15" s="76">
        <v>1</v>
      </c>
      <c r="C15" s="84" t="s">
        <v>40</v>
      </c>
      <c r="D15" s="86"/>
    </row>
    <row r="16" spans="1:4" x14ac:dyDescent="0.25">
      <c r="A16" s="3"/>
      <c r="C16" s="6"/>
      <c r="D16" s="6"/>
    </row>
    <row r="17" spans="1:4" x14ac:dyDescent="0.25">
      <c r="A17" s="3"/>
      <c r="B17" s="8" t="s">
        <v>38</v>
      </c>
      <c r="C17" s="24">
        <f>B15/10</f>
        <v>0.1</v>
      </c>
      <c r="D17" s="6"/>
    </row>
    <row r="18" spans="1:4" x14ac:dyDescent="0.25">
      <c r="A18" s="10" t="s">
        <v>53</v>
      </c>
      <c r="C18" s="25"/>
      <c r="D18" s="8" t="s">
        <v>115</v>
      </c>
    </row>
    <row r="19" spans="1:4" x14ac:dyDescent="0.25">
      <c r="A19">
        <v>6040</v>
      </c>
      <c r="B19" s="68" t="s">
        <v>61</v>
      </c>
      <c r="C19" s="26">
        <f>C17/11</f>
        <v>9.0909090909090922E-3</v>
      </c>
      <c r="D19" s="55">
        <f>C19*A19</f>
        <v>54.909090909090914</v>
      </c>
    </row>
    <row r="20" spans="1:4" x14ac:dyDescent="0.25">
      <c r="A20">
        <v>1</v>
      </c>
      <c r="B20" s="8" t="s">
        <v>77</v>
      </c>
      <c r="C20" s="27">
        <f>(C19*1000)/100</f>
        <v>9.0909090909090912E-2</v>
      </c>
      <c r="D20" s="56">
        <f>C20*A20</f>
        <v>9.0909090909090912E-2</v>
      </c>
    </row>
    <row r="21" spans="1:4" x14ac:dyDescent="0.25">
      <c r="C21" s="8" t="s">
        <v>54</v>
      </c>
      <c r="D21" s="67">
        <f>SUM(D19:D19)</f>
        <v>54.909090909090914</v>
      </c>
    </row>
    <row r="22" spans="1:4" x14ac:dyDescent="0.25">
      <c r="C22" s="1"/>
    </row>
    <row r="24" spans="1:4" x14ac:dyDescent="0.25">
      <c r="A24" s="18" t="s">
        <v>62</v>
      </c>
      <c r="B24" s="14" t="s">
        <v>60</v>
      </c>
      <c r="C24" s="35" t="s">
        <v>72</v>
      </c>
      <c r="D24" s="11"/>
    </row>
    <row r="25" spans="1:4" x14ac:dyDescent="0.25">
      <c r="A25" s="3"/>
      <c r="B25" s="10" t="s">
        <v>81</v>
      </c>
      <c r="C25" s="13">
        <v>15</v>
      </c>
      <c r="D25" s="6"/>
    </row>
    <row r="26" spans="1:4" x14ac:dyDescent="0.25">
      <c r="A26" s="3"/>
      <c r="C26" s="6"/>
      <c r="D26" s="6"/>
    </row>
    <row r="27" spans="1:4" x14ac:dyDescent="0.25">
      <c r="A27" s="10" t="s">
        <v>2</v>
      </c>
      <c r="B27" s="77">
        <v>100</v>
      </c>
      <c r="C27" s="84" t="s">
        <v>40</v>
      </c>
      <c r="D27" s="86"/>
    </row>
    <row r="28" spans="1:4" x14ac:dyDescent="0.25">
      <c r="A28" s="3"/>
      <c r="C28" s="6"/>
      <c r="D28" s="6"/>
    </row>
    <row r="29" spans="1:4" x14ac:dyDescent="0.25">
      <c r="A29" s="3"/>
      <c r="B29" s="8" t="s">
        <v>38</v>
      </c>
      <c r="C29" s="24">
        <f>B27/15</f>
        <v>6.666666666666667</v>
      </c>
      <c r="D29" s="6"/>
    </row>
    <row r="30" spans="1:4" x14ac:dyDescent="0.25">
      <c r="A30" s="10" t="s">
        <v>53</v>
      </c>
      <c r="C30" s="25"/>
      <c r="D30" s="8" t="s">
        <v>115</v>
      </c>
    </row>
    <row r="31" spans="1:4" x14ac:dyDescent="0.25">
      <c r="A31">
        <v>2124</v>
      </c>
      <c r="B31" s="68" t="s">
        <v>63</v>
      </c>
      <c r="C31" s="26">
        <f>C29/1</f>
        <v>6.666666666666667</v>
      </c>
      <c r="D31" s="75">
        <f>A31*C31</f>
        <v>14160</v>
      </c>
    </row>
    <row r="32" spans="1:4" x14ac:dyDescent="0.25">
      <c r="C32" s="8" t="s">
        <v>54</v>
      </c>
      <c r="D32" s="73">
        <f>SUM(D31:D31)</f>
        <v>14160</v>
      </c>
    </row>
    <row r="34" spans="1:7" ht="45" x14ac:dyDescent="0.25">
      <c r="A34" s="38" t="s">
        <v>120</v>
      </c>
      <c r="B34" s="40" t="s">
        <v>60</v>
      </c>
      <c r="C34" s="82" t="s">
        <v>121</v>
      </c>
      <c r="D34" s="40" t="s">
        <v>60</v>
      </c>
      <c r="E34" s="83" t="s">
        <v>122</v>
      </c>
      <c r="F34" s="15"/>
    </row>
    <row r="35" spans="1:7" x14ac:dyDescent="0.25">
      <c r="A35" s="3"/>
      <c r="B35" s="10" t="s">
        <v>39</v>
      </c>
      <c r="C35" s="13">
        <v>15</v>
      </c>
      <c r="D35" s="10" t="s">
        <v>39</v>
      </c>
      <c r="E35" s="13">
        <v>15</v>
      </c>
      <c r="F35" s="6"/>
    </row>
    <row r="36" spans="1:7" x14ac:dyDescent="0.25">
      <c r="A36" s="3"/>
      <c r="C36" s="6"/>
      <c r="D36" s="6"/>
      <c r="F36" s="6"/>
    </row>
    <row r="37" spans="1:7" x14ac:dyDescent="0.25">
      <c r="A37" s="10" t="s">
        <v>2</v>
      </c>
      <c r="B37" s="77">
        <v>2</v>
      </c>
      <c r="C37" s="84" t="s">
        <v>40</v>
      </c>
      <c r="D37" s="85"/>
      <c r="E37" s="85"/>
      <c r="F37" s="86"/>
      <c r="G37" s="36"/>
    </row>
    <row r="38" spans="1:7" x14ac:dyDescent="0.25">
      <c r="A38" s="3"/>
      <c r="C38" s="6"/>
      <c r="D38" s="6"/>
      <c r="F38" s="6"/>
    </row>
    <row r="39" spans="1:7" x14ac:dyDescent="0.25">
      <c r="A39" s="3"/>
      <c r="B39" s="8" t="s">
        <v>38</v>
      </c>
      <c r="C39" s="24">
        <f>B37/15</f>
        <v>0.13333333333333333</v>
      </c>
      <c r="D39" s="8"/>
      <c r="E39" s="24">
        <f>B37/15</f>
        <v>0.13333333333333333</v>
      </c>
      <c r="F39" s="12"/>
    </row>
    <row r="40" spans="1:7" x14ac:dyDescent="0.25">
      <c r="A40" s="10" t="s">
        <v>53</v>
      </c>
      <c r="C40" s="25"/>
      <c r="D40" s="8" t="s">
        <v>115</v>
      </c>
      <c r="F40" s="8" t="s">
        <v>115</v>
      </c>
    </row>
    <row r="41" spans="1:7" x14ac:dyDescent="0.25">
      <c r="A41">
        <v>2124</v>
      </c>
      <c r="B41" s="68" t="s">
        <v>47</v>
      </c>
      <c r="C41" s="26">
        <f>C39/1</f>
        <v>0.13333333333333333</v>
      </c>
      <c r="D41" s="75">
        <f>A41*C41</f>
        <v>283.2</v>
      </c>
      <c r="E41" s="24">
        <f>E39/1</f>
        <v>0.13333333333333333</v>
      </c>
      <c r="F41" s="75">
        <f>2776*E41</f>
        <v>370.13333333333333</v>
      </c>
    </row>
    <row r="42" spans="1:7" x14ac:dyDescent="0.25">
      <c r="C42" s="8" t="s">
        <v>54</v>
      </c>
      <c r="D42" s="73">
        <f>SUM(D41:D41)</f>
        <v>283.2</v>
      </c>
      <c r="F42" s="73">
        <f>SUM(F41:F41)</f>
        <v>370.13333333333333</v>
      </c>
    </row>
    <row r="44" spans="1:7" ht="45" x14ac:dyDescent="0.25">
      <c r="A44" s="38" t="s">
        <v>64</v>
      </c>
      <c r="B44" s="40" t="s">
        <v>60</v>
      </c>
      <c r="C44" s="39" t="s">
        <v>65</v>
      </c>
      <c r="D44" s="11"/>
    </row>
    <row r="45" spans="1:7" x14ac:dyDescent="0.25">
      <c r="A45" s="3"/>
      <c r="B45" s="10" t="s">
        <v>39</v>
      </c>
      <c r="C45" s="13">
        <v>15</v>
      </c>
      <c r="D45" s="6"/>
    </row>
    <row r="46" spans="1:7" x14ac:dyDescent="0.25">
      <c r="A46" s="3"/>
      <c r="C46" s="6"/>
      <c r="D46" s="6"/>
    </row>
    <row r="47" spans="1:7" x14ac:dyDescent="0.25">
      <c r="A47" s="10" t="s">
        <v>2</v>
      </c>
      <c r="B47" s="77">
        <v>2</v>
      </c>
      <c r="C47" s="84" t="s">
        <v>40</v>
      </c>
      <c r="D47" s="86"/>
    </row>
    <row r="48" spans="1:7" x14ac:dyDescent="0.25">
      <c r="A48" s="3"/>
      <c r="C48" s="6"/>
      <c r="D48" s="6"/>
    </row>
    <row r="49" spans="1:4" x14ac:dyDescent="0.25">
      <c r="A49" s="3"/>
      <c r="B49" s="8" t="s">
        <v>38</v>
      </c>
      <c r="C49" s="24">
        <f>B47/15</f>
        <v>0.13333333333333333</v>
      </c>
      <c r="D49" s="6"/>
    </row>
    <row r="50" spans="1:4" x14ac:dyDescent="0.25">
      <c r="A50" s="10" t="s">
        <v>53</v>
      </c>
      <c r="C50" s="25"/>
      <c r="D50" s="8" t="s">
        <v>115</v>
      </c>
    </row>
    <row r="51" spans="1:4" x14ac:dyDescent="0.25">
      <c r="A51">
        <v>2287</v>
      </c>
      <c r="B51" s="8" t="s">
        <v>47</v>
      </c>
      <c r="C51" s="26">
        <f>C49/1</f>
        <v>0.13333333333333333</v>
      </c>
      <c r="D51" s="42">
        <f>A51*C51</f>
        <v>304.93333333333334</v>
      </c>
    </row>
    <row r="52" spans="1:4" x14ac:dyDescent="0.25">
      <c r="C52" s="8" t="s">
        <v>54</v>
      </c>
      <c r="D52" s="73">
        <f>SUM(D51:D51)</f>
        <v>304.93333333333334</v>
      </c>
    </row>
    <row r="55" spans="1:4" ht="30" x14ac:dyDescent="0.25">
      <c r="A55" s="38" t="s">
        <v>66</v>
      </c>
      <c r="B55" s="40" t="s">
        <v>60</v>
      </c>
      <c r="C55" s="39" t="s">
        <v>67</v>
      </c>
      <c r="D55" s="11"/>
    </row>
    <row r="56" spans="1:4" x14ac:dyDescent="0.25">
      <c r="A56" s="3"/>
      <c r="B56" s="10" t="s">
        <v>39</v>
      </c>
      <c r="C56" s="13">
        <v>15</v>
      </c>
      <c r="D56" s="6"/>
    </row>
    <row r="57" spans="1:4" x14ac:dyDescent="0.25">
      <c r="A57" s="3"/>
      <c r="C57" s="6"/>
      <c r="D57" s="6"/>
    </row>
    <row r="58" spans="1:4" x14ac:dyDescent="0.25">
      <c r="A58" s="10" t="s">
        <v>2</v>
      </c>
      <c r="B58" s="77">
        <v>2</v>
      </c>
      <c r="C58" s="84" t="s">
        <v>40</v>
      </c>
      <c r="D58" s="86"/>
    </row>
    <row r="59" spans="1:4" x14ac:dyDescent="0.25">
      <c r="A59" s="3"/>
      <c r="C59" s="6"/>
      <c r="D59" s="6"/>
    </row>
    <row r="60" spans="1:4" x14ac:dyDescent="0.25">
      <c r="A60" s="3"/>
      <c r="B60" s="8" t="s">
        <v>38</v>
      </c>
      <c r="C60" s="24">
        <f>B58/15</f>
        <v>0.13333333333333333</v>
      </c>
      <c r="D60" s="6"/>
    </row>
    <row r="61" spans="1:4" x14ac:dyDescent="0.25">
      <c r="A61" s="10" t="s">
        <v>53</v>
      </c>
      <c r="C61" s="25"/>
      <c r="D61" s="8" t="s">
        <v>115</v>
      </c>
    </row>
    <row r="62" spans="1:4" x14ac:dyDescent="0.25">
      <c r="A62">
        <v>1554</v>
      </c>
      <c r="B62" s="8" t="s">
        <v>47</v>
      </c>
      <c r="C62" s="26">
        <f>C60/1</f>
        <v>0.13333333333333333</v>
      </c>
      <c r="D62" s="42">
        <f>A62*C62</f>
        <v>207.2</v>
      </c>
    </row>
    <row r="63" spans="1:4" x14ac:dyDescent="0.25">
      <c r="C63" s="8" t="s">
        <v>54</v>
      </c>
      <c r="D63" s="73">
        <f>SUM(D62:D62)</f>
        <v>207.2</v>
      </c>
    </row>
    <row r="66" spans="1:8" ht="60.75" x14ac:dyDescent="0.25">
      <c r="A66" s="41" t="s">
        <v>119</v>
      </c>
      <c r="B66" s="40" t="s">
        <v>60</v>
      </c>
      <c r="C66" s="38" t="s">
        <v>68</v>
      </c>
      <c r="D66" s="40" t="s">
        <v>60</v>
      </c>
      <c r="E66" s="38" t="s">
        <v>69</v>
      </c>
      <c r="F66" s="40" t="s">
        <v>60</v>
      </c>
      <c r="G66" s="38" t="s">
        <v>70</v>
      </c>
    </row>
    <row r="67" spans="1:8" x14ac:dyDescent="0.25">
      <c r="A67" s="3"/>
      <c r="B67" s="8" t="s">
        <v>39</v>
      </c>
      <c r="C67" s="13">
        <v>15</v>
      </c>
      <c r="D67" s="4"/>
      <c r="E67" s="13">
        <v>15</v>
      </c>
      <c r="F67" s="4"/>
      <c r="G67" s="13">
        <v>15</v>
      </c>
    </row>
    <row r="68" spans="1:8" x14ac:dyDescent="0.25">
      <c r="A68" s="3"/>
      <c r="G68" s="6"/>
    </row>
    <row r="69" spans="1:8" x14ac:dyDescent="0.25">
      <c r="A69" s="10" t="s">
        <v>2</v>
      </c>
      <c r="B69" s="76">
        <v>1</v>
      </c>
      <c r="C69" s="84" t="s">
        <v>40</v>
      </c>
      <c r="D69" s="85"/>
      <c r="E69" s="85"/>
      <c r="F69" s="85"/>
      <c r="G69" s="86"/>
    </row>
    <row r="70" spans="1:8" x14ac:dyDescent="0.25">
      <c r="A70" s="3"/>
      <c r="G70" s="6"/>
    </row>
    <row r="71" spans="1:8" x14ac:dyDescent="0.25">
      <c r="A71" s="3"/>
      <c r="B71" s="8" t="s">
        <v>38</v>
      </c>
      <c r="C71" s="24">
        <f>B69/15</f>
        <v>6.6666666666666666E-2</v>
      </c>
      <c r="D71" s="33"/>
      <c r="E71" s="24">
        <f>B69/15</f>
        <v>6.6666666666666666E-2</v>
      </c>
      <c r="F71" s="33"/>
      <c r="G71" s="24">
        <f>B69/15</f>
        <v>6.6666666666666666E-2</v>
      </c>
    </row>
    <row r="72" spans="1:8" x14ac:dyDescent="0.25">
      <c r="A72" s="10" t="s">
        <v>53</v>
      </c>
      <c r="C72" s="9"/>
      <c r="D72" s="8" t="s">
        <v>115</v>
      </c>
      <c r="E72" s="9"/>
      <c r="F72" s="8" t="s">
        <v>115</v>
      </c>
      <c r="G72" s="25"/>
      <c r="H72" s="8" t="s">
        <v>115</v>
      </c>
    </row>
    <row r="73" spans="1:8" x14ac:dyDescent="0.25">
      <c r="A73">
        <v>2533</v>
      </c>
      <c r="B73" s="8" t="s">
        <v>71</v>
      </c>
      <c r="C73" s="26">
        <f>C71/1</f>
        <v>6.6666666666666666E-2</v>
      </c>
      <c r="D73" s="42">
        <f>A73*C73</f>
        <v>168.86666666666667</v>
      </c>
      <c r="E73" s="26">
        <f>E71/1</f>
        <v>6.6666666666666666E-2</v>
      </c>
      <c r="F73" s="42">
        <f>2451*E73</f>
        <v>163.4</v>
      </c>
      <c r="G73" s="26">
        <f>G71/1</f>
        <v>6.6666666666666666E-2</v>
      </c>
      <c r="H73" s="42">
        <f>2451*G73</f>
        <v>163.4</v>
      </c>
    </row>
    <row r="74" spans="1:8" x14ac:dyDescent="0.25">
      <c r="C74" s="8" t="s">
        <v>54</v>
      </c>
      <c r="D74" s="73">
        <f>SUM(D73:D73)</f>
        <v>168.86666666666667</v>
      </c>
      <c r="E74" s="8" t="s">
        <v>54</v>
      </c>
      <c r="F74" s="73">
        <f>SUM(F73:F73)</f>
        <v>163.4</v>
      </c>
      <c r="G74" s="8" t="s">
        <v>54</v>
      </c>
      <c r="H74" s="73">
        <f>SUM(H73:H73)</f>
        <v>163.4</v>
      </c>
    </row>
  </sheetData>
  <mergeCells count="7">
    <mergeCell ref="C69:G69"/>
    <mergeCell ref="C15:D15"/>
    <mergeCell ref="C4:D4"/>
    <mergeCell ref="C27:D27"/>
    <mergeCell ref="C47:D47"/>
    <mergeCell ref="C58:D58"/>
    <mergeCell ref="C37:F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DAE5-CB76-47F5-9BA7-1ECCA4625B1E}">
  <dimension ref="A1:H64"/>
  <sheetViews>
    <sheetView workbookViewId="0">
      <selection activeCell="F5" sqref="F5"/>
    </sheetView>
  </sheetViews>
  <sheetFormatPr defaultRowHeight="15" x14ac:dyDescent="0.25"/>
  <cols>
    <col min="1" max="1" width="36.28515625" customWidth="1"/>
    <col min="2" max="2" width="35.140625" customWidth="1"/>
    <col min="4" max="4" width="32.42578125" customWidth="1"/>
    <col min="6" max="6" width="33.140625" customWidth="1"/>
    <col min="8" max="8" width="32.7109375" customWidth="1"/>
  </cols>
  <sheetData>
    <row r="1" spans="1:6" x14ac:dyDescent="0.25">
      <c r="A1" s="18" t="s">
        <v>85</v>
      </c>
      <c r="B1" s="40" t="s">
        <v>97</v>
      </c>
      <c r="C1" s="35" t="s">
        <v>95</v>
      </c>
      <c r="D1" s="11"/>
    </row>
    <row r="2" spans="1:6" x14ac:dyDescent="0.25">
      <c r="A2" s="3"/>
      <c r="B2" s="10" t="s">
        <v>73</v>
      </c>
      <c r="C2" s="13">
        <v>10</v>
      </c>
      <c r="D2" s="6"/>
    </row>
    <row r="3" spans="1:6" x14ac:dyDescent="0.25">
      <c r="A3" s="3"/>
      <c r="C3" s="6"/>
      <c r="D3" s="6"/>
    </row>
    <row r="4" spans="1:6" x14ac:dyDescent="0.25">
      <c r="A4" s="10" t="s">
        <v>2</v>
      </c>
      <c r="B4" s="76">
        <v>1</v>
      </c>
      <c r="C4" s="84" t="s">
        <v>40</v>
      </c>
      <c r="D4" s="86"/>
    </row>
    <row r="5" spans="1:6" x14ac:dyDescent="0.25">
      <c r="A5" s="3"/>
      <c r="C5" s="6"/>
      <c r="D5" s="6"/>
    </row>
    <row r="6" spans="1:6" x14ac:dyDescent="0.25">
      <c r="A6" s="3"/>
      <c r="B6" s="8" t="s">
        <v>38</v>
      </c>
      <c r="C6" s="24">
        <f>B4/10</f>
        <v>0.1</v>
      </c>
      <c r="D6" s="6"/>
    </row>
    <row r="7" spans="1:6" x14ac:dyDescent="0.25">
      <c r="A7" s="10" t="s">
        <v>53</v>
      </c>
      <c r="C7" s="25"/>
      <c r="D7" s="8" t="s">
        <v>115</v>
      </c>
    </row>
    <row r="8" spans="1:6" x14ac:dyDescent="0.25">
      <c r="A8">
        <v>528</v>
      </c>
      <c r="B8" s="14" t="s">
        <v>61</v>
      </c>
      <c r="C8" s="26">
        <f>C6/1</f>
        <v>0.1</v>
      </c>
      <c r="D8" s="42">
        <f>A8*C8</f>
        <v>52.800000000000004</v>
      </c>
    </row>
    <row r="9" spans="1:6" x14ac:dyDescent="0.25">
      <c r="C9" s="8" t="s">
        <v>54</v>
      </c>
      <c r="D9" s="73">
        <f>SUM(D8:D8)</f>
        <v>52.800000000000004</v>
      </c>
    </row>
    <row r="10" spans="1:6" x14ac:dyDescent="0.25">
      <c r="C10" s="1"/>
    </row>
    <row r="11" spans="1:6" x14ac:dyDescent="0.25">
      <c r="C11" s="1"/>
    </row>
    <row r="12" spans="1:6" x14ac:dyDescent="0.25">
      <c r="A12" s="18" t="s">
        <v>86</v>
      </c>
      <c r="B12" s="40" t="s">
        <v>97</v>
      </c>
      <c r="C12" s="35" t="s">
        <v>94</v>
      </c>
      <c r="D12" s="40" t="s">
        <v>97</v>
      </c>
      <c r="E12" s="35" t="s">
        <v>132</v>
      </c>
      <c r="F12" s="11"/>
    </row>
    <row r="13" spans="1:6" x14ac:dyDescent="0.25">
      <c r="A13" s="3"/>
      <c r="B13" s="10" t="s">
        <v>73</v>
      </c>
      <c r="C13" s="13">
        <v>15</v>
      </c>
      <c r="D13" s="6"/>
      <c r="E13" s="13">
        <v>15</v>
      </c>
      <c r="F13" s="6"/>
    </row>
    <row r="14" spans="1:6" x14ac:dyDescent="0.25">
      <c r="A14" s="3"/>
      <c r="C14" s="6"/>
      <c r="D14" s="6"/>
      <c r="E14" s="6"/>
      <c r="F14" s="6"/>
    </row>
    <row r="15" spans="1:6" x14ac:dyDescent="0.25">
      <c r="A15" s="10" t="s">
        <v>2</v>
      </c>
      <c r="B15" s="76">
        <v>1</v>
      </c>
      <c r="C15" s="84" t="s">
        <v>40</v>
      </c>
      <c r="D15" s="85"/>
      <c r="E15" s="85"/>
      <c r="F15" s="86"/>
    </row>
    <row r="16" spans="1:6" x14ac:dyDescent="0.25">
      <c r="A16" s="3"/>
      <c r="C16" s="6"/>
      <c r="D16" s="6"/>
      <c r="E16" s="6"/>
      <c r="F16" s="6"/>
    </row>
    <row r="17" spans="1:6" x14ac:dyDescent="0.25">
      <c r="A17" s="3"/>
      <c r="B17" s="8" t="s">
        <v>38</v>
      </c>
      <c r="C17" s="24">
        <f>B15/15</f>
        <v>6.6666666666666666E-2</v>
      </c>
      <c r="D17" s="6"/>
      <c r="E17" s="24">
        <f>B15/15</f>
        <v>6.6666666666666666E-2</v>
      </c>
      <c r="F17" s="6"/>
    </row>
    <row r="18" spans="1:6" x14ac:dyDescent="0.25">
      <c r="A18" s="10" t="s">
        <v>53</v>
      </c>
      <c r="C18" s="25"/>
      <c r="D18" s="8" t="s">
        <v>115</v>
      </c>
      <c r="E18" s="25"/>
      <c r="F18" s="8" t="s">
        <v>115</v>
      </c>
    </row>
    <row r="19" spans="1:6" x14ac:dyDescent="0.25">
      <c r="A19">
        <v>1711</v>
      </c>
      <c r="B19" s="15" t="s">
        <v>118</v>
      </c>
      <c r="C19" s="26">
        <f>C17/1</f>
        <v>6.6666666666666666E-2</v>
      </c>
      <c r="D19" s="42">
        <f>C19*A19</f>
        <v>114.06666666666666</v>
      </c>
      <c r="E19" s="26">
        <f>E17/1</f>
        <v>6.6666666666666666E-2</v>
      </c>
      <c r="F19" s="42">
        <f>1843*C19</f>
        <v>122.86666666666666</v>
      </c>
    </row>
    <row r="20" spans="1:6" x14ac:dyDescent="0.25">
      <c r="C20" s="8" t="s">
        <v>54</v>
      </c>
      <c r="D20" s="67">
        <f>SUM(D19:D19)</f>
        <v>114.06666666666666</v>
      </c>
      <c r="E20" s="8" t="s">
        <v>54</v>
      </c>
      <c r="F20" s="67">
        <f>SUM(F19:F19)</f>
        <v>122.86666666666666</v>
      </c>
    </row>
    <row r="23" spans="1:6" ht="30" x14ac:dyDescent="0.25">
      <c r="A23" s="38" t="s">
        <v>99</v>
      </c>
      <c r="B23" s="40" t="s">
        <v>97</v>
      </c>
      <c r="C23" s="39" t="s">
        <v>91</v>
      </c>
      <c r="D23" s="11"/>
    </row>
    <row r="24" spans="1:6" x14ac:dyDescent="0.25">
      <c r="A24" s="3"/>
      <c r="B24" s="10" t="s">
        <v>39</v>
      </c>
      <c r="C24" s="13">
        <v>15</v>
      </c>
      <c r="D24" s="6"/>
    </row>
    <row r="25" spans="1:6" x14ac:dyDescent="0.25">
      <c r="A25" s="3"/>
      <c r="C25" s="6"/>
      <c r="D25" s="6"/>
    </row>
    <row r="26" spans="1:6" x14ac:dyDescent="0.25">
      <c r="A26" s="10" t="s">
        <v>2</v>
      </c>
      <c r="B26" s="77">
        <v>2</v>
      </c>
      <c r="C26" s="84" t="s">
        <v>40</v>
      </c>
      <c r="D26" s="86"/>
    </row>
    <row r="27" spans="1:6" x14ac:dyDescent="0.25">
      <c r="A27" s="3"/>
      <c r="C27" s="6"/>
      <c r="D27" s="6"/>
    </row>
    <row r="28" spans="1:6" x14ac:dyDescent="0.25">
      <c r="A28" s="3"/>
      <c r="B28" s="8" t="s">
        <v>38</v>
      </c>
      <c r="C28" s="24">
        <f>B26/15</f>
        <v>0.13333333333333333</v>
      </c>
      <c r="D28" s="6"/>
    </row>
    <row r="29" spans="1:6" x14ac:dyDescent="0.25">
      <c r="A29" s="10" t="s">
        <v>53</v>
      </c>
      <c r="C29" s="25"/>
      <c r="D29" s="8" t="s">
        <v>115</v>
      </c>
    </row>
    <row r="30" spans="1:6" x14ac:dyDescent="0.25">
      <c r="A30">
        <v>1120</v>
      </c>
      <c r="B30" s="15" t="s">
        <v>47</v>
      </c>
      <c r="C30" s="26">
        <f>C28/1</f>
        <v>0.13333333333333333</v>
      </c>
      <c r="D30" s="42">
        <f>A30*C30</f>
        <v>149.33333333333334</v>
      </c>
    </row>
    <row r="31" spans="1:6" x14ac:dyDescent="0.25">
      <c r="C31" s="8" t="s">
        <v>54</v>
      </c>
      <c r="D31" s="67">
        <f>SUM(D30:D30)</f>
        <v>149.33333333333334</v>
      </c>
    </row>
    <row r="34" spans="1:7" x14ac:dyDescent="0.25">
      <c r="A34" s="38" t="s">
        <v>87</v>
      </c>
      <c r="B34" s="40" t="s">
        <v>97</v>
      </c>
      <c r="C34" s="39" t="s">
        <v>96</v>
      </c>
      <c r="D34" s="11"/>
    </row>
    <row r="35" spans="1:7" x14ac:dyDescent="0.25">
      <c r="A35" s="3"/>
      <c r="B35" s="10" t="s">
        <v>39</v>
      </c>
      <c r="C35" s="13">
        <v>15</v>
      </c>
      <c r="D35" s="6"/>
    </row>
    <row r="36" spans="1:7" x14ac:dyDescent="0.25">
      <c r="A36" s="3"/>
      <c r="C36" s="6"/>
      <c r="D36" s="6"/>
    </row>
    <row r="37" spans="1:7" x14ac:dyDescent="0.25">
      <c r="A37" s="10" t="s">
        <v>2</v>
      </c>
      <c r="B37" s="77">
        <v>2</v>
      </c>
      <c r="C37" s="84" t="s">
        <v>40</v>
      </c>
      <c r="D37" s="86"/>
    </row>
    <row r="38" spans="1:7" x14ac:dyDescent="0.25">
      <c r="A38" s="3"/>
      <c r="C38" s="6"/>
      <c r="D38" s="6"/>
    </row>
    <row r="39" spans="1:7" x14ac:dyDescent="0.25">
      <c r="A39" s="3"/>
      <c r="B39" s="8" t="s">
        <v>38</v>
      </c>
      <c r="C39" s="24">
        <f>B37/15</f>
        <v>0.13333333333333333</v>
      </c>
      <c r="D39" s="6"/>
    </row>
    <row r="40" spans="1:7" x14ac:dyDescent="0.25">
      <c r="A40" s="10" t="s">
        <v>53</v>
      </c>
      <c r="C40" s="25"/>
      <c r="D40" s="8" t="s">
        <v>115</v>
      </c>
    </row>
    <row r="41" spans="1:7" x14ac:dyDescent="0.25">
      <c r="A41">
        <v>791</v>
      </c>
      <c r="B41" s="14" t="s">
        <v>47</v>
      </c>
      <c r="C41" s="26">
        <f>C39/1</f>
        <v>0.13333333333333333</v>
      </c>
      <c r="D41" s="42">
        <f>A41*C41</f>
        <v>105.46666666666667</v>
      </c>
    </row>
    <row r="42" spans="1:7" x14ac:dyDescent="0.25">
      <c r="C42" s="8" t="s">
        <v>54</v>
      </c>
      <c r="D42" s="67">
        <f>SUM(D41:D41)</f>
        <v>105.46666666666667</v>
      </c>
    </row>
    <row r="45" spans="1:7" ht="60" x14ac:dyDescent="0.25">
      <c r="A45" s="41" t="s">
        <v>88</v>
      </c>
      <c r="B45" s="40" t="s">
        <v>97</v>
      </c>
      <c r="C45" s="52" t="s">
        <v>89</v>
      </c>
      <c r="D45" s="40" t="s">
        <v>97</v>
      </c>
      <c r="E45" s="52" t="s">
        <v>90</v>
      </c>
      <c r="F45" s="47"/>
      <c r="G45" s="48"/>
    </row>
    <row r="46" spans="1:7" x14ac:dyDescent="0.25">
      <c r="A46" s="3"/>
      <c r="B46" s="8" t="s">
        <v>39</v>
      </c>
      <c r="C46" s="13">
        <v>15</v>
      </c>
      <c r="D46" s="4"/>
      <c r="E46" s="44">
        <v>15</v>
      </c>
      <c r="F46" s="49"/>
      <c r="G46" s="49"/>
    </row>
    <row r="47" spans="1:7" x14ac:dyDescent="0.25">
      <c r="A47" s="3"/>
      <c r="F47" s="36"/>
      <c r="G47" s="36"/>
    </row>
    <row r="48" spans="1:7" x14ac:dyDescent="0.25">
      <c r="A48" s="10" t="s">
        <v>2</v>
      </c>
      <c r="B48" s="76">
        <v>100</v>
      </c>
      <c r="C48" s="87" t="s">
        <v>40</v>
      </c>
      <c r="D48" s="88"/>
      <c r="E48" s="89"/>
      <c r="F48" s="36"/>
      <c r="G48" s="36"/>
    </row>
    <row r="49" spans="1:8" x14ac:dyDescent="0.25">
      <c r="A49" s="3"/>
      <c r="F49" s="36"/>
      <c r="G49" s="36"/>
    </row>
    <row r="50" spans="1:8" x14ac:dyDescent="0.25">
      <c r="A50" s="3"/>
      <c r="B50" s="8" t="s">
        <v>38</v>
      </c>
      <c r="C50" s="24">
        <f>B48/15</f>
        <v>6.666666666666667</v>
      </c>
      <c r="D50" s="33"/>
      <c r="E50" s="45">
        <f>B48/15</f>
        <v>6.666666666666667</v>
      </c>
      <c r="F50" s="50"/>
      <c r="G50" s="50"/>
    </row>
    <row r="51" spans="1:8" x14ac:dyDescent="0.25">
      <c r="A51" s="10" t="s">
        <v>53</v>
      </c>
      <c r="C51" s="9"/>
      <c r="D51" s="8" t="s">
        <v>115</v>
      </c>
      <c r="E51" s="9"/>
      <c r="F51" s="8" t="s">
        <v>115</v>
      </c>
      <c r="G51" s="51"/>
    </row>
    <row r="52" spans="1:8" x14ac:dyDescent="0.25">
      <c r="A52">
        <v>659</v>
      </c>
      <c r="B52" s="14" t="s">
        <v>71</v>
      </c>
      <c r="C52" s="26">
        <f>C50/1</f>
        <v>6.666666666666667</v>
      </c>
      <c r="D52" s="42">
        <f>A52*C52</f>
        <v>4393.3333333333339</v>
      </c>
      <c r="E52" s="46">
        <f>E50/1</f>
        <v>6.666666666666667</v>
      </c>
      <c r="F52" s="42">
        <f>582*E52</f>
        <v>3880</v>
      </c>
      <c r="G52" s="50"/>
      <c r="H52" s="42"/>
    </row>
    <row r="53" spans="1:8" x14ac:dyDescent="0.25">
      <c r="C53" s="8" t="s">
        <v>54</v>
      </c>
      <c r="D53" s="73">
        <f>SUM(D52:D52)</f>
        <v>4393.3333333333339</v>
      </c>
      <c r="E53" s="8" t="s">
        <v>54</v>
      </c>
      <c r="F53" s="73">
        <f>SUM(F52:F52)</f>
        <v>3880</v>
      </c>
      <c r="H53" s="43"/>
    </row>
    <row r="56" spans="1:8" ht="60" x14ac:dyDescent="0.25">
      <c r="A56" s="41" t="s">
        <v>98</v>
      </c>
      <c r="B56" s="40" t="s">
        <v>97</v>
      </c>
      <c r="C56" s="52" t="s">
        <v>92</v>
      </c>
      <c r="D56" s="40" t="s">
        <v>97</v>
      </c>
      <c r="E56" s="52" t="s">
        <v>93</v>
      </c>
    </row>
    <row r="57" spans="1:8" x14ac:dyDescent="0.25">
      <c r="A57" s="3"/>
      <c r="B57" s="8" t="s">
        <v>39</v>
      </c>
      <c r="C57" s="13">
        <v>15</v>
      </c>
      <c r="D57" s="4"/>
      <c r="E57" s="44">
        <v>15</v>
      </c>
    </row>
    <row r="58" spans="1:8" x14ac:dyDescent="0.25">
      <c r="A58" s="3"/>
    </row>
    <row r="59" spans="1:8" x14ac:dyDescent="0.25">
      <c r="A59" s="10" t="s">
        <v>2</v>
      </c>
      <c r="B59" s="76">
        <v>2</v>
      </c>
      <c r="C59" s="84" t="s">
        <v>40</v>
      </c>
      <c r="D59" s="85"/>
      <c r="E59" s="85"/>
    </row>
    <row r="60" spans="1:8" x14ac:dyDescent="0.25">
      <c r="A60" s="3"/>
    </row>
    <row r="61" spans="1:8" x14ac:dyDescent="0.25">
      <c r="A61" s="3"/>
      <c r="B61" s="8" t="s">
        <v>38</v>
      </c>
      <c r="C61" s="24">
        <f>B59/15</f>
        <v>0.13333333333333333</v>
      </c>
      <c r="D61" s="33"/>
      <c r="E61" s="45">
        <f>B59/15</f>
        <v>0.13333333333333333</v>
      </c>
    </row>
    <row r="62" spans="1:8" x14ac:dyDescent="0.25">
      <c r="A62" s="10" t="s">
        <v>53</v>
      </c>
      <c r="C62" s="9"/>
      <c r="D62" s="8" t="s">
        <v>115</v>
      </c>
      <c r="E62" s="9"/>
      <c r="F62" s="8" t="s">
        <v>115</v>
      </c>
    </row>
    <row r="63" spans="1:8" x14ac:dyDescent="0.25">
      <c r="A63">
        <v>1214</v>
      </c>
      <c r="B63" s="14" t="s">
        <v>71</v>
      </c>
      <c r="C63" s="26">
        <f>C61/1</f>
        <v>0.13333333333333333</v>
      </c>
      <c r="D63" s="42">
        <f>A63*C63</f>
        <v>161.86666666666667</v>
      </c>
      <c r="E63" s="46">
        <f>E61/1</f>
        <v>0.13333333333333333</v>
      </c>
      <c r="F63" s="42">
        <f>1128*E63</f>
        <v>150.4</v>
      </c>
    </row>
    <row r="64" spans="1:8" x14ac:dyDescent="0.25">
      <c r="C64" s="8" t="s">
        <v>54</v>
      </c>
      <c r="D64" s="73">
        <f>SUM(D63:D63)</f>
        <v>161.86666666666667</v>
      </c>
      <c r="E64" s="8" t="s">
        <v>54</v>
      </c>
      <c r="F64" s="73">
        <f>SUM(F63:F63)</f>
        <v>150.4</v>
      </c>
    </row>
  </sheetData>
  <mergeCells count="6">
    <mergeCell ref="C15:F15"/>
    <mergeCell ref="C59:E59"/>
    <mergeCell ref="C4:D4"/>
    <mergeCell ref="C26:D26"/>
    <mergeCell ref="C37:D37"/>
    <mergeCell ref="C48:E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1F27-67F7-483B-B97C-97C4D24F3875}">
  <dimension ref="A1:J14"/>
  <sheetViews>
    <sheetView workbookViewId="0">
      <selection activeCell="G19" sqref="G19"/>
    </sheetView>
  </sheetViews>
  <sheetFormatPr defaultRowHeight="15" x14ac:dyDescent="0.25"/>
  <cols>
    <col min="1" max="1" width="29.140625" customWidth="1"/>
    <col min="2" max="2" width="31.42578125" customWidth="1"/>
    <col min="3" max="3" width="8.28515625" customWidth="1"/>
    <col min="4" max="4" width="18.5703125" customWidth="1"/>
    <col min="5" max="5" width="34.85546875" customWidth="1"/>
    <col min="6" max="6" width="16.140625" customWidth="1"/>
    <col min="7" max="7" width="31.140625" customWidth="1"/>
    <col min="8" max="8" width="15.140625" customWidth="1"/>
    <col min="9" max="9" width="13.5703125" customWidth="1"/>
    <col min="10" max="10" width="13.7109375" customWidth="1"/>
  </cols>
  <sheetData>
    <row r="1" spans="1:10" x14ac:dyDescent="0.25">
      <c r="A1" s="10" t="s">
        <v>19</v>
      </c>
      <c r="B1" s="10" t="s">
        <v>20</v>
      </c>
      <c r="C1" s="10"/>
      <c r="D1" s="10" t="s">
        <v>39</v>
      </c>
      <c r="E1" s="23" t="s">
        <v>38</v>
      </c>
      <c r="F1" s="10" t="s">
        <v>37</v>
      </c>
      <c r="G1" s="10" t="s">
        <v>57</v>
      </c>
      <c r="H1" s="10" t="s">
        <v>100</v>
      </c>
      <c r="I1" s="10" t="s">
        <v>101</v>
      </c>
      <c r="J1" s="10" t="s">
        <v>102</v>
      </c>
    </row>
    <row r="2" spans="1:10" x14ac:dyDescent="0.25">
      <c r="A2" s="16" t="s">
        <v>21</v>
      </c>
      <c r="B2" s="19" t="s">
        <v>25</v>
      </c>
      <c r="C2" s="6" t="e" vm="1">
        <v>#VALUE!</v>
      </c>
      <c r="D2" s="21">
        <v>10</v>
      </c>
      <c r="E2" s="29">
        <f>B13/10</f>
        <v>4</v>
      </c>
      <c r="F2" s="30">
        <f>(E2/16)*1</f>
        <v>0.25</v>
      </c>
      <c r="G2" s="30">
        <f>(E2/16)*15</f>
        <v>3.75</v>
      </c>
      <c r="H2" s="55">
        <f>4989*F2</f>
        <v>1247.25</v>
      </c>
      <c r="I2" s="55">
        <f>G2*184</f>
        <v>690</v>
      </c>
      <c r="J2" s="58">
        <f>H2+I2</f>
        <v>1937.25</v>
      </c>
    </row>
    <row r="3" spans="1:10" x14ac:dyDescent="0.25">
      <c r="A3" s="16" t="s">
        <v>22</v>
      </c>
      <c r="B3" s="19" t="s">
        <v>26</v>
      </c>
      <c r="C3" s="6" t="e" vm="2">
        <v>#VALUE!</v>
      </c>
      <c r="D3" s="21">
        <v>10</v>
      </c>
      <c r="E3" s="29">
        <f>B13/10</f>
        <v>4</v>
      </c>
      <c r="F3" s="30">
        <f>(E3/21)*1</f>
        <v>0.19047619047619047</v>
      </c>
      <c r="G3" s="30">
        <f>(E3/21)*20</f>
        <v>3.8095238095238093</v>
      </c>
      <c r="H3" s="56">
        <f>5238*F3</f>
        <v>997.71428571428567</v>
      </c>
      <c r="I3" s="56">
        <f>G3*184</f>
        <v>700.95238095238096</v>
      </c>
      <c r="J3" s="59">
        <f t="shared" ref="J3:J11" si="0">H3+I3</f>
        <v>1698.6666666666665</v>
      </c>
    </row>
    <row r="4" spans="1:10" x14ac:dyDescent="0.25">
      <c r="A4" s="16" t="s">
        <v>23</v>
      </c>
      <c r="B4" s="19" t="s">
        <v>24</v>
      </c>
      <c r="C4" s="6" t="e" vm="3">
        <v>#VALUE!</v>
      </c>
      <c r="D4" s="21">
        <v>10</v>
      </c>
      <c r="E4" s="29">
        <f>B13/10</f>
        <v>4</v>
      </c>
      <c r="F4" s="30">
        <f>(E4/4)*1</f>
        <v>1</v>
      </c>
      <c r="G4" s="30">
        <f>(E4/4)*3</f>
        <v>3</v>
      </c>
      <c r="H4" s="56">
        <f>4944*F4</f>
        <v>4944</v>
      </c>
      <c r="I4" s="56">
        <f t="shared" ref="I4:I11" si="1">G4*184</f>
        <v>552</v>
      </c>
      <c r="J4" s="59">
        <f t="shared" si="0"/>
        <v>5496</v>
      </c>
    </row>
    <row r="5" spans="1:10" x14ac:dyDescent="0.25">
      <c r="A5" s="16" t="s">
        <v>27</v>
      </c>
      <c r="B5" s="19" t="s">
        <v>24</v>
      </c>
      <c r="C5" s="6" t="e" vm="4">
        <v>#VALUE!</v>
      </c>
      <c r="D5" s="21">
        <v>10</v>
      </c>
      <c r="E5" s="29">
        <f>B13/10</f>
        <v>4</v>
      </c>
      <c r="F5" s="30">
        <f>(E5/4)*1</f>
        <v>1</v>
      </c>
      <c r="G5" s="30">
        <f>(E5/4)*3</f>
        <v>3</v>
      </c>
      <c r="H5" s="56">
        <f>4474*F5</f>
        <v>4474</v>
      </c>
      <c r="I5" s="56">
        <f t="shared" si="1"/>
        <v>552</v>
      </c>
      <c r="J5" s="59">
        <f t="shared" si="0"/>
        <v>5026</v>
      </c>
    </row>
    <row r="6" spans="1:10" x14ac:dyDescent="0.25">
      <c r="A6" s="16" t="s">
        <v>28</v>
      </c>
      <c r="B6" s="19" t="s">
        <v>29</v>
      </c>
      <c r="C6" s="6" t="e" vm="5">
        <v>#VALUE!</v>
      </c>
      <c r="D6" s="21">
        <v>10</v>
      </c>
      <c r="E6" s="29">
        <f>B13/10</f>
        <v>4</v>
      </c>
      <c r="F6" s="30">
        <f>(E6/8)*1</f>
        <v>0.5</v>
      </c>
      <c r="G6" s="30">
        <f>(E6/8)*7</f>
        <v>3.5</v>
      </c>
      <c r="H6" s="56">
        <f>4517*F6</f>
        <v>2258.5</v>
      </c>
      <c r="I6" s="56">
        <f t="shared" si="1"/>
        <v>644</v>
      </c>
      <c r="J6" s="59">
        <f t="shared" si="0"/>
        <v>2902.5</v>
      </c>
    </row>
    <row r="7" spans="1:10" x14ac:dyDescent="0.25">
      <c r="A7" s="16" t="s">
        <v>30</v>
      </c>
      <c r="B7" s="19" t="s">
        <v>26</v>
      </c>
      <c r="C7" s="6" t="e" vm="6">
        <v>#VALUE!</v>
      </c>
      <c r="D7" s="21">
        <v>10</v>
      </c>
      <c r="E7" s="29">
        <f>B13/10</f>
        <v>4</v>
      </c>
      <c r="F7" s="30">
        <f>(E7/21)*1</f>
        <v>0.19047619047619047</v>
      </c>
      <c r="G7" s="30">
        <f>(E7/21)*20</f>
        <v>3.8095238095238093</v>
      </c>
      <c r="H7" s="56">
        <f>5188*F7</f>
        <v>988.19047619047615</v>
      </c>
      <c r="I7" s="56">
        <f t="shared" si="1"/>
        <v>700.95238095238096</v>
      </c>
      <c r="J7" s="59">
        <f t="shared" si="0"/>
        <v>1689.1428571428571</v>
      </c>
    </row>
    <row r="8" spans="1:10" x14ac:dyDescent="0.25">
      <c r="A8" s="16" t="s">
        <v>31</v>
      </c>
      <c r="B8" s="19" t="s">
        <v>35</v>
      </c>
      <c r="C8" s="6" t="e" vm="7">
        <v>#VALUE!</v>
      </c>
      <c r="D8" s="21">
        <v>10</v>
      </c>
      <c r="E8" s="29">
        <f>B13/10</f>
        <v>4</v>
      </c>
      <c r="F8" s="30">
        <f>(E8/6)*1</f>
        <v>0.66666666666666663</v>
      </c>
      <c r="G8" s="30">
        <f>(E8/6)*5</f>
        <v>3.333333333333333</v>
      </c>
      <c r="H8" s="56">
        <f>5078*F8</f>
        <v>3385.333333333333</v>
      </c>
      <c r="I8" s="56">
        <f t="shared" si="1"/>
        <v>613.33333333333326</v>
      </c>
      <c r="J8" s="59">
        <f t="shared" si="0"/>
        <v>3998.6666666666661</v>
      </c>
    </row>
    <row r="9" spans="1:10" x14ac:dyDescent="0.25">
      <c r="A9" s="16" t="s">
        <v>32</v>
      </c>
      <c r="B9" s="19" t="s">
        <v>35</v>
      </c>
      <c r="C9" s="6" t="e" vm="8">
        <v>#VALUE!</v>
      </c>
      <c r="D9" s="21">
        <v>10</v>
      </c>
      <c r="E9" s="29">
        <f>B13/10</f>
        <v>4</v>
      </c>
      <c r="F9" s="30">
        <f>(E9/6)*1</f>
        <v>0.66666666666666663</v>
      </c>
      <c r="G9" s="30">
        <f t="shared" ref="G9:G11" si="2">(E9/6)*5</f>
        <v>3.333333333333333</v>
      </c>
      <c r="H9" s="56">
        <f>5078*F9</f>
        <v>3385.333333333333</v>
      </c>
      <c r="I9" s="56">
        <f t="shared" si="1"/>
        <v>613.33333333333326</v>
      </c>
      <c r="J9" s="59">
        <f t="shared" si="0"/>
        <v>3998.6666666666661</v>
      </c>
    </row>
    <row r="10" spans="1:10" x14ac:dyDescent="0.25">
      <c r="A10" s="16" t="s">
        <v>33</v>
      </c>
      <c r="B10" s="19" t="s">
        <v>35</v>
      </c>
      <c r="C10" s="6" t="e" vm="9">
        <v>#VALUE!</v>
      </c>
      <c r="D10" s="21">
        <v>10</v>
      </c>
      <c r="E10" s="29">
        <f>B13/10</f>
        <v>4</v>
      </c>
      <c r="F10" s="30">
        <f t="shared" ref="F10:F11" si="3">(E10/6)*1</f>
        <v>0.66666666666666663</v>
      </c>
      <c r="G10" s="30">
        <f t="shared" si="2"/>
        <v>3.333333333333333</v>
      </c>
      <c r="H10" s="56">
        <f>4949*F10</f>
        <v>3299.333333333333</v>
      </c>
      <c r="I10" s="56">
        <f t="shared" si="1"/>
        <v>613.33333333333326</v>
      </c>
      <c r="J10" s="59">
        <f t="shared" si="0"/>
        <v>3912.6666666666661</v>
      </c>
    </row>
    <row r="11" spans="1:10" x14ac:dyDescent="0.25">
      <c r="A11" s="17" t="s">
        <v>34</v>
      </c>
      <c r="B11" s="20" t="s">
        <v>35</v>
      </c>
      <c r="C11" s="12" t="e" vm="10">
        <v>#VALUE!</v>
      </c>
      <c r="D11" s="22">
        <v>10</v>
      </c>
      <c r="E11" s="31">
        <f>B13/10</f>
        <v>4</v>
      </c>
      <c r="F11" s="32">
        <f t="shared" si="3"/>
        <v>0.66666666666666663</v>
      </c>
      <c r="G11" s="32">
        <f t="shared" si="2"/>
        <v>3.333333333333333</v>
      </c>
      <c r="H11" s="57">
        <f>5029*F11</f>
        <v>3352.6666666666665</v>
      </c>
      <c r="I11" s="57">
        <f t="shared" si="1"/>
        <v>613.33333333333326</v>
      </c>
      <c r="J11" s="60">
        <f t="shared" si="0"/>
        <v>3966</v>
      </c>
    </row>
    <row r="13" spans="1:10" x14ac:dyDescent="0.25">
      <c r="A13" s="10" t="s">
        <v>2</v>
      </c>
      <c r="B13" s="76">
        <v>40</v>
      </c>
      <c r="C13" s="84" t="s">
        <v>40</v>
      </c>
      <c r="D13" s="85"/>
      <c r="E13" s="85"/>
      <c r="F13" s="85"/>
      <c r="G13" s="86"/>
    </row>
    <row r="14" spans="1:10" x14ac:dyDescent="0.25">
      <c r="A14" s="3"/>
    </row>
  </sheetData>
  <mergeCells count="1">
    <mergeCell ref="C13:G13"/>
  </mergeCells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683B-F532-4F82-B3DC-CA9B3CA0E7A6}">
  <dimension ref="A1:J16"/>
  <sheetViews>
    <sheetView workbookViewId="0">
      <selection activeCell="A7" sqref="A7"/>
    </sheetView>
  </sheetViews>
  <sheetFormatPr defaultRowHeight="15" x14ac:dyDescent="0.25"/>
  <cols>
    <col min="1" max="1" width="40.5703125" customWidth="1"/>
    <col min="2" max="2" width="31.42578125" customWidth="1"/>
    <col min="3" max="3" width="3.85546875" customWidth="1"/>
    <col min="4" max="4" width="18.5703125" customWidth="1"/>
    <col min="5" max="5" width="34.85546875" customWidth="1"/>
    <col min="6" max="6" width="16.140625" customWidth="1"/>
    <col min="7" max="7" width="31.140625" customWidth="1"/>
    <col min="8" max="8" width="15.42578125" customWidth="1"/>
    <col min="9" max="9" width="22.140625" customWidth="1"/>
    <col min="10" max="10" width="16.140625" customWidth="1"/>
  </cols>
  <sheetData>
    <row r="1" spans="1:10" x14ac:dyDescent="0.25">
      <c r="A1" s="10" t="s">
        <v>19</v>
      </c>
      <c r="B1" s="10" t="s">
        <v>20</v>
      </c>
      <c r="C1" s="10"/>
      <c r="D1" s="10" t="s">
        <v>39</v>
      </c>
      <c r="E1" s="23" t="s">
        <v>38</v>
      </c>
      <c r="F1" s="10" t="s">
        <v>37</v>
      </c>
      <c r="G1" s="10" t="s">
        <v>36</v>
      </c>
      <c r="H1" s="10" t="s">
        <v>100</v>
      </c>
      <c r="I1" s="10" t="s">
        <v>114</v>
      </c>
      <c r="J1" s="10" t="s">
        <v>102</v>
      </c>
    </row>
    <row r="2" spans="1:10" x14ac:dyDescent="0.25">
      <c r="A2" s="79" t="s">
        <v>103</v>
      </c>
      <c r="B2" s="62" t="str">
        <f>B14</f>
        <v>1:10</v>
      </c>
      <c r="C2" s="11" t="e" vm="11">
        <v>#VALUE!</v>
      </c>
      <c r="D2" s="61">
        <v>10</v>
      </c>
      <c r="E2" s="63">
        <f>B13/10</f>
        <v>4</v>
      </c>
      <c r="F2" s="64">
        <f>VALUE(E2)*(1/(1+VALUE(RIGHT(B14,LEN(B14)-FIND(":",B14)))))</f>
        <v>0.36363636363636365</v>
      </c>
      <c r="G2" s="64">
        <f>VALUE(E2)*(VALUE(RIGHT(B14,LEN(B14)-FIND(":",B14))))/(1+VALUE(RIGHT(B14,LEN(B14)-FIND(":",B14))))</f>
        <v>3.6363636363636362</v>
      </c>
      <c r="H2" s="55">
        <f xml:space="preserve"> 2622*F2</f>
        <v>953.4545454545455</v>
      </c>
      <c r="I2" s="55">
        <f>G2*169</f>
        <v>614.5454545454545</v>
      </c>
      <c r="J2" s="58">
        <f>H2+I2</f>
        <v>1568</v>
      </c>
    </row>
    <row r="3" spans="1:10" x14ac:dyDescent="0.25">
      <c r="A3" s="80" t="s">
        <v>104</v>
      </c>
      <c r="B3" s="54" t="str">
        <f>B14</f>
        <v>1:10</v>
      </c>
      <c r="C3" s="6" t="e" vm="12">
        <v>#VALUE!</v>
      </c>
      <c r="D3" s="21">
        <v>10</v>
      </c>
      <c r="E3" s="29">
        <f>B13/10</f>
        <v>4</v>
      </c>
      <c r="F3" s="30">
        <f>VALUE(E3)*(1/(1+VALUE(RIGHT(B14,LEN(B14)-FIND(":",B14)))))</f>
        <v>0.36363636363636365</v>
      </c>
      <c r="G3" s="30">
        <f t="shared" ref="G3:G11" si="0">VALUE(E3)*(VALUE(RIGHT($B$14,LEN($B$14)-FIND(":",$B$14))))/(1+VALUE(RIGHT($B$14,LEN($B$14)-FIND(":",$B$14))))</f>
        <v>3.6363636363636362</v>
      </c>
      <c r="H3" s="56">
        <f>2520*$F$3</f>
        <v>916.36363636363637</v>
      </c>
      <c r="I3" s="56">
        <f t="shared" ref="I3:I10" si="1">G3*169</f>
        <v>614.5454545454545</v>
      </c>
      <c r="J3" s="59">
        <f t="shared" ref="J3:J11" si="2">H3+I3</f>
        <v>1530.909090909091</v>
      </c>
    </row>
    <row r="4" spans="1:10" x14ac:dyDescent="0.25">
      <c r="A4" s="80" t="s">
        <v>105</v>
      </c>
      <c r="B4" s="54" t="str">
        <f>B14</f>
        <v>1:10</v>
      </c>
      <c r="C4" t="e" vm="13">
        <v>#VALUE!</v>
      </c>
      <c r="D4" s="21">
        <v>10</v>
      </c>
      <c r="E4" s="29">
        <f>B13/10</f>
        <v>4</v>
      </c>
      <c r="F4" s="30">
        <f>VALUE(E4)*(1/(1+VALUE(RIGHT(B14,LEN(B14)-FIND(":",B14)))))</f>
        <v>0.36363636363636365</v>
      </c>
      <c r="G4" s="30">
        <f t="shared" si="0"/>
        <v>3.6363636363636362</v>
      </c>
      <c r="H4" s="56">
        <f>2438*$F$4</f>
        <v>886.54545454545462</v>
      </c>
      <c r="I4" s="56">
        <f t="shared" si="1"/>
        <v>614.5454545454545</v>
      </c>
      <c r="J4" s="59">
        <f t="shared" si="2"/>
        <v>1501.090909090909</v>
      </c>
    </row>
    <row r="5" spans="1:10" x14ac:dyDescent="0.25">
      <c r="A5" s="80" t="s">
        <v>106</v>
      </c>
      <c r="B5" s="54" t="str">
        <f>B14</f>
        <v>1:10</v>
      </c>
      <c r="C5" t="e" vm="14">
        <v>#VALUE!</v>
      </c>
      <c r="D5" s="21">
        <v>10</v>
      </c>
      <c r="E5" s="29">
        <f>B13/10</f>
        <v>4</v>
      </c>
      <c r="F5" s="30">
        <f>VALUE(E5)*(1/(1+VALUE(RIGHT(B14,LEN(B14)-FIND(":",B14)))))</f>
        <v>0.36363636363636365</v>
      </c>
      <c r="G5" s="30">
        <f t="shared" si="0"/>
        <v>3.6363636363636362</v>
      </c>
      <c r="H5" s="56">
        <f>2142*$F$5</f>
        <v>778.90909090909088</v>
      </c>
      <c r="I5" s="56">
        <f t="shared" si="1"/>
        <v>614.5454545454545</v>
      </c>
      <c r="J5" s="59">
        <f t="shared" si="2"/>
        <v>1393.4545454545455</v>
      </c>
    </row>
    <row r="6" spans="1:10" x14ac:dyDescent="0.25">
      <c r="A6" s="80" t="s">
        <v>107</v>
      </c>
      <c r="B6" s="54" t="str">
        <f>B14</f>
        <v>1:10</v>
      </c>
      <c r="C6" t="e" vm="15">
        <v>#VALUE!</v>
      </c>
      <c r="D6" s="21">
        <v>10</v>
      </c>
      <c r="E6" s="29">
        <f>B13/10</f>
        <v>4</v>
      </c>
      <c r="F6" s="30">
        <f>VALUE(E6)*(1/(1+VALUE(RIGHT(B14,LEN(B14)-FIND(":",B14)))))</f>
        <v>0.36363636363636365</v>
      </c>
      <c r="G6" s="30">
        <f t="shared" si="0"/>
        <v>3.6363636363636362</v>
      </c>
      <c r="H6" s="56">
        <f>2826*$F$6</f>
        <v>1027.6363636363637</v>
      </c>
      <c r="I6" s="56">
        <f t="shared" si="1"/>
        <v>614.5454545454545</v>
      </c>
      <c r="J6" s="59">
        <f t="shared" si="2"/>
        <v>1642.1818181818182</v>
      </c>
    </row>
    <row r="7" spans="1:10" x14ac:dyDescent="0.25">
      <c r="A7" s="80" t="s">
        <v>108</v>
      </c>
      <c r="B7" s="54" t="str">
        <f>B14</f>
        <v>1:10</v>
      </c>
      <c r="C7" t="e" vm="16">
        <v>#VALUE!</v>
      </c>
      <c r="D7" s="21">
        <v>10</v>
      </c>
      <c r="E7" s="29">
        <f>B13/10</f>
        <v>4</v>
      </c>
      <c r="F7" s="30">
        <f>VALUE(E7)*(1/(1+VALUE(RIGHT(B14,LEN(B14)-FIND(":",B14)))))</f>
        <v>0.36363636363636365</v>
      </c>
      <c r="G7" s="30">
        <f t="shared" si="0"/>
        <v>3.6363636363636362</v>
      </c>
      <c r="H7" s="56">
        <f>3122*$F$7</f>
        <v>1135.2727272727273</v>
      </c>
      <c r="I7" s="56">
        <f t="shared" si="1"/>
        <v>614.5454545454545</v>
      </c>
      <c r="J7" s="59">
        <f t="shared" si="2"/>
        <v>1749.8181818181818</v>
      </c>
    </row>
    <row r="8" spans="1:10" x14ac:dyDescent="0.25">
      <c r="A8" s="80" t="s">
        <v>109</v>
      </c>
      <c r="B8" s="54" t="str">
        <f>B14</f>
        <v>1:10</v>
      </c>
      <c r="C8" t="e" vm="17">
        <v>#VALUE!</v>
      </c>
      <c r="D8" s="21">
        <v>10</v>
      </c>
      <c r="E8" s="29">
        <f>B13/10</f>
        <v>4</v>
      </c>
      <c r="F8" s="30">
        <f>VALUE(E8)*(1/(1+VALUE(RIGHT(B14,LEN(B14)-FIND(":",B14)))))</f>
        <v>0.36363636363636365</v>
      </c>
      <c r="G8" s="30">
        <f t="shared" si="0"/>
        <v>3.6363636363636362</v>
      </c>
      <c r="H8" s="56">
        <f>2520*$F$8</f>
        <v>916.36363636363637</v>
      </c>
      <c r="I8" s="56">
        <f t="shared" si="1"/>
        <v>614.5454545454545</v>
      </c>
      <c r="J8" s="59">
        <f t="shared" si="2"/>
        <v>1530.909090909091</v>
      </c>
    </row>
    <row r="9" spans="1:10" x14ac:dyDescent="0.25">
      <c r="A9" s="80" t="s">
        <v>110</v>
      </c>
      <c r="B9" s="54" t="str">
        <f>B14</f>
        <v>1:10</v>
      </c>
      <c r="C9" t="e" vm="18">
        <v>#VALUE!</v>
      </c>
      <c r="D9" s="21">
        <v>10</v>
      </c>
      <c r="E9" s="29">
        <f>B13/10</f>
        <v>4</v>
      </c>
      <c r="F9" s="30">
        <f>VALUE(E9)*(1/(1+VALUE(RIGHT(B14,LEN(B14)-FIND(":",B14)))))</f>
        <v>0.36363636363636365</v>
      </c>
      <c r="G9" s="30">
        <f t="shared" si="0"/>
        <v>3.6363636363636362</v>
      </c>
      <c r="H9" s="56">
        <f>2591*$F$9</f>
        <v>942.18181818181824</v>
      </c>
      <c r="I9" s="56">
        <f t="shared" si="1"/>
        <v>614.5454545454545</v>
      </c>
      <c r="J9" s="59">
        <f t="shared" si="2"/>
        <v>1556.7272727272727</v>
      </c>
    </row>
    <row r="10" spans="1:10" x14ac:dyDescent="0.25">
      <c r="A10" s="80" t="s">
        <v>111</v>
      </c>
      <c r="B10" s="54" t="str">
        <f>B14</f>
        <v>1:10</v>
      </c>
      <c r="C10" t="e" vm="19">
        <v>#VALUE!</v>
      </c>
      <c r="D10" s="21">
        <v>10</v>
      </c>
      <c r="E10" s="29">
        <f>B13/10</f>
        <v>4</v>
      </c>
      <c r="F10" s="30">
        <f>VALUE(E10)*(1/(1+VALUE(RIGHT(B14,LEN(B14)-FIND(":",B14)))))</f>
        <v>0.36363636363636365</v>
      </c>
      <c r="G10" s="30">
        <f t="shared" si="0"/>
        <v>3.6363636363636362</v>
      </c>
      <c r="H10" s="56">
        <f>2826*$F$10</f>
        <v>1027.6363636363637</v>
      </c>
      <c r="I10" s="56">
        <f t="shared" si="1"/>
        <v>614.5454545454545</v>
      </c>
      <c r="J10" s="59">
        <f t="shared" si="2"/>
        <v>1642.1818181818182</v>
      </c>
    </row>
    <row r="11" spans="1:10" x14ac:dyDescent="0.25">
      <c r="A11" s="78" t="s">
        <v>112</v>
      </c>
      <c r="B11" s="65" t="str">
        <f>B14</f>
        <v>1:10</v>
      </c>
      <c r="C11" s="7" t="e" vm="20">
        <v>#VALUE!</v>
      </c>
      <c r="D11" s="22">
        <v>10</v>
      </c>
      <c r="E11" s="31">
        <f>B13/10</f>
        <v>4</v>
      </c>
      <c r="F11" s="32">
        <f>VALUE(E11)*(1/(1+VALUE(RIGHT(B14,LEN(B14)-FIND(":",B14)))))</f>
        <v>0.36363636363636365</v>
      </c>
      <c r="G11" s="32">
        <f t="shared" si="0"/>
        <v>3.6363636363636362</v>
      </c>
      <c r="H11" s="57">
        <f>2142*$F$11</f>
        <v>778.90909090909088</v>
      </c>
      <c r="I11" s="57">
        <f>G11*169</f>
        <v>614.5454545454545</v>
      </c>
      <c r="J11" s="60">
        <f t="shared" si="2"/>
        <v>1393.4545454545455</v>
      </c>
    </row>
    <row r="13" spans="1:10" x14ac:dyDescent="0.25">
      <c r="A13" s="10" t="s">
        <v>2</v>
      </c>
      <c r="B13" s="76">
        <v>40</v>
      </c>
      <c r="C13" s="84" t="s">
        <v>40</v>
      </c>
      <c r="D13" s="85"/>
      <c r="E13" s="85"/>
      <c r="F13" s="85"/>
      <c r="G13" s="86"/>
    </row>
    <row r="14" spans="1:10" x14ac:dyDescent="0.25">
      <c r="A14" s="23" t="s">
        <v>116</v>
      </c>
      <c r="B14" s="81" t="s">
        <v>117</v>
      </c>
      <c r="C14" s="84" t="s">
        <v>113</v>
      </c>
      <c r="D14" s="85"/>
      <c r="E14" s="85"/>
      <c r="F14" s="85"/>
      <c r="G14" s="86"/>
    </row>
    <row r="16" spans="1:10" x14ac:dyDescent="0.25">
      <c r="B16" s="53"/>
    </row>
  </sheetData>
  <mergeCells count="2">
    <mergeCell ref="C13:G13"/>
    <mergeCell ref="C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Rupa</vt:lpstr>
      <vt:lpstr>HELIODUR</vt:lpstr>
      <vt:lpstr>AkzoNobel SolidoColor</vt:lpstr>
      <vt:lpstr>AkzoNobel</vt:lpstr>
      <vt:lpstr>AkzoNobel Д-Дур</vt:lpstr>
      <vt:lpstr>AkzoNobel Sikkens</vt:lpstr>
      <vt:lpstr>OSWALD</vt:lpstr>
      <vt:lpstr>AkzoNobel Морилки</vt:lpstr>
      <vt:lpstr>Морилки Турция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Pass Ultimate</dc:creator>
  <cp:lastModifiedBy>Game Pass Ultimate</cp:lastModifiedBy>
  <dcterms:created xsi:type="dcterms:W3CDTF">2026-02-18T07:09:23Z</dcterms:created>
  <dcterms:modified xsi:type="dcterms:W3CDTF">2026-04-03T08:17:48Z</dcterms:modified>
</cp:coreProperties>
</file>