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4240" windowHeight="13680" activeTab="4"/>
  </bookViews>
  <sheets>
    <sheet name="Battery" sheetId="1" r:id="rId1"/>
    <sheet name="Electronics" sheetId="2" r:id="rId2"/>
    <sheet name="Dead Mass" sheetId="3" r:id="rId3"/>
    <sheet name="Propulsion" sheetId="4" r:id="rId4"/>
    <sheet name="TOTAL" sheetId="5" r:id="rId5"/>
    <sheet name="M100 Setup" sheetId="6" r:id="rId6"/>
  </sheets>
  <definedNames>
    <definedName name="BattCap">Battery!$F$5</definedName>
    <definedName name="BattCostTot">Battery!$D$5</definedName>
    <definedName name="BattDischarge">Battery!$H$5</definedName>
    <definedName name="BattMassTot">Battery!$C$5</definedName>
    <definedName name="BattNumCellsTot">Battery!$E$5</definedName>
    <definedName name="BattQtyTot">Battery!$B$5</definedName>
    <definedName name="BattVolt">Battery!$G$5</definedName>
    <definedName name="DeadMass">'Dead Mass'!$C$7</definedName>
    <definedName name="DeadMassCost">'Dead Mass'!$D$7</definedName>
    <definedName name="DeadMassQty">'Dead Mass'!$B$7</definedName>
    <definedName name="ElecMass">Electronics!$C$8</definedName>
    <definedName name="ElecMaxCur">Electronics!$M$8</definedName>
    <definedName name="ElecMaxPow">Electronics!$G$8</definedName>
    <definedName name="ElecMaxVolt">Electronics!$J$8</definedName>
    <definedName name="ElecMinCur">Electronics!$K$8</definedName>
    <definedName name="ElecMinPow">Electronics!$E$8</definedName>
    <definedName name="ElecMinVolt">Electronics!$H$8</definedName>
    <definedName name="ElecQty">Electronics!$B$8</definedName>
    <definedName name="ElecQtyTot">Electronics!$B$8</definedName>
    <definedName name="ElecTot">Electronics!$D$8</definedName>
    <definedName name="ElecTypCur">Electronics!$L$8</definedName>
    <definedName name="ElecTypPow">Electronics!$F$8</definedName>
    <definedName name="ElecTypVolt">Electronics!$I$8</definedName>
    <definedName name="PropCost">Propulsion!$D$6</definedName>
    <definedName name="PropMass">Propulsion!$C$6</definedName>
    <definedName name="PropMaxCur">Propulsion!$O$6</definedName>
    <definedName name="PropMaxPow">Propulsion!$I$6</definedName>
    <definedName name="PropMaxVolt">Propulsion!$L$6</definedName>
    <definedName name="PropMinCur">Propulsion!$M$6</definedName>
    <definedName name="PropMinPow">Propulsion!$G$6</definedName>
    <definedName name="PropMinVolt">Propulsion!$J$6</definedName>
    <definedName name="PropQty">Propulsion!$B$6</definedName>
    <definedName name="PropThrustMax">Propulsion!$F$6</definedName>
    <definedName name="PropThrustNom">Propulsion!$E$6</definedName>
    <definedName name="PropTypCur">Propulsion!$N$6</definedName>
    <definedName name="PropTypPow">Propulsion!$H$6</definedName>
    <definedName name="PropTypVolt">Propulsion!$K$6</definedName>
  </definedNames>
  <calcPr calcId="145621"/>
</workbook>
</file>

<file path=xl/calcChain.xml><?xml version="1.0" encoding="utf-8"?>
<calcChain xmlns="http://schemas.openxmlformats.org/spreadsheetml/2006/main">
  <c r="M8" i="5" l="1"/>
  <c r="L8" i="5"/>
  <c r="I8" i="5"/>
  <c r="N3" i="4"/>
  <c r="O6" i="4" l="1"/>
  <c r="J8" i="5"/>
  <c r="L6" i="2" l="1"/>
  <c r="F8" i="2"/>
  <c r="M7" i="2" l="1"/>
  <c r="K7" i="2"/>
  <c r="K8" i="2" s="1"/>
  <c r="M4" i="2"/>
  <c r="M8" i="2" s="1"/>
  <c r="L4" i="2"/>
  <c r="L8" i="2" s="1"/>
  <c r="K4" i="2"/>
  <c r="L5" i="2"/>
  <c r="L7" i="2"/>
  <c r="D6" i="5"/>
  <c r="H8" i="5"/>
  <c r="F8" i="5"/>
  <c r="F6" i="4"/>
  <c r="E6" i="4"/>
  <c r="E8" i="5"/>
  <c r="G8" i="2"/>
  <c r="E8" i="2"/>
  <c r="C8" i="2"/>
  <c r="D8" i="2"/>
  <c r="H5" i="1"/>
  <c r="F5" i="1"/>
  <c r="D5" i="1"/>
  <c r="B5" i="1"/>
  <c r="D7" i="3"/>
  <c r="C7" i="3"/>
  <c r="D6" i="4"/>
  <c r="C6" i="4"/>
  <c r="B13" i="6" l="1"/>
  <c r="B14" i="6" l="1"/>
  <c r="J7" i="6"/>
  <c r="H7" i="6"/>
  <c r="G7" i="6"/>
  <c r="F7" i="6"/>
  <c r="E5" i="1"/>
  <c r="C5" i="1"/>
  <c r="G5" i="1"/>
  <c r="G4" i="1"/>
  <c r="D4" i="5" l="1"/>
  <c r="B8" i="2"/>
  <c r="B4" i="5" s="1"/>
  <c r="C6" i="5"/>
  <c r="B7" i="3"/>
  <c r="B6" i="5" s="1"/>
  <c r="G6" i="4"/>
  <c r="H6" i="4"/>
  <c r="I6" i="4"/>
  <c r="J6" i="4"/>
  <c r="K6" i="4"/>
  <c r="L6" i="4"/>
  <c r="M6" i="4"/>
  <c r="D5" i="5"/>
  <c r="B6" i="4"/>
  <c r="B5" i="5" s="1"/>
  <c r="C7" i="5"/>
  <c r="D7" i="5"/>
  <c r="B7" i="5"/>
  <c r="C5" i="5" l="1"/>
  <c r="C4" i="5"/>
  <c r="D8" i="5"/>
  <c r="B8" i="5"/>
  <c r="C8" i="5" l="1"/>
  <c r="G8" i="5" l="1"/>
  <c r="N6" i="4"/>
  <c r="K8" i="5" s="1"/>
</calcChain>
</file>

<file path=xl/sharedStrings.xml><?xml version="1.0" encoding="utf-8"?>
<sst xmlns="http://schemas.openxmlformats.org/spreadsheetml/2006/main" count="123" uniqueCount="78">
  <si>
    <t>Battery</t>
  </si>
  <si>
    <t>QTY</t>
  </si>
  <si>
    <t>Mass  [g]</t>
  </si>
  <si>
    <t>Cost [$]</t>
  </si>
  <si>
    <t>Electronics Total</t>
  </si>
  <si>
    <t>Propulsion Total</t>
  </si>
  <si>
    <t>Dead Mass Total</t>
  </si>
  <si>
    <t>Battery Total</t>
  </si>
  <si>
    <t>Overall Total</t>
  </si>
  <si>
    <t>Electronics</t>
  </si>
  <si>
    <t>Power [mW]</t>
  </si>
  <si>
    <t>Voltage [V]</t>
  </si>
  <si>
    <t>Current [mA]</t>
  </si>
  <si>
    <t>Length [mm]</t>
  </si>
  <si>
    <t>Width [mm]</t>
  </si>
  <si>
    <t>Thickness [mm]</t>
  </si>
  <si>
    <t>link(s)</t>
  </si>
  <si>
    <t>Min</t>
  </si>
  <si>
    <t>Typical</t>
  </si>
  <si>
    <t>Max</t>
  </si>
  <si>
    <t>Jetson TK1</t>
  </si>
  <si>
    <t xml:space="preserve">http://developer.download.nvidia.com/embedded/jetson/TK1/docs/Jetson_platform_brief_May2014.pdf
http://elinux.org/Jetson/Jetson_TK1_Power
</t>
  </si>
  <si>
    <t>Total</t>
  </si>
  <si>
    <t>Dead Mass</t>
  </si>
  <si>
    <t>Customer Payload (1lb)</t>
  </si>
  <si>
    <t>Propulsion</t>
  </si>
  <si>
    <t>Thrust [g]</t>
  </si>
  <si>
    <t>nom</t>
  </si>
  <si>
    <t>max</t>
  </si>
  <si>
    <t># Cells</t>
  </si>
  <si>
    <t>Capacity
 [mAh]</t>
  </si>
  <si>
    <t>Voltage
 [V]</t>
  </si>
  <si>
    <t>Discharge 
Rate</t>
  </si>
  <si>
    <t>** Voltage is automatically calculated based on the number of cells in the LiPo (3.7V per cell)</t>
  </si>
  <si>
    <t>** Propulsion System is not included in this section, see "Propulsion" Worksheet</t>
  </si>
  <si>
    <t>** Dead Mass includes any structures, payloads, or other added mass that is not part of the propulsion system, electronics, or batteries</t>
  </si>
  <si>
    <t>Est Max Flt Time [min]</t>
  </si>
  <si>
    <t>Typ Power [mW]</t>
  </si>
  <si>
    <t>Guidance</t>
  </si>
  <si>
    <t>Odroid XU4</t>
  </si>
  <si>
    <t>VICON IR Orbs</t>
  </si>
  <si>
    <t>DJI Matrice 100</t>
  </si>
  <si>
    <t>http://developer.dji.com/matrice-100/specs/</t>
  </si>
  <si>
    <t>Intelligent Flight Battery TB47D</t>
  </si>
  <si>
    <t>DJI E 620D ESC (E800)</t>
  </si>
  <si>
    <t>DJI 3510 Motor  (E800)</t>
  </si>
  <si>
    <t>http://www.hardkernel.com/main/products/prdt_info.php?g_code=G143452239825&amp;tab_idx=1</t>
  </si>
  <si>
    <t>Item</t>
  </si>
  <si>
    <t>Qty</t>
  </si>
  <si>
    <t>M100 Quad System</t>
  </si>
  <si>
    <t>Weight [g]</t>
  </si>
  <si>
    <t>*includes motors/battery/flight controller/props</t>
  </si>
  <si>
    <t>Motor</t>
  </si>
  <si>
    <t>Nom Thrust</t>
  </si>
  <si>
    <t>Max Thrust</t>
  </si>
  <si>
    <t>Current [A]</t>
  </si>
  <si>
    <t>Max Thrust [g/motor]</t>
  </si>
  <si>
    <t>Discharge Rate</t>
  </si>
  <si>
    <t>6S Battery</t>
  </si>
  <si>
    <t>Capacity [mAh]</t>
  </si>
  <si>
    <t>Total Current Motors</t>
  </si>
  <si>
    <t>Total Thrust Nom</t>
  </si>
  <si>
    <t>Necessary Thrust</t>
  </si>
  <si>
    <t>http://multicopter.forestblue.nl/lipo_need_calculator.html</t>
  </si>
  <si>
    <t xml:space="preserve">   </t>
  </si>
  <si>
    <t>DJI 1345s Propellor (E800)</t>
  </si>
  <si>
    <t>Nom Thrust Avail [g]</t>
  </si>
  <si>
    <t>Max Thrust Avail [g]</t>
  </si>
  <si>
    <t>Battery Cap [mAh]</t>
  </si>
  <si>
    <t>Ideal Thrust Needed [g]</t>
  </si>
  <si>
    <t>Est Typ Flt Time [min]</t>
  </si>
  <si>
    <t>https://developer.dji.com/guidance/specs/</t>
  </si>
  <si>
    <t>*based on typ volt values</t>
  </si>
  <si>
    <t>FLIR Lepton LWIR Camera</t>
  </si>
  <si>
    <t>https://www.sparkfun.com/products/13233</t>
  </si>
  <si>
    <t>Typ Current [mA]</t>
  </si>
  <si>
    <t>Max Current [mA]</t>
  </si>
  <si>
    <t>* Typical is for hover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</si>
</sst>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5">
    <xf numFmtId="0" fontId="0" fillId="0" borderId="0" xfId="0"/>
    <xf numFmtId="0" fontId="0" fillId="3" borderId="14" xfId="0" applyFill="1" applyBorder="1"/>
    <xf numFmtId="0" fontId="0" fillId="3" borderId="12" xfId="0" applyFill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0" fontId="0" fillId="7" borderId="14" xfId="0" applyFont="1" applyFill="1" applyBorder="1"/>
    <xf numFmtId="0" fontId="0" fillId="7" borderId="12" xfId="0" applyFont="1" applyFill="1" applyBorder="1" applyAlignment="1">
      <alignment horizontal="center" vertical="center"/>
    </xf>
    <xf numFmtId="164" fontId="0" fillId="7" borderId="12" xfId="0" applyNumberFormat="1" applyFont="1" applyFill="1" applyBorder="1" applyAlignment="1">
      <alignment horizontal="center" vertical="center"/>
    </xf>
    <xf numFmtId="0" fontId="0" fillId="5" borderId="14" xfId="0" applyFill="1" applyBorder="1"/>
    <xf numFmtId="0" fontId="0" fillId="5" borderId="12" xfId="0" applyFill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  <xf numFmtId="0" fontId="0" fillId="9" borderId="8" xfId="0" applyFill="1" applyBorder="1"/>
    <xf numFmtId="0" fontId="0" fillId="9" borderId="9" xfId="0" applyFill="1" applyBorder="1" applyAlignment="1">
      <alignment horizontal="center"/>
    </xf>
    <xf numFmtId="164" fontId="0" fillId="9" borderId="9" xfId="0" applyNumberForma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3" borderId="14" xfId="0" applyFill="1" applyBorder="1"/>
    <xf numFmtId="0" fontId="0" fillId="3" borderId="12" xfId="0" applyFill="1" applyBorder="1" applyAlignment="1">
      <alignment horizontal="center"/>
    </xf>
    <xf numFmtId="0" fontId="0" fillId="3" borderId="12" xfId="0" applyFill="1" applyBorder="1" applyAlignment="1">
      <alignment wrapText="1"/>
    </xf>
    <xf numFmtId="0" fontId="0" fillId="4" borderId="2" xfId="0" applyFill="1" applyBorder="1"/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5" borderId="14" xfId="0" applyFill="1" applyBorder="1"/>
    <xf numFmtId="0" fontId="0" fillId="5" borderId="12" xfId="0" applyFill="1" applyBorder="1" applyAlignment="1">
      <alignment horizontal="center"/>
    </xf>
    <xf numFmtId="0" fontId="0" fillId="5" borderId="12" xfId="0" applyFill="1" applyBorder="1"/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7" borderId="14" xfId="0" applyFont="1" applyFill="1" applyBorder="1"/>
    <xf numFmtId="0" fontId="0" fillId="7" borderId="12" xfId="0" applyFont="1" applyFill="1" applyBorder="1" applyAlignment="1">
      <alignment horizontal="center" vertical="center"/>
    </xf>
    <xf numFmtId="0" fontId="0" fillId="7" borderId="12" xfId="0" applyFill="1" applyBorder="1" applyAlignment="1">
      <alignment wrapText="1"/>
    </xf>
    <xf numFmtId="0" fontId="0" fillId="0" borderId="0" xfId="0"/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3" borderId="12" xfId="0" applyFill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0" fontId="0" fillId="7" borderId="12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  <xf numFmtId="0" fontId="0" fillId="9" borderId="14" xfId="0" applyFill="1" applyBorder="1"/>
    <xf numFmtId="0" fontId="0" fillId="9" borderId="12" xfId="0" applyFill="1" applyBorder="1" applyAlignment="1">
      <alignment horizontal="center"/>
    </xf>
    <xf numFmtId="164" fontId="0" fillId="9" borderId="12" xfId="0" applyNumberForma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/>
    <xf numFmtId="0" fontId="1" fillId="0" borderId="1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8" borderId="12" xfId="0" applyFont="1" applyFill="1" applyBorder="1" applyAlignment="1">
      <alignment horizontal="center" vertical="center"/>
    </xf>
    <xf numFmtId="164" fontId="0" fillId="8" borderId="12" xfId="0" applyNumberFormat="1" applyFont="1" applyFill="1" applyBorder="1" applyAlignment="1">
      <alignment horizontal="center" vertical="center"/>
    </xf>
    <xf numFmtId="0" fontId="0" fillId="8" borderId="12" xfId="0" applyFill="1" applyBorder="1" applyAlignment="1">
      <alignment wrapText="1"/>
    </xf>
    <xf numFmtId="0" fontId="0" fillId="8" borderId="14" xfId="0" applyFont="1" applyFill="1" applyBorder="1"/>
    <xf numFmtId="0" fontId="4" fillId="8" borderId="14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4" borderId="14" xfId="0" applyFill="1" applyBorder="1"/>
    <xf numFmtId="0" fontId="0" fillId="4" borderId="12" xfId="0" applyFill="1" applyBorder="1" applyAlignment="1">
      <alignment horizontal="center"/>
    </xf>
    <xf numFmtId="164" fontId="0" fillId="4" borderId="12" xfId="0" applyNumberFormat="1" applyFill="1" applyBorder="1" applyAlignment="1">
      <alignment horizontal="center"/>
    </xf>
    <xf numFmtId="0" fontId="0" fillId="4" borderId="12" xfId="0" applyFill="1" applyBorder="1"/>
    <xf numFmtId="0" fontId="0" fillId="2" borderId="14" xfId="0" applyFill="1" applyBorder="1"/>
    <xf numFmtId="0" fontId="0" fillId="2" borderId="14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12" xfId="1" applyFill="1" applyBorder="1" applyAlignment="1">
      <alignment wrapText="1"/>
    </xf>
    <xf numFmtId="0" fontId="1" fillId="10" borderId="12" xfId="0" applyFont="1" applyFill="1" applyBorder="1" applyAlignment="1">
      <alignment horizontal="center" vertical="center"/>
    </xf>
    <xf numFmtId="164" fontId="1" fillId="10" borderId="12" xfId="0" applyNumberFormat="1" applyFont="1" applyFill="1" applyBorder="1" applyAlignment="1">
      <alignment horizontal="center" vertical="center"/>
    </xf>
    <xf numFmtId="0" fontId="1" fillId="0" borderId="0" xfId="0" applyFont="1"/>
    <xf numFmtId="0" fontId="4" fillId="8" borderId="7" xfId="0" applyFont="1" applyFill="1" applyBorder="1" applyAlignment="1">
      <alignment horizontal="center"/>
    </xf>
    <xf numFmtId="0" fontId="0" fillId="0" borderId="0" xfId="0"/>
    <xf numFmtId="0" fontId="0" fillId="6" borderId="8" xfId="0" applyFill="1" applyBorder="1"/>
    <xf numFmtId="0" fontId="0" fillId="6" borderId="9" xfId="0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4" fillId="8" borderId="12" xfId="0" applyFon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0" fontId="0" fillId="2" borderId="0" xfId="0" applyFill="1"/>
    <xf numFmtId="2" fontId="1" fillId="10" borderId="12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top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hardkernel.com/main/products/prdt_info.php?g_code=G143452239825&amp;tab_idx=1" TargetMode="External"/><Relationship Id="rId1" Type="http://schemas.openxmlformats.org/officeDocument/2006/relationships/hyperlink" Target="http://developer.download.nvidia.com/embedded/jetson/TK1/docs/Jetson_platform_brief_May2014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opLeftCell="A2" zoomScaleNormal="100" workbookViewId="0">
      <selection activeCell="C18" sqref="C18"/>
    </sheetView>
  </sheetViews>
  <sheetFormatPr defaultRowHeight="15" x14ac:dyDescent="0.25"/>
  <cols>
    <col min="1" max="1" width="30.7109375" customWidth="1"/>
    <col min="6" max="11" width="9.7109375" customWidth="1"/>
    <col min="12" max="12" width="45.7109375" customWidth="1"/>
  </cols>
  <sheetData>
    <row r="1" spans="1:12" s="31" customFormat="1" ht="18" customHeight="1" x14ac:dyDescent="0.25">
      <c r="A1" s="84" t="s">
        <v>33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</row>
    <row r="2" spans="1:12" x14ac:dyDescent="0.25">
      <c r="A2" s="87" t="s">
        <v>0</v>
      </c>
      <c r="B2" s="85" t="s">
        <v>1</v>
      </c>
      <c r="C2" s="85" t="s">
        <v>2</v>
      </c>
      <c r="D2" s="89" t="s">
        <v>3</v>
      </c>
      <c r="E2" s="91" t="s">
        <v>29</v>
      </c>
      <c r="F2" s="93" t="s">
        <v>30</v>
      </c>
      <c r="G2" s="95" t="s">
        <v>31</v>
      </c>
      <c r="H2" s="93" t="s">
        <v>32</v>
      </c>
      <c r="I2" s="97" t="s">
        <v>13</v>
      </c>
      <c r="J2" s="97" t="s">
        <v>14</v>
      </c>
      <c r="K2" s="97" t="s">
        <v>15</v>
      </c>
      <c r="L2" s="85" t="s">
        <v>16</v>
      </c>
    </row>
    <row r="3" spans="1:12" x14ac:dyDescent="0.25">
      <c r="A3" s="88"/>
      <c r="B3" s="86"/>
      <c r="C3" s="86"/>
      <c r="D3" s="90"/>
      <c r="E3" s="92"/>
      <c r="F3" s="94"/>
      <c r="G3" s="96"/>
      <c r="H3" s="92"/>
      <c r="I3" s="98"/>
      <c r="J3" s="98"/>
      <c r="K3" s="98"/>
      <c r="L3" s="86"/>
    </row>
    <row r="4" spans="1:12" s="73" customFormat="1" x14ac:dyDescent="0.25">
      <c r="A4" s="74" t="s">
        <v>43</v>
      </c>
      <c r="B4" s="75">
        <v>1</v>
      </c>
      <c r="C4" s="75">
        <v>600</v>
      </c>
      <c r="D4" s="76"/>
      <c r="E4" s="77">
        <v>6</v>
      </c>
      <c r="F4" s="77">
        <v>4500</v>
      </c>
      <c r="G4" s="77">
        <f>3.7*E4</f>
        <v>22.200000000000003</v>
      </c>
      <c r="H4" s="77"/>
      <c r="I4" s="74"/>
      <c r="J4" s="74"/>
      <c r="K4" s="74"/>
      <c r="L4" s="74"/>
    </row>
    <row r="5" spans="1:12" x14ac:dyDescent="0.25">
      <c r="A5" s="40" t="s">
        <v>22</v>
      </c>
      <c r="B5" s="41">
        <f t="shared" ref="B5:H5" si="0">B4</f>
        <v>1</v>
      </c>
      <c r="C5" s="41">
        <f t="shared" si="0"/>
        <v>600</v>
      </c>
      <c r="D5" s="42">
        <f t="shared" si="0"/>
        <v>0</v>
      </c>
      <c r="E5" s="41">
        <f t="shared" si="0"/>
        <v>6</v>
      </c>
      <c r="F5" s="41">
        <f t="shared" si="0"/>
        <v>4500</v>
      </c>
      <c r="G5" s="41">
        <f t="shared" si="0"/>
        <v>22.200000000000003</v>
      </c>
      <c r="H5" s="41">
        <f t="shared" si="0"/>
        <v>0</v>
      </c>
      <c r="I5" s="41"/>
      <c r="J5" s="41"/>
      <c r="K5" s="41"/>
      <c r="L5" s="40"/>
    </row>
  </sheetData>
  <mergeCells count="13">
    <mergeCell ref="A1:L1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J21" sqref="J21"/>
    </sheetView>
  </sheetViews>
  <sheetFormatPr defaultRowHeight="15" customHeight="1" x14ac:dyDescent="0.25"/>
  <cols>
    <col min="1" max="1" width="30.7109375" customWidth="1"/>
    <col min="14" max="14" width="45.7109375" customWidth="1"/>
  </cols>
  <sheetData>
    <row r="1" spans="1:14" s="31" customFormat="1" ht="18" customHeight="1" x14ac:dyDescent="0.25">
      <c r="A1" s="84" t="s">
        <v>34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</row>
    <row r="2" spans="1:14" ht="15" customHeight="1" x14ac:dyDescent="0.25">
      <c r="A2" s="87" t="s">
        <v>9</v>
      </c>
      <c r="B2" s="85" t="s">
        <v>1</v>
      </c>
      <c r="C2" s="85" t="s">
        <v>2</v>
      </c>
      <c r="D2" s="89" t="s">
        <v>3</v>
      </c>
      <c r="E2" s="99" t="s">
        <v>10</v>
      </c>
      <c r="F2" s="100"/>
      <c r="G2" s="101"/>
      <c r="H2" s="99" t="s">
        <v>11</v>
      </c>
      <c r="I2" s="100"/>
      <c r="J2" s="101"/>
      <c r="K2" s="99" t="s">
        <v>12</v>
      </c>
      <c r="L2" s="100"/>
      <c r="M2" s="101"/>
      <c r="N2" s="85" t="s">
        <v>16</v>
      </c>
    </row>
    <row r="3" spans="1:14" ht="15" customHeight="1" x14ac:dyDescent="0.25">
      <c r="A3" s="88"/>
      <c r="B3" s="86"/>
      <c r="C3" s="86"/>
      <c r="D3" s="90"/>
      <c r="E3" s="13" t="s">
        <v>17</v>
      </c>
      <c r="F3" s="14" t="s">
        <v>18</v>
      </c>
      <c r="G3" s="15" t="s">
        <v>19</v>
      </c>
      <c r="H3" s="13" t="s">
        <v>17</v>
      </c>
      <c r="I3" s="14" t="s">
        <v>18</v>
      </c>
      <c r="J3" s="15" t="s">
        <v>19</v>
      </c>
      <c r="K3" s="13" t="s">
        <v>17</v>
      </c>
      <c r="L3" s="14" t="s">
        <v>18</v>
      </c>
      <c r="M3" s="15" t="s">
        <v>19</v>
      </c>
      <c r="N3" s="86"/>
    </row>
    <row r="4" spans="1:14" ht="15" customHeight="1" x14ac:dyDescent="0.25">
      <c r="A4" s="62" t="s">
        <v>20</v>
      </c>
      <c r="B4" s="63">
        <v>0</v>
      </c>
      <c r="C4" s="64">
        <v>143.9</v>
      </c>
      <c r="D4" s="65">
        <v>192</v>
      </c>
      <c r="E4" s="66">
        <v>3470</v>
      </c>
      <c r="F4" s="67">
        <v>4000</v>
      </c>
      <c r="G4" s="63">
        <v>12490</v>
      </c>
      <c r="H4" s="66">
        <v>9.5</v>
      </c>
      <c r="I4" s="67">
        <v>12</v>
      </c>
      <c r="J4" s="63">
        <v>13.5</v>
      </c>
      <c r="K4" s="66">
        <f>E4/H4</f>
        <v>365.26315789473682</v>
      </c>
      <c r="L4" s="67">
        <f>F4/I4</f>
        <v>333.33333333333331</v>
      </c>
      <c r="M4" s="63">
        <f>G4/I4</f>
        <v>1040.8333333333333</v>
      </c>
      <c r="N4" s="68" t="s">
        <v>21</v>
      </c>
    </row>
    <row r="5" spans="1:14" s="73" customFormat="1" ht="15" customHeight="1" x14ac:dyDescent="0.25">
      <c r="A5" s="62" t="s">
        <v>39</v>
      </c>
      <c r="B5" s="63">
        <v>1</v>
      </c>
      <c r="C5" s="64">
        <v>64.2</v>
      </c>
      <c r="D5" s="65"/>
      <c r="E5" s="67"/>
      <c r="F5" s="67">
        <v>4000</v>
      </c>
      <c r="G5" s="63"/>
      <c r="H5" s="67"/>
      <c r="I5" s="67">
        <v>5</v>
      </c>
      <c r="J5" s="63"/>
      <c r="K5" s="67"/>
      <c r="L5" s="67">
        <f>F5/I5</f>
        <v>800</v>
      </c>
      <c r="M5" s="63"/>
      <c r="N5" s="68" t="s">
        <v>46</v>
      </c>
    </row>
    <row r="6" spans="1:14" s="73" customFormat="1" ht="15" customHeight="1" x14ac:dyDescent="0.25">
      <c r="A6" s="62" t="s">
        <v>73</v>
      </c>
      <c r="B6" s="63">
        <v>1</v>
      </c>
      <c r="C6" s="64">
        <v>0.55000000000000004</v>
      </c>
      <c r="D6" s="65">
        <v>259.95</v>
      </c>
      <c r="E6" s="67">
        <v>4</v>
      </c>
      <c r="F6" s="67">
        <v>150</v>
      </c>
      <c r="G6" s="63"/>
      <c r="H6" s="67">
        <v>2.5</v>
      </c>
      <c r="I6" s="67">
        <v>2.8</v>
      </c>
      <c r="J6" s="63">
        <v>3.1</v>
      </c>
      <c r="K6" s="82"/>
      <c r="L6" s="82">
        <f>F6/I6</f>
        <v>53.571428571428577</v>
      </c>
      <c r="M6" s="82"/>
      <c r="N6" s="68" t="s">
        <v>74</v>
      </c>
    </row>
    <row r="7" spans="1:14" s="31" customFormat="1" ht="15" customHeight="1" x14ac:dyDescent="0.25">
      <c r="A7" s="62" t="s">
        <v>38</v>
      </c>
      <c r="B7" s="63">
        <v>1</v>
      </c>
      <c r="C7" s="64">
        <v>291</v>
      </c>
      <c r="D7" s="65"/>
      <c r="E7" s="67"/>
      <c r="F7" s="67">
        <v>12000</v>
      </c>
      <c r="G7" s="63">
        <v>12000</v>
      </c>
      <c r="H7" s="67">
        <v>11.1</v>
      </c>
      <c r="I7" s="67">
        <v>22.2</v>
      </c>
      <c r="J7" s="63">
        <v>25</v>
      </c>
      <c r="K7" s="67">
        <f>G7/I7</f>
        <v>540.54054054054052</v>
      </c>
      <c r="L7" s="67">
        <f>G7/I7</f>
        <v>540.54054054054052</v>
      </c>
      <c r="M7" s="63">
        <f>G7/I7</f>
        <v>540.54054054054052</v>
      </c>
      <c r="N7" s="68" t="s">
        <v>71</v>
      </c>
    </row>
    <row r="8" spans="1:14" ht="15" customHeight="1" x14ac:dyDescent="0.25">
      <c r="A8" s="16" t="s">
        <v>22</v>
      </c>
      <c r="B8" s="17">
        <f>SUM(B4:B7)</f>
        <v>3</v>
      </c>
      <c r="C8" s="81">
        <f>B4*C4+B5*C5+B7*C7</f>
        <v>355.2</v>
      </c>
      <c r="D8" s="36">
        <f>B4*D4+B5*D5+B7*D7</f>
        <v>0</v>
      </c>
      <c r="E8" s="35">
        <f>B4*E4+B5*E5+B7*E7</f>
        <v>0</v>
      </c>
      <c r="F8" s="35">
        <f>B4*F4+B5*F5+B6*F6+B7*F7</f>
        <v>16150</v>
      </c>
      <c r="G8" s="35">
        <f>B4*G4+B5*G5+B7*G7</f>
        <v>12000</v>
      </c>
      <c r="H8" s="35"/>
      <c r="I8" s="35"/>
      <c r="J8" s="35"/>
      <c r="K8" s="35">
        <f>B4*K4+B5*K5+B7*K7</f>
        <v>540.54054054054052</v>
      </c>
      <c r="L8" s="35">
        <f>B4*L4+B5*L5+B7*L7+B6*L6</f>
        <v>1394.1119691119691</v>
      </c>
      <c r="M8" s="35">
        <f>B4*M4+B5*M5+B7*M7</f>
        <v>540.54054054054052</v>
      </c>
      <c r="N8" s="18"/>
    </row>
    <row r="10" spans="1:14" ht="15" customHeight="1" x14ac:dyDescent="0.25">
      <c r="K10" t="s">
        <v>72</v>
      </c>
    </row>
  </sheetData>
  <mergeCells count="9">
    <mergeCell ref="H2:J2"/>
    <mergeCell ref="K2:M2"/>
    <mergeCell ref="A1:N1"/>
    <mergeCell ref="N2:N3"/>
    <mergeCell ref="A2:A3"/>
    <mergeCell ref="B2:B3"/>
    <mergeCell ref="C2:C3"/>
    <mergeCell ref="D2:D3"/>
    <mergeCell ref="E2:G2"/>
  </mergeCells>
  <hyperlinks>
    <hyperlink ref="N4" r:id="rId1" display="http://developer.download.nvidia.com/embedded/jetson/TK1/docs/Jetson_platform_brief_May2014.pdf_x000a_"/>
    <hyperlink ref="N5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17" sqref="C17"/>
    </sheetView>
  </sheetViews>
  <sheetFormatPr defaultRowHeight="15" customHeight="1" x14ac:dyDescent="0.25"/>
  <cols>
    <col min="1" max="1" width="30.7109375" customWidth="1"/>
    <col min="5" max="7" width="9.7109375" customWidth="1"/>
    <col min="8" max="8" width="45.7109375" customWidth="1"/>
  </cols>
  <sheetData>
    <row r="1" spans="1:8" s="31" customFormat="1" ht="18" customHeight="1" x14ac:dyDescent="0.25">
      <c r="A1" s="84" t="s">
        <v>35</v>
      </c>
      <c r="B1" s="84"/>
      <c r="C1" s="84"/>
      <c r="D1" s="84"/>
      <c r="E1" s="84"/>
      <c r="F1" s="84"/>
      <c r="G1" s="84"/>
      <c r="H1" s="84"/>
    </row>
    <row r="2" spans="1:8" ht="15" customHeight="1" x14ac:dyDescent="0.25">
      <c r="A2" s="87" t="s">
        <v>23</v>
      </c>
      <c r="B2" s="85" t="s">
        <v>1</v>
      </c>
      <c r="C2" s="85" t="s">
        <v>2</v>
      </c>
      <c r="D2" s="89" t="s">
        <v>3</v>
      </c>
      <c r="E2" s="97" t="s">
        <v>13</v>
      </c>
      <c r="F2" s="97" t="s">
        <v>14</v>
      </c>
      <c r="G2" s="97" t="s">
        <v>15</v>
      </c>
      <c r="H2" s="85" t="s">
        <v>16</v>
      </c>
    </row>
    <row r="3" spans="1:8" ht="15" customHeight="1" x14ac:dyDescent="0.25">
      <c r="A3" s="88"/>
      <c r="B3" s="86"/>
      <c r="C3" s="86"/>
      <c r="D3" s="90"/>
      <c r="E3" s="98"/>
      <c r="F3" s="98"/>
      <c r="G3" s="98"/>
      <c r="H3" s="86"/>
    </row>
    <row r="4" spans="1:8" s="73" customFormat="1" ht="15" customHeight="1" x14ac:dyDescent="0.25">
      <c r="A4" s="58" t="s">
        <v>41</v>
      </c>
      <c r="B4" s="59">
        <v>1</v>
      </c>
      <c r="C4" s="59">
        <v>1083</v>
      </c>
      <c r="D4" s="60">
        <v>3200</v>
      </c>
      <c r="E4" s="58"/>
      <c r="F4" s="61"/>
      <c r="G4" s="61"/>
      <c r="H4" s="61" t="s">
        <v>42</v>
      </c>
    </row>
    <row r="5" spans="1:8" s="73" customFormat="1" ht="15" customHeight="1" x14ac:dyDescent="0.25">
      <c r="A5" s="58" t="s">
        <v>40</v>
      </c>
      <c r="B5" s="59">
        <v>5</v>
      </c>
      <c r="C5" s="59">
        <v>11.2</v>
      </c>
      <c r="D5" s="60">
        <v>0</v>
      </c>
      <c r="E5" s="58"/>
      <c r="F5" s="61"/>
      <c r="G5" s="61"/>
      <c r="H5" s="61"/>
    </row>
    <row r="6" spans="1:8" ht="15" customHeight="1" x14ac:dyDescent="0.25">
      <c r="A6" s="19" t="s">
        <v>24</v>
      </c>
      <c r="B6" s="20">
        <v>1</v>
      </c>
      <c r="C6" s="20">
        <v>453.59</v>
      </c>
      <c r="D6" s="21">
        <v>0</v>
      </c>
      <c r="E6" s="19"/>
      <c r="F6" s="22"/>
      <c r="G6" s="22"/>
      <c r="H6" s="22"/>
    </row>
    <row r="7" spans="1:8" ht="15" customHeight="1" x14ac:dyDescent="0.25">
      <c r="A7" s="23" t="s">
        <v>22</v>
      </c>
      <c r="B7" s="24">
        <f>SUM(B4:B6)</f>
        <v>7</v>
      </c>
      <c r="C7" s="38">
        <f>B4*C4+B5*C5+B6*C6</f>
        <v>1592.59</v>
      </c>
      <c r="D7" s="39">
        <f>B4*D4+B5*D5+B6*D6</f>
        <v>3200</v>
      </c>
      <c r="E7" s="25"/>
      <c r="F7" s="25"/>
      <c r="G7" s="25"/>
      <c r="H7" s="25"/>
    </row>
  </sheetData>
  <mergeCells count="9">
    <mergeCell ref="A1:H1"/>
    <mergeCell ref="G2:G3"/>
    <mergeCell ref="H2:H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ignoredErrors>
    <ignoredError sqref="C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H27" sqref="H27"/>
    </sheetView>
  </sheetViews>
  <sheetFormatPr defaultRowHeight="15" customHeight="1" x14ac:dyDescent="0.25"/>
  <cols>
    <col min="1" max="1" width="30.7109375" customWidth="1"/>
    <col min="14" max="15" width="9.7109375" customWidth="1"/>
    <col min="16" max="17" width="9.7109375" style="31" customWidth="1"/>
    <col min="18" max="18" width="9.7109375" customWidth="1"/>
    <col min="19" max="19" width="45.7109375" customWidth="1"/>
  </cols>
  <sheetData>
    <row r="1" spans="1:19" ht="15" customHeight="1" x14ac:dyDescent="0.25">
      <c r="A1" s="87" t="s">
        <v>25</v>
      </c>
      <c r="B1" s="85" t="s">
        <v>1</v>
      </c>
      <c r="C1" s="85" t="s">
        <v>2</v>
      </c>
      <c r="D1" s="89" t="s">
        <v>3</v>
      </c>
      <c r="E1" s="99" t="s">
        <v>26</v>
      </c>
      <c r="F1" s="101"/>
      <c r="G1" s="99" t="s">
        <v>10</v>
      </c>
      <c r="H1" s="100"/>
      <c r="I1" s="101"/>
      <c r="J1" s="99" t="s">
        <v>11</v>
      </c>
      <c r="K1" s="100"/>
      <c r="L1" s="101"/>
      <c r="M1" s="99" t="s">
        <v>12</v>
      </c>
      <c r="N1" s="100"/>
      <c r="O1" s="101"/>
      <c r="P1" s="97" t="s">
        <v>13</v>
      </c>
      <c r="Q1" s="97" t="s">
        <v>14</v>
      </c>
      <c r="R1" s="97" t="s">
        <v>15</v>
      </c>
      <c r="S1" s="85" t="s">
        <v>16</v>
      </c>
    </row>
    <row r="2" spans="1:19" ht="15" customHeight="1" x14ac:dyDescent="0.25">
      <c r="A2" s="88"/>
      <c r="B2" s="86"/>
      <c r="C2" s="86"/>
      <c r="D2" s="90"/>
      <c r="E2" s="26" t="s">
        <v>27</v>
      </c>
      <c r="F2" s="27" t="s">
        <v>28</v>
      </c>
      <c r="G2" s="32" t="s">
        <v>17</v>
      </c>
      <c r="H2" s="33" t="s">
        <v>18</v>
      </c>
      <c r="I2" s="34" t="s">
        <v>19</v>
      </c>
      <c r="J2" s="32" t="s">
        <v>17</v>
      </c>
      <c r="K2" s="33" t="s">
        <v>18</v>
      </c>
      <c r="L2" s="34" t="s">
        <v>19</v>
      </c>
      <c r="M2" s="32" t="s">
        <v>17</v>
      </c>
      <c r="N2" s="33" t="s">
        <v>18</v>
      </c>
      <c r="O2" s="34" t="s">
        <v>19</v>
      </c>
      <c r="P2" s="98"/>
      <c r="Q2" s="98"/>
      <c r="R2" s="98"/>
      <c r="S2" s="86"/>
    </row>
    <row r="3" spans="1:19" s="73" customFormat="1" ht="15" customHeight="1" x14ac:dyDescent="0.25">
      <c r="A3" s="53" t="s">
        <v>44</v>
      </c>
      <c r="B3" s="50">
        <v>4</v>
      </c>
      <c r="C3" s="50">
        <v>43</v>
      </c>
      <c r="D3" s="51"/>
      <c r="E3" s="72"/>
      <c r="F3" s="54"/>
      <c r="G3" s="55"/>
      <c r="H3" s="56"/>
      <c r="I3" s="57"/>
      <c r="J3" s="56"/>
      <c r="K3" s="56"/>
      <c r="L3" s="57"/>
      <c r="M3" s="56">
        <v>0</v>
      </c>
      <c r="N3" s="56">
        <f>((9.81*TOTAL!C8/1000)^(3/2))/(4*0.1651*BattVolt*SQRT(2*PI()*1.225))/0.85</f>
        <v>5.1346150403762598</v>
      </c>
      <c r="O3" s="57">
        <v>20000</v>
      </c>
      <c r="P3" s="50"/>
      <c r="Q3" s="50"/>
      <c r="R3" s="50"/>
      <c r="S3" s="52"/>
    </row>
    <row r="4" spans="1:19" s="73" customFormat="1" ht="15" customHeight="1" x14ac:dyDescent="0.25">
      <c r="A4" s="53" t="s">
        <v>65</v>
      </c>
      <c r="B4" s="50">
        <v>4</v>
      </c>
      <c r="C4" s="50">
        <v>19</v>
      </c>
      <c r="D4" s="51"/>
      <c r="E4" s="72"/>
      <c r="F4" s="54"/>
      <c r="G4" s="55"/>
      <c r="H4" s="56"/>
      <c r="I4" s="57"/>
      <c r="J4" s="56"/>
      <c r="K4" s="56"/>
      <c r="L4" s="57"/>
      <c r="M4" s="56"/>
      <c r="N4" s="56"/>
      <c r="O4" s="57"/>
      <c r="P4" s="50"/>
      <c r="Q4" s="50"/>
      <c r="R4" s="50"/>
      <c r="S4" s="52"/>
    </row>
    <row r="5" spans="1:19" s="73" customFormat="1" ht="15" customHeight="1" x14ac:dyDescent="0.25">
      <c r="A5" s="53" t="s">
        <v>45</v>
      </c>
      <c r="B5" s="50">
        <v>4</v>
      </c>
      <c r="C5" s="50">
        <v>106</v>
      </c>
      <c r="D5" s="51"/>
      <c r="E5" s="80">
        <v>800</v>
      </c>
      <c r="F5" s="54">
        <v>2100</v>
      </c>
      <c r="G5" s="55"/>
      <c r="H5" s="56"/>
      <c r="I5" s="57"/>
      <c r="J5" s="56"/>
      <c r="K5" s="56"/>
      <c r="L5" s="57">
        <v>26</v>
      </c>
      <c r="M5" s="56"/>
      <c r="N5" s="56"/>
      <c r="O5" s="57"/>
      <c r="P5" s="50"/>
      <c r="Q5" s="50"/>
      <c r="R5" s="50"/>
      <c r="S5" s="52"/>
    </row>
    <row r="6" spans="1:19" ht="15" customHeight="1" x14ac:dyDescent="0.25">
      <c r="A6" s="28" t="s">
        <v>22</v>
      </c>
      <c r="B6" s="29">
        <f>SUM(B3:B5)</f>
        <v>12</v>
      </c>
      <c r="C6" s="37">
        <f>B3*C3+B4*C4+B5*C5</f>
        <v>672</v>
      </c>
      <c r="D6" s="6">
        <f>B3*D3+B4*D4+B5*D5</f>
        <v>0</v>
      </c>
      <c r="E6" s="37">
        <f>B5*E5</f>
        <v>3200</v>
      </c>
      <c r="F6" s="37">
        <f>B5*F5</f>
        <v>8400</v>
      </c>
      <c r="G6" s="37">
        <f t="shared" ref="G6:M6" si="0">SUM(G3:G5)</f>
        <v>0</v>
      </c>
      <c r="H6" s="37">
        <f t="shared" si="0"/>
        <v>0</v>
      </c>
      <c r="I6" s="37">
        <f t="shared" si="0"/>
        <v>0</v>
      </c>
      <c r="J6" s="37">
        <f t="shared" si="0"/>
        <v>0</v>
      </c>
      <c r="K6" s="37">
        <f t="shared" si="0"/>
        <v>0</v>
      </c>
      <c r="L6" s="37">
        <f t="shared" si="0"/>
        <v>26</v>
      </c>
      <c r="M6" s="37">
        <f t="shared" si="0"/>
        <v>0</v>
      </c>
      <c r="N6" s="37">
        <f>4*N3*1000</f>
        <v>20538.460161505038</v>
      </c>
      <c r="O6" s="37">
        <f>4*O3</f>
        <v>80000</v>
      </c>
      <c r="P6" s="37"/>
      <c r="Q6" s="37"/>
      <c r="R6" s="29"/>
      <c r="S6" s="30"/>
    </row>
    <row r="7" spans="1:19" ht="15" customHeight="1" x14ac:dyDescent="0.25">
      <c r="G7" s="47"/>
      <c r="H7" s="47"/>
      <c r="I7" s="47"/>
      <c r="J7" s="47"/>
      <c r="K7" s="47"/>
      <c r="L7" s="47"/>
      <c r="M7" s="47" t="s">
        <v>77</v>
      </c>
      <c r="N7" s="48"/>
      <c r="O7" s="48"/>
      <c r="P7" s="46"/>
      <c r="Q7" s="46"/>
    </row>
    <row r="8" spans="1:19" ht="15" customHeight="1" x14ac:dyDescent="0.25">
      <c r="G8" s="44"/>
      <c r="H8" s="44"/>
      <c r="I8" s="44"/>
      <c r="J8" s="44"/>
      <c r="K8" s="44"/>
      <c r="L8" s="44"/>
      <c r="M8" s="44"/>
      <c r="N8" s="49"/>
      <c r="O8" s="49"/>
      <c r="P8" s="46"/>
      <c r="Q8" s="46"/>
    </row>
    <row r="9" spans="1:19" ht="15" customHeight="1" x14ac:dyDescent="0.25">
      <c r="G9" s="45"/>
      <c r="H9" s="45"/>
      <c r="I9" s="45"/>
      <c r="J9" s="45"/>
      <c r="K9" s="45"/>
      <c r="L9" s="45"/>
      <c r="M9" s="45"/>
      <c r="N9" s="43"/>
      <c r="O9" s="43"/>
      <c r="P9" s="43"/>
      <c r="Q9" s="43"/>
    </row>
    <row r="10" spans="1:19" ht="15" customHeight="1" x14ac:dyDescent="0.25">
      <c r="G10" s="45"/>
      <c r="H10" s="45"/>
      <c r="I10" s="45"/>
      <c r="J10" s="45"/>
      <c r="K10" s="45"/>
      <c r="L10" s="45"/>
      <c r="M10" s="45"/>
      <c r="N10" s="43"/>
      <c r="O10" s="43"/>
      <c r="P10" s="43"/>
      <c r="Q10" s="43"/>
    </row>
    <row r="15" spans="1:19" ht="15" customHeight="1" x14ac:dyDescent="0.25">
      <c r="E15" t="s">
        <v>64</v>
      </c>
    </row>
  </sheetData>
  <mergeCells count="12">
    <mergeCell ref="R1:R2"/>
    <mergeCell ref="S1:S2"/>
    <mergeCell ref="A1:A2"/>
    <mergeCell ref="B1:B2"/>
    <mergeCell ref="C1:C2"/>
    <mergeCell ref="D1:D2"/>
    <mergeCell ref="E1:F1"/>
    <mergeCell ref="G1:I1"/>
    <mergeCell ref="J1:L1"/>
    <mergeCell ref="M1:O1"/>
    <mergeCell ref="P1:P2"/>
    <mergeCell ref="Q1:Q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"/>
  <sheetViews>
    <sheetView tabSelected="1" workbookViewId="0">
      <selection activeCell="L16" sqref="L16"/>
    </sheetView>
  </sheetViews>
  <sheetFormatPr defaultRowHeight="15" x14ac:dyDescent="0.25"/>
  <cols>
    <col min="1" max="1" width="18.7109375" customWidth="1"/>
    <col min="2" max="4" width="10.7109375" customWidth="1"/>
    <col min="5" max="5" width="12.7109375" customWidth="1"/>
    <col min="6" max="6" width="12.7109375" style="73" customWidth="1"/>
    <col min="7" max="7" width="12.7109375" customWidth="1"/>
    <col min="8" max="8" width="12.7109375" style="73" customWidth="1"/>
    <col min="9" max="9" width="12.7109375" customWidth="1"/>
    <col min="10" max="10" width="12.7109375" style="73" customWidth="1"/>
    <col min="11" max="13" width="12.7109375" customWidth="1"/>
  </cols>
  <sheetData>
    <row r="2" spans="1:13" x14ac:dyDescent="0.25">
      <c r="A2" s="87"/>
      <c r="B2" s="85" t="s">
        <v>1</v>
      </c>
      <c r="C2" s="85" t="s">
        <v>2</v>
      </c>
      <c r="D2" s="89" t="s">
        <v>3</v>
      </c>
    </row>
    <row r="3" spans="1:13" x14ac:dyDescent="0.25">
      <c r="A3" s="88"/>
      <c r="B3" s="86"/>
      <c r="C3" s="86"/>
      <c r="D3" s="90"/>
    </row>
    <row r="4" spans="1:13" x14ac:dyDescent="0.25">
      <c r="A4" s="1" t="s">
        <v>4</v>
      </c>
      <c r="B4" s="2">
        <f>ElecQty</f>
        <v>3</v>
      </c>
      <c r="C4" s="2">
        <f>ElecMass</f>
        <v>355.2</v>
      </c>
      <c r="D4" s="3">
        <f>ElecMass</f>
        <v>355.2</v>
      </c>
    </row>
    <row r="5" spans="1:13" x14ac:dyDescent="0.25">
      <c r="A5" s="4" t="s">
        <v>5</v>
      </c>
      <c r="B5" s="5">
        <f>PropQty</f>
        <v>12</v>
      </c>
      <c r="C5" s="5">
        <f>PropMass</f>
        <v>672</v>
      </c>
      <c r="D5" s="6">
        <f>PropCost</f>
        <v>0</v>
      </c>
    </row>
    <row r="6" spans="1:13" ht="15" customHeight="1" x14ac:dyDescent="0.25">
      <c r="A6" s="7" t="s">
        <v>6</v>
      </c>
      <c r="B6" s="8">
        <f>DeadMassQty</f>
        <v>7</v>
      </c>
      <c r="C6" s="8">
        <f>DeadMass</f>
        <v>1592.59</v>
      </c>
      <c r="D6" s="9">
        <f>DeadMassCost</f>
        <v>3200</v>
      </c>
      <c r="E6" s="102" t="s">
        <v>66</v>
      </c>
      <c r="F6" s="103" t="s">
        <v>67</v>
      </c>
      <c r="G6" s="102" t="s">
        <v>69</v>
      </c>
      <c r="H6" s="103" t="s">
        <v>68</v>
      </c>
      <c r="I6" s="102" t="s">
        <v>37</v>
      </c>
      <c r="J6" s="102" t="s">
        <v>76</v>
      </c>
      <c r="K6" s="102" t="s">
        <v>75</v>
      </c>
      <c r="L6" s="102" t="s">
        <v>70</v>
      </c>
      <c r="M6" s="102" t="s">
        <v>36</v>
      </c>
    </row>
    <row r="7" spans="1:13" x14ac:dyDescent="0.25">
      <c r="A7" s="10" t="s">
        <v>7</v>
      </c>
      <c r="B7" s="11">
        <f>BattQtyTot</f>
        <v>1</v>
      </c>
      <c r="C7" s="11">
        <f>BattMassTot</f>
        <v>600</v>
      </c>
      <c r="D7" s="12">
        <f>BattCostTot</f>
        <v>0</v>
      </c>
      <c r="E7" s="102"/>
      <c r="F7" s="104"/>
      <c r="G7" s="102"/>
      <c r="H7" s="104"/>
      <c r="I7" s="102"/>
      <c r="J7" s="102"/>
      <c r="K7" s="102"/>
      <c r="L7" s="102"/>
      <c r="M7" s="102"/>
    </row>
    <row r="8" spans="1:13" s="71" customFormat="1" ht="21" customHeight="1" x14ac:dyDescent="0.25">
      <c r="A8" s="69" t="s">
        <v>8</v>
      </c>
      <c r="B8" s="69">
        <f>B4+B5+B6+B7</f>
        <v>23</v>
      </c>
      <c r="C8" s="69">
        <f t="shared" ref="C8:D8" si="0">C4+C5+C6+C7</f>
        <v>3219.79</v>
      </c>
      <c r="D8" s="70">
        <f t="shared" si="0"/>
        <v>3555.2</v>
      </c>
      <c r="E8" s="69">
        <f>PropThrustNom</f>
        <v>3200</v>
      </c>
      <c r="F8" s="69">
        <f>PropThrustMax</f>
        <v>8400</v>
      </c>
      <c r="G8" s="69">
        <f>C8*2</f>
        <v>6439.58</v>
      </c>
      <c r="H8" s="69">
        <f>BattCap</f>
        <v>4500</v>
      </c>
      <c r="I8" s="69">
        <f>ElecTypPow+PropTypPow</f>
        <v>16150</v>
      </c>
      <c r="J8" s="83">
        <f>ElecTypCur+PropMaxCur</f>
        <v>81394.111969111967</v>
      </c>
      <c r="K8" s="83">
        <f>ElecTypCur+PropTypCur</f>
        <v>21932.572130617005</v>
      </c>
      <c r="L8" s="69">
        <f>(H8/1000)/((K8/1000))*60</f>
        <v>12.310457633151502</v>
      </c>
      <c r="M8" s="69">
        <f>(H8/1000)/(J8/1000)*60</f>
        <v>3.3171932645749806</v>
      </c>
    </row>
  </sheetData>
  <mergeCells count="13">
    <mergeCell ref="M6:M7"/>
    <mergeCell ref="A2:A3"/>
    <mergeCell ref="B2:B3"/>
    <mergeCell ref="C2:C3"/>
    <mergeCell ref="D2:D3"/>
    <mergeCell ref="E6:E7"/>
    <mergeCell ref="G6:G7"/>
    <mergeCell ref="I6:I7"/>
    <mergeCell ref="L6:L7"/>
    <mergeCell ref="K6:K7"/>
    <mergeCell ref="F6:F7"/>
    <mergeCell ref="H6:H7"/>
    <mergeCell ref="J6:J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workbookViewId="0">
      <selection activeCell="C20" sqref="C20"/>
    </sheetView>
  </sheetViews>
  <sheetFormatPr defaultRowHeight="15" x14ac:dyDescent="0.25"/>
  <cols>
    <col min="1" max="1" width="19.85546875" customWidth="1"/>
    <col min="2" max="3" width="17.7109375" customWidth="1"/>
    <col min="4" max="5" width="12.7109375" customWidth="1"/>
    <col min="6" max="6" width="21" customWidth="1"/>
    <col min="7" max="7" width="16.28515625" customWidth="1"/>
    <col min="8" max="8" width="14" customWidth="1"/>
  </cols>
  <sheetData>
    <row r="2" spans="1:10" s="78" customFormat="1" x14ac:dyDescent="0.25">
      <c r="A2" s="78" t="s">
        <v>47</v>
      </c>
      <c r="B2" s="78" t="s">
        <v>48</v>
      </c>
      <c r="C2" s="78" t="s">
        <v>50</v>
      </c>
      <c r="D2" s="78" t="s">
        <v>10</v>
      </c>
      <c r="E2" s="78" t="s">
        <v>12</v>
      </c>
    </row>
    <row r="3" spans="1:10" x14ac:dyDescent="0.25">
      <c r="A3" t="s">
        <v>49</v>
      </c>
      <c r="B3">
        <v>1</v>
      </c>
      <c r="C3">
        <v>2355</v>
      </c>
      <c r="F3" t="s">
        <v>51</v>
      </c>
    </row>
    <row r="4" spans="1:10" x14ac:dyDescent="0.25">
      <c r="A4" t="s">
        <v>38</v>
      </c>
      <c r="B4">
        <v>1</v>
      </c>
      <c r="C4">
        <v>118.6</v>
      </c>
    </row>
    <row r="6" spans="1:10" x14ac:dyDescent="0.25">
      <c r="B6" s="79" t="s">
        <v>53</v>
      </c>
      <c r="C6" s="79" t="s">
        <v>56</v>
      </c>
      <c r="D6" s="79" t="s">
        <v>55</v>
      </c>
      <c r="F6" s="79" t="s">
        <v>60</v>
      </c>
      <c r="G6" s="79" t="s">
        <v>61</v>
      </c>
      <c r="H6" s="79" t="s">
        <v>54</v>
      </c>
      <c r="J6" s="79" t="s">
        <v>62</v>
      </c>
    </row>
    <row r="7" spans="1:10" x14ac:dyDescent="0.25">
      <c r="A7" t="s">
        <v>52</v>
      </c>
      <c r="B7">
        <v>800</v>
      </c>
      <c r="C7">
        <v>2100</v>
      </c>
      <c r="D7">
        <v>20</v>
      </c>
      <c r="F7">
        <f>4*20</f>
        <v>80</v>
      </c>
      <c r="G7">
        <f>4*800</f>
        <v>3200</v>
      </c>
      <c r="H7">
        <f>4*2100</f>
        <v>8400</v>
      </c>
      <c r="J7">
        <f>2*(C3+C4)</f>
        <v>4947.2</v>
      </c>
    </row>
    <row r="9" spans="1:10" x14ac:dyDescent="0.25">
      <c r="B9" s="79" t="s">
        <v>59</v>
      </c>
      <c r="C9" s="79" t="s">
        <v>57</v>
      </c>
    </row>
    <row r="10" spans="1:10" x14ac:dyDescent="0.25">
      <c r="A10" t="s">
        <v>58</v>
      </c>
      <c r="B10">
        <v>4500</v>
      </c>
    </row>
    <row r="13" spans="1:10" x14ac:dyDescent="0.25">
      <c r="B13">
        <f>(B10/1000)/23</f>
        <v>0.19565217391304349</v>
      </c>
    </row>
    <row r="14" spans="1:10" x14ac:dyDescent="0.25">
      <c r="B14">
        <f>60*B13</f>
        <v>11.739130434782609</v>
      </c>
    </row>
    <row r="18" spans="3:3" x14ac:dyDescent="0.25">
      <c r="C18" t="s">
        <v>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37</vt:i4>
      </vt:variant>
    </vt:vector>
  </HeadingPairs>
  <TitlesOfParts>
    <vt:vector size="43" baseType="lpstr">
      <vt:lpstr>Battery</vt:lpstr>
      <vt:lpstr>Electronics</vt:lpstr>
      <vt:lpstr>Dead Mass</vt:lpstr>
      <vt:lpstr>Propulsion</vt:lpstr>
      <vt:lpstr>TOTAL</vt:lpstr>
      <vt:lpstr>M100 Setup</vt:lpstr>
      <vt:lpstr>BattCap</vt:lpstr>
      <vt:lpstr>BattCostTot</vt:lpstr>
      <vt:lpstr>BattDischarge</vt:lpstr>
      <vt:lpstr>BattMassTot</vt:lpstr>
      <vt:lpstr>BattNumCellsTot</vt:lpstr>
      <vt:lpstr>BattQtyTot</vt:lpstr>
      <vt:lpstr>BattVolt</vt:lpstr>
      <vt:lpstr>DeadMass</vt:lpstr>
      <vt:lpstr>DeadMassCost</vt:lpstr>
      <vt:lpstr>DeadMassQty</vt:lpstr>
      <vt:lpstr>ElecMass</vt:lpstr>
      <vt:lpstr>ElecMaxCur</vt:lpstr>
      <vt:lpstr>ElecMaxPow</vt:lpstr>
      <vt:lpstr>ElecMaxVolt</vt:lpstr>
      <vt:lpstr>ElecMinCur</vt:lpstr>
      <vt:lpstr>ElecMinPow</vt:lpstr>
      <vt:lpstr>ElecMinVolt</vt:lpstr>
      <vt:lpstr>ElecQty</vt:lpstr>
      <vt:lpstr>ElecQtyTot</vt:lpstr>
      <vt:lpstr>ElecTot</vt:lpstr>
      <vt:lpstr>ElecTypCur</vt:lpstr>
      <vt:lpstr>ElecTypPow</vt:lpstr>
      <vt:lpstr>ElecTypVolt</vt:lpstr>
      <vt:lpstr>PropCost</vt:lpstr>
      <vt:lpstr>PropMass</vt:lpstr>
      <vt:lpstr>PropMaxCur</vt:lpstr>
      <vt:lpstr>PropMaxPow</vt:lpstr>
      <vt:lpstr>PropMaxVolt</vt:lpstr>
      <vt:lpstr>PropMinCur</vt:lpstr>
      <vt:lpstr>PropMinPow</vt:lpstr>
      <vt:lpstr>PropMinVolt</vt:lpstr>
      <vt:lpstr>PropQty</vt:lpstr>
      <vt:lpstr>PropThrustMax</vt:lpstr>
      <vt:lpstr>PropThrustNom</vt:lpstr>
      <vt:lpstr>PropTypCur</vt:lpstr>
      <vt:lpstr>PropTypPow</vt:lpstr>
      <vt:lpstr>PropTypVolt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Clayton</dc:creator>
  <cp:lastModifiedBy>Tyler Clayton</cp:lastModifiedBy>
  <dcterms:created xsi:type="dcterms:W3CDTF">2015-09-11T13:57:00Z</dcterms:created>
  <dcterms:modified xsi:type="dcterms:W3CDTF">2015-10-15T03:56:29Z</dcterms:modified>
</cp:coreProperties>
</file>