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 activeTab="4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</sheets>
  <definedNames>
    <definedName name="BattCap">Battery!$F$5</definedName>
    <definedName name="BattCostTot">Battery!$D$5</definedName>
    <definedName name="BattDischarge">Battery!$H$5</definedName>
    <definedName name="BattMassTot">Battery!$C$5</definedName>
    <definedName name="BattNumCellsTot">Battery!$E$5</definedName>
    <definedName name="BattQtyTot">Battery!$B$5</definedName>
    <definedName name="BattVolt">Battery!$G$5</definedName>
    <definedName name="DeadMass">'Dead Mass'!$C$9</definedName>
    <definedName name="DeadMassCost">'Dead Mass'!$D$9</definedName>
    <definedName name="DeadMassQty">'Dead Mass'!$B$9</definedName>
    <definedName name="ElecMass">Electronics!$C$15</definedName>
    <definedName name="ElecMaxCur">Electronics!$M$15</definedName>
    <definedName name="ElecMaxPow">Electronics!$G$15</definedName>
    <definedName name="ElecMaxVolt">Electronics!$J$15</definedName>
    <definedName name="ElecMinCur">Electronics!$K$15</definedName>
    <definedName name="ElecMinPow">Electronics!$E$15</definedName>
    <definedName name="ElecMinVolt">Electronics!$H$15</definedName>
    <definedName name="ElecQty">Electronics!$B$15</definedName>
    <definedName name="ElecQtyTot">Electronics!$B$15</definedName>
    <definedName name="ElecTot">Electronics!$D$15</definedName>
    <definedName name="ElecTypCur">Electronics!$L$15</definedName>
    <definedName name="ElecTypPow">Electronics!$F$15</definedName>
    <definedName name="ElecTypVolt">Electronics!$I$15</definedName>
    <definedName name="PropCost">Propulsion!$D$6</definedName>
    <definedName name="PropMass">Propulsion!$C$6</definedName>
    <definedName name="PropMaxCur">Propulsion!$O$6</definedName>
    <definedName name="PropMaxPow">Propulsion!$I$6</definedName>
    <definedName name="PropMaxVolt">Propulsion!$L$6</definedName>
    <definedName name="PropMinCur">Propulsion!$M$6</definedName>
    <definedName name="PropMinPow">Propulsion!$G$6</definedName>
    <definedName name="PropMinVolt">Propulsion!$J$6</definedName>
    <definedName name="PropQty">Propulsion!$B$6</definedName>
    <definedName name="PropThrustMax">Propulsion!$F$6</definedName>
    <definedName name="PropThrustNom">Propulsion!$E$6</definedName>
    <definedName name="PropTypCur">Propulsion!$N$6</definedName>
    <definedName name="PropTypPow">Propulsion!$H$6</definedName>
    <definedName name="PropTypVolt">Propulsion!$K$6</definedName>
  </definedNames>
  <calcPr calcId="145621"/>
</workbook>
</file>

<file path=xl/calcChain.xml><?xml version="1.0" encoding="utf-8"?>
<calcChain xmlns="http://schemas.openxmlformats.org/spreadsheetml/2006/main">
  <c r="H8" i="5" l="1"/>
  <c r="N3" i="4"/>
  <c r="C15" i="2" l="1"/>
  <c r="C9" i="3"/>
  <c r="C5" i="1"/>
  <c r="C6" i="4"/>
  <c r="I7" i="4" l="1"/>
  <c r="E13" i="3"/>
  <c r="L11" i="2" l="1"/>
  <c r="L9" i="2"/>
  <c r="G5" i="1" l="1"/>
  <c r="F12" i="2" l="1"/>
  <c r="O6" i="4"/>
  <c r="F6" i="4"/>
  <c r="F8" i="5" s="1"/>
  <c r="E6" i="4"/>
  <c r="E8" i="5" s="1"/>
  <c r="L15" i="2"/>
  <c r="J8" i="5" s="1"/>
  <c r="F8" i="2"/>
  <c r="G15" i="2"/>
  <c r="F15" i="2"/>
  <c r="D15" i="2"/>
  <c r="G14" i="2"/>
  <c r="E5" i="1" l="1"/>
  <c r="L13" i="2"/>
  <c r="D4" i="5" l="1"/>
  <c r="E15" i="2"/>
  <c r="H15" i="2"/>
  <c r="I15" i="2"/>
  <c r="J15" i="2"/>
  <c r="K15" i="2"/>
  <c r="M15" i="2"/>
  <c r="B15" i="2"/>
  <c r="B4" i="5" s="1"/>
  <c r="C6" i="5"/>
  <c r="D9" i="3"/>
  <c r="B9" i="3"/>
  <c r="B6" i="5" s="1"/>
  <c r="G6" i="4"/>
  <c r="H6" i="4"/>
  <c r="I8" i="5" s="1"/>
  <c r="I6" i="4"/>
  <c r="J6" i="4"/>
  <c r="K6" i="4"/>
  <c r="L6" i="4"/>
  <c r="M6" i="4"/>
  <c r="D6" i="5"/>
  <c r="D6" i="4"/>
  <c r="D5" i="5" s="1"/>
  <c r="B6" i="4"/>
  <c r="B5" i="5" s="1"/>
  <c r="C7" i="5"/>
  <c r="D5" i="1"/>
  <c r="D7" i="5" s="1"/>
  <c r="F5" i="1"/>
  <c r="M8" i="5" s="1"/>
  <c r="H5" i="1"/>
  <c r="B5" i="1"/>
  <c r="B7" i="5" s="1"/>
  <c r="G4" i="1"/>
  <c r="C5" i="5" l="1"/>
  <c r="C4" i="5"/>
  <c r="D8" i="5"/>
  <c r="B8" i="5"/>
  <c r="C8" i="5" l="1"/>
  <c r="N6" i="4" s="1"/>
  <c r="H7" i="4" s="1"/>
  <c r="G8" i="5" l="1"/>
  <c r="G9" i="5" s="1"/>
  <c r="G10" i="5" s="1"/>
  <c r="K8" i="5"/>
  <c r="L8" i="5" s="1"/>
</calcChain>
</file>

<file path=xl/sharedStrings.xml><?xml version="1.0" encoding="utf-8"?>
<sst xmlns="http://schemas.openxmlformats.org/spreadsheetml/2006/main" count="123" uniqueCount="84">
  <si>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</si>
  <si>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</si>
  <si>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</si>
  <si>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</si>
  <si>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</si>
  <si>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</si>
  <si>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</si>
  <si>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</si>
  <si>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</si>
  <si>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</si>
  <si>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</si>
  <si>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</si>
  <si>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</si>
  <si>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</si>
  <si>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</si>
  <si>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</si>
  <si>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</si>
  <si>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</si>
  <si>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</si>
  <si>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</si>
  <si>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</si>
  <si>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</si>
  <si>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http://www.dji.com/product/e300/spec</t>
  </si>
  <si>
    <t>Total</t>
  </si>
  <si>
    <t>Dead Mass</t>
  </si>
  <si>
    <t>Customer Payload (1lb)</t>
  </si>
  <si>
    <t>Propulsion</t>
  </si>
  <si>
    <t>Thrust [g]</t>
  </si>
  <si>
    <t>nom</t>
  </si>
  <si>
    <t>max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</si>
  <si>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</si>
  <si>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</si>
  <si>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</si>
  <si>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</si>
  <si>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</si>
  <si>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</si>
  <si>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</si>
  <si>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Est Max Flt Time [min]</t>
  </si>
  <si>
    <t>Typ Power [mW]</t>
  </si>
  <si>
    <t>Guidance</t>
  </si>
  <si>
    <t>ASUS Xtion Pro Live</t>
  </si>
  <si>
    <t>Pixhawk</t>
  </si>
  <si>
    <t>3DR Radio</t>
  </si>
  <si>
    <t>Prop Guards</t>
  </si>
  <si>
    <t>VICON IR Orbs</t>
  </si>
  <si>
    <t>Landing Gear</t>
  </si>
  <si>
    <t>DJI 9443 Propellors</t>
  </si>
  <si>
    <t>Turnigy Nano-Tech LiPo Battery</t>
  </si>
  <si>
    <t>http://www.hobbyking.com/hobbyking/store/__61487__AlienCopter_Bee_full_Carbon_KIT_W_Clean_and_Dirty_System_and_PDB_W_BEC.html</t>
  </si>
  <si>
    <t>ALIEN BEE Quad Structure</t>
  </si>
  <si>
    <t>LIDAR-Lite v2</t>
  </si>
  <si>
    <t>http://www.hardkernel.com/main/products/prdt_info.php?g_code=G143452239825&amp;tab_idx=1</t>
  </si>
  <si>
    <t>https://store.3drobotics.com/products/3dr-radio-set</t>
  </si>
  <si>
    <t>http://diydrones.com/profiles/blogs/pixhawk-and-apm-power-consumption</t>
  </si>
  <si>
    <t xml:space="preserve">   </t>
  </si>
  <si>
    <t>FLIR Lepton LWIR Camera</t>
  </si>
  <si>
    <t>Windows Lifecam Studio Camera</t>
  </si>
  <si>
    <t>Nom Thrust Avail [g]</t>
  </si>
  <si>
    <t>Max Thrust Avail [g]</t>
  </si>
  <si>
    <t>Ideal Thrust Needed [g]</t>
  </si>
  <si>
    <t>Battery Cap [mAh]</t>
  </si>
  <si>
    <t>Max Current [mA]</t>
  </si>
  <si>
    <t>Typ Current [mA]</t>
  </si>
  <si>
    <t>Est Typ Flt Time [min]</t>
  </si>
  <si>
    <t>SunnySky V2216-12 KV800 II </t>
  </si>
  <si>
    <t>http://www.buddyrc.com/sunnysky-v2216-12-800kv-ii-brushless-motor.html</t>
  </si>
  <si>
    <t>for hover</t>
  </si>
  <si>
    <t>per motor</t>
  </si>
  <si>
    <t>Turnigy Multistart 10.0</t>
  </si>
  <si>
    <t>Turnigy Nano-Tech Lipo Battery 4.5</t>
  </si>
  <si>
    <t>quad</t>
  </si>
  <si>
    <t>pdb</t>
  </si>
  <si>
    <t>Odroid XU4 &amp; case &amp; dongle</t>
  </si>
  <si>
    <t>SunnySky V2216-12</t>
  </si>
  <si>
    <t>a</t>
  </si>
  <si>
    <t>b</t>
  </si>
  <si>
    <t>c</t>
  </si>
  <si>
    <t>based off thrust values</t>
  </si>
  <si>
    <t>aT^2+bT+c</t>
  </si>
  <si>
    <t>I =</t>
  </si>
  <si>
    <t>Odroid Xu4 expansion shield</t>
  </si>
  <si>
    <t>FrSky TFR4 Radio Reciever</t>
  </si>
  <si>
    <t>20 A ESC</t>
  </si>
  <si>
    <t>*80% of total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</si>
</sst>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wrapText="1"/>
    </xf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2" xfId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3" xfId="0" applyFont="1" applyFill="1" applyBorder="1"/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164" fontId="0" fillId="8" borderId="13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8" borderId="15" xfId="0" applyFont="1" applyFill="1" applyBorder="1"/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15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4" borderId="13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3" xfId="1" applyFill="1" applyBorder="1" applyAlignment="1">
      <alignment wrapText="1"/>
    </xf>
    <xf numFmtId="0" fontId="1" fillId="10" borderId="13" xfId="0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2" borderId="14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6" xfId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/>
    <xf numFmtId="0" fontId="1" fillId="10" borderId="13" xfId="0" applyFont="1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0" fontId="6" fillId="0" borderId="0" xfId="0" applyFont="1"/>
    <xf numFmtId="11" fontId="0" fillId="0" borderId="0" xfId="0" applyNumberFormat="1" applyFont="1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/>
    </xf>
    <xf numFmtId="0" fontId="7" fillId="2" borderId="15" xfId="0" applyFont="1" applyFill="1" applyBorder="1"/>
    <xf numFmtId="11" fontId="0" fillId="8" borderId="0" xfId="0" applyNumberFormat="1" applyFill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rdkernel.com/main/products/prdt_info.php?g_code=G143452239825&amp;tab_idx=1" TargetMode="External"/><Relationship Id="rId2" Type="http://schemas.openxmlformats.org/officeDocument/2006/relationships/hyperlink" Target="http://diydrones.com/profiles/blogs/pixhawk-and-apm-power-consumption" TargetMode="External"/><Relationship Id="rId1" Type="http://schemas.openxmlformats.org/officeDocument/2006/relationships/hyperlink" Target="http://developer.download.nvidia.com/embedded/jetson/TK1/docs/Jetson_platform_brief_May2014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2" zoomScaleNormal="100" workbookViewId="0">
      <selection activeCell="A14" sqref="A14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108" t="s">
        <v>34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x14ac:dyDescent="0.25">
      <c r="A2" s="111" t="s">
        <v>0</v>
      </c>
      <c r="B2" s="109" t="s">
        <v>1</v>
      </c>
      <c r="C2" s="109" t="s">
        <v>2</v>
      </c>
      <c r="D2" s="113" t="s">
        <v>3</v>
      </c>
      <c r="E2" s="115" t="s">
        <v>30</v>
      </c>
      <c r="F2" s="117" t="s">
        <v>31</v>
      </c>
      <c r="G2" s="119" t="s">
        <v>32</v>
      </c>
      <c r="H2" s="117" t="s">
        <v>33</v>
      </c>
      <c r="I2" s="121" t="s">
        <v>13</v>
      </c>
      <c r="J2" s="121" t="s">
        <v>14</v>
      </c>
      <c r="K2" s="121" t="s">
        <v>15</v>
      </c>
      <c r="L2" s="109" t="s">
        <v>16</v>
      </c>
    </row>
    <row r="3" spans="1:12" x14ac:dyDescent="0.25">
      <c r="A3" s="112"/>
      <c r="B3" s="110"/>
      <c r="C3" s="110"/>
      <c r="D3" s="114"/>
      <c r="E3" s="116"/>
      <c r="F3" s="118"/>
      <c r="G3" s="120"/>
      <c r="H3" s="116"/>
      <c r="I3" s="122"/>
      <c r="J3" s="122"/>
      <c r="K3" s="122"/>
      <c r="L3" s="110"/>
    </row>
    <row r="4" spans="1:12" x14ac:dyDescent="0.25">
      <c r="A4" s="36" t="s">
        <v>47</v>
      </c>
      <c r="B4" s="37">
        <v>1</v>
      </c>
      <c r="C4" s="37">
        <v>815.8</v>
      </c>
      <c r="D4" s="38"/>
      <c r="E4" s="53">
        <v>4</v>
      </c>
      <c r="F4" s="53">
        <v>10000</v>
      </c>
      <c r="G4" s="53">
        <f>3.7*E4</f>
        <v>14.8</v>
      </c>
      <c r="H4" s="53">
        <v>10</v>
      </c>
      <c r="I4" s="36"/>
      <c r="J4" s="36"/>
      <c r="K4" s="36"/>
      <c r="L4" s="36"/>
    </row>
    <row r="5" spans="1:12" x14ac:dyDescent="0.25">
      <c r="A5" s="50" t="s">
        <v>23</v>
      </c>
      <c r="B5" s="51">
        <f t="shared" ref="B5:H5" si="0">B4</f>
        <v>1</v>
      </c>
      <c r="C5" s="51">
        <f>B4*C4</f>
        <v>815.8</v>
      </c>
      <c r="D5" s="52">
        <f t="shared" si="0"/>
        <v>0</v>
      </c>
      <c r="E5" s="51">
        <f t="shared" si="0"/>
        <v>4</v>
      </c>
      <c r="F5" s="51">
        <f t="shared" si="0"/>
        <v>10000</v>
      </c>
      <c r="G5" s="51">
        <f t="shared" si="0"/>
        <v>14.8</v>
      </c>
      <c r="H5" s="51">
        <f t="shared" si="0"/>
        <v>10</v>
      </c>
      <c r="I5" s="51"/>
      <c r="J5" s="51"/>
      <c r="K5" s="51"/>
      <c r="L5" s="50"/>
    </row>
    <row r="8" spans="1:12" x14ac:dyDescent="0.25">
      <c r="A8" t="s">
        <v>68</v>
      </c>
      <c r="B8">
        <v>1</v>
      </c>
      <c r="C8">
        <v>815.8</v>
      </c>
      <c r="E8">
        <v>4</v>
      </c>
      <c r="F8">
        <v>10000</v>
      </c>
      <c r="G8">
        <v>14.8</v>
      </c>
      <c r="H8">
        <v>10</v>
      </c>
    </row>
    <row r="9" spans="1:12" x14ac:dyDescent="0.25">
      <c r="A9" t="s">
        <v>69</v>
      </c>
      <c r="B9">
        <v>1</v>
      </c>
      <c r="C9">
        <v>482.7</v>
      </c>
      <c r="E9">
        <v>4</v>
      </c>
      <c r="F9">
        <v>4500</v>
      </c>
      <c r="G9">
        <v>14.8</v>
      </c>
      <c r="H9">
        <v>20</v>
      </c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19" sqref="A19"/>
    </sheetView>
  </sheetViews>
  <sheetFormatPr defaultRowHeight="15" customHeight="1" x14ac:dyDescent="0.25"/>
  <cols>
    <col min="1" max="1" width="30.7109375" customWidth="1"/>
    <col min="4" max="4" width="9.140625" customWidth="1"/>
    <col min="8" max="10" width="9.140625" customWidth="1"/>
    <col min="14" max="14" width="45.7109375" customWidth="1"/>
  </cols>
  <sheetData>
    <row r="1" spans="1:14" s="31" customFormat="1" ht="18" customHeight="1" x14ac:dyDescent="0.25">
      <c r="A1" s="108" t="s">
        <v>35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4" ht="15" customHeight="1" x14ac:dyDescent="0.25">
      <c r="A2" s="111" t="s">
        <v>9</v>
      </c>
      <c r="B2" s="109" t="s">
        <v>1</v>
      </c>
      <c r="C2" s="109" t="s">
        <v>2</v>
      </c>
      <c r="D2" s="113" t="s">
        <v>3</v>
      </c>
      <c r="E2" s="123" t="s">
        <v>10</v>
      </c>
      <c r="F2" s="124"/>
      <c r="G2" s="125"/>
      <c r="H2" s="123" t="s">
        <v>11</v>
      </c>
      <c r="I2" s="124"/>
      <c r="J2" s="125"/>
      <c r="K2" s="123" t="s">
        <v>12</v>
      </c>
      <c r="L2" s="124"/>
      <c r="M2" s="125"/>
      <c r="N2" s="109" t="s">
        <v>16</v>
      </c>
    </row>
    <row r="3" spans="1:14" ht="15" customHeight="1" x14ac:dyDescent="0.25">
      <c r="A3" s="112"/>
      <c r="B3" s="110"/>
      <c r="C3" s="110"/>
      <c r="D3" s="114"/>
      <c r="E3" s="13" t="s">
        <v>17</v>
      </c>
      <c r="F3" s="14" t="s">
        <v>18</v>
      </c>
      <c r="G3" s="15" t="s">
        <v>19</v>
      </c>
      <c r="H3" s="13" t="s">
        <v>17</v>
      </c>
      <c r="I3" s="14" t="s">
        <v>18</v>
      </c>
      <c r="J3" s="15" t="s">
        <v>19</v>
      </c>
      <c r="K3" s="13" t="s">
        <v>17</v>
      </c>
      <c r="L3" s="14" t="s">
        <v>18</v>
      </c>
      <c r="M3" s="15" t="s">
        <v>19</v>
      </c>
      <c r="N3" s="110"/>
    </row>
    <row r="4" spans="1:14" ht="15" customHeight="1" x14ac:dyDescent="0.25">
      <c r="A4" s="76" t="s">
        <v>20</v>
      </c>
      <c r="B4" s="77">
        <v>0</v>
      </c>
      <c r="C4" s="78">
        <v>143.9</v>
      </c>
      <c r="D4" s="79">
        <v>192</v>
      </c>
      <c r="E4" s="80">
        <v>3470</v>
      </c>
      <c r="F4" s="81">
        <v>4000</v>
      </c>
      <c r="G4" s="77">
        <v>12490</v>
      </c>
      <c r="H4" s="80">
        <v>9.5</v>
      </c>
      <c r="I4" s="81"/>
      <c r="J4" s="77">
        <v>13.5</v>
      </c>
      <c r="K4" s="98">
        <v>365.26315789473682</v>
      </c>
      <c r="L4" s="99">
        <v>333.33333333333331</v>
      </c>
      <c r="M4" s="97">
        <v>1040.8333333333333</v>
      </c>
      <c r="N4" s="82" t="s">
        <v>21</v>
      </c>
    </row>
    <row r="5" spans="1:14" s="100" customFormat="1" ht="15" customHeight="1" x14ac:dyDescent="0.25">
      <c r="A5" s="106" t="s">
        <v>80</v>
      </c>
      <c r="B5" s="97">
        <v>1</v>
      </c>
      <c r="C5" s="78"/>
      <c r="D5" s="79"/>
      <c r="E5" s="99"/>
      <c r="F5" s="99"/>
      <c r="G5" s="97"/>
      <c r="H5" s="99"/>
      <c r="I5" s="99"/>
      <c r="J5" s="97"/>
      <c r="K5" s="99"/>
      <c r="L5" s="99"/>
      <c r="M5" s="97"/>
      <c r="N5" s="82"/>
    </row>
    <row r="6" spans="1:14" s="86" customFormat="1" ht="15" customHeight="1" x14ac:dyDescent="0.25">
      <c r="A6" s="76" t="s">
        <v>72</v>
      </c>
      <c r="B6" s="77">
        <v>1</v>
      </c>
      <c r="C6" s="78">
        <v>83.5</v>
      </c>
      <c r="D6" s="79"/>
      <c r="E6" s="81"/>
      <c r="F6" s="81">
        <v>4000</v>
      </c>
      <c r="G6" s="77"/>
      <c r="H6" s="81"/>
      <c r="I6" s="81">
        <v>5</v>
      </c>
      <c r="J6" s="77"/>
      <c r="K6" s="99"/>
      <c r="L6" s="99">
        <v>4000</v>
      </c>
      <c r="M6" s="97"/>
      <c r="N6" s="82" t="s">
        <v>51</v>
      </c>
    </row>
    <row r="7" spans="1:14" s="100" customFormat="1" ht="15" customHeight="1" x14ac:dyDescent="0.25">
      <c r="A7" s="106" t="s">
        <v>81</v>
      </c>
      <c r="B7" s="97">
        <v>1</v>
      </c>
      <c r="C7" s="78"/>
      <c r="D7" s="79"/>
      <c r="E7" s="99"/>
      <c r="F7" s="99"/>
      <c r="G7" s="97"/>
      <c r="H7" s="99"/>
      <c r="I7" s="99"/>
      <c r="J7" s="97"/>
      <c r="K7" s="99"/>
      <c r="L7" s="99"/>
      <c r="M7" s="97"/>
      <c r="N7" s="82"/>
    </row>
    <row r="8" spans="1:14" s="86" customFormat="1" ht="15" customHeight="1" x14ac:dyDescent="0.25">
      <c r="A8" s="76" t="s">
        <v>42</v>
      </c>
      <c r="B8" s="77">
        <v>0</v>
      </c>
      <c r="C8" s="78">
        <v>26.2</v>
      </c>
      <c r="D8" s="79"/>
      <c r="E8" s="81"/>
      <c r="F8" s="81">
        <f>I8*L8</f>
        <v>330</v>
      </c>
      <c r="G8" s="77"/>
      <c r="H8" s="81"/>
      <c r="I8" s="81">
        <v>3.3</v>
      </c>
      <c r="J8" s="77"/>
      <c r="K8" s="81"/>
      <c r="L8" s="81">
        <v>100</v>
      </c>
      <c r="M8" s="77"/>
      <c r="N8" s="82" t="s">
        <v>52</v>
      </c>
    </row>
    <row r="9" spans="1:14" s="31" customFormat="1" ht="15" customHeight="1" x14ac:dyDescent="0.25">
      <c r="A9" s="76" t="s">
        <v>39</v>
      </c>
      <c r="B9" s="77">
        <v>1</v>
      </c>
      <c r="C9" s="78">
        <v>462.2</v>
      </c>
      <c r="D9" s="79"/>
      <c r="E9" s="81"/>
      <c r="F9" s="81">
        <v>12000</v>
      </c>
      <c r="G9" s="77">
        <v>12000</v>
      </c>
      <c r="H9" s="81">
        <v>11.1</v>
      </c>
      <c r="I9" s="81">
        <v>14.8</v>
      </c>
      <c r="J9" s="77">
        <v>25</v>
      </c>
      <c r="K9" s="81"/>
      <c r="L9" s="96">
        <f>F9/I9</f>
        <v>810.81081081081072</v>
      </c>
      <c r="M9" s="77"/>
      <c r="N9" s="82"/>
    </row>
    <row r="10" spans="1:14" s="31" customFormat="1" ht="15" customHeight="1" x14ac:dyDescent="0.25">
      <c r="A10" s="76" t="s">
        <v>40</v>
      </c>
      <c r="B10" s="77">
        <v>0</v>
      </c>
      <c r="C10" s="78"/>
      <c r="D10" s="79"/>
      <c r="E10" s="81"/>
      <c r="F10" s="81">
        <v>2500</v>
      </c>
      <c r="G10" s="77">
        <v>2500</v>
      </c>
      <c r="H10" s="81"/>
      <c r="I10" s="81">
        <v>5</v>
      </c>
      <c r="J10" s="77">
        <v>5</v>
      </c>
      <c r="K10" s="81"/>
      <c r="L10" s="81">
        <v>500</v>
      </c>
      <c r="M10" s="77">
        <v>500</v>
      </c>
      <c r="N10" s="82"/>
    </row>
    <row r="11" spans="1:14" s="31" customFormat="1" ht="15" customHeight="1" x14ac:dyDescent="0.25">
      <c r="A11" s="76" t="s">
        <v>41</v>
      </c>
      <c r="B11" s="77">
        <v>1</v>
      </c>
      <c r="C11" s="78">
        <v>40.299999999999997</v>
      </c>
      <c r="D11" s="79"/>
      <c r="E11" s="81"/>
      <c r="F11" s="81">
        <v>1500</v>
      </c>
      <c r="G11" s="77"/>
      <c r="H11" s="81"/>
      <c r="I11" s="81">
        <v>5</v>
      </c>
      <c r="J11" s="77"/>
      <c r="K11" s="81"/>
      <c r="L11" s="81">
        <f>F11/I11</f>
        <v>300</v>
      </c>
      <c r="M11" s="77"/>
      <c r="N11" s="82" t="s">
        <v>53</v>
      </c>
    </row>
    <row r="12" spans="1:14" s="86" customFormat="1" ht="15" customHeight="1" x14ac:dyDescent="0.25">
      <c r="A12" s="76" t="s">
        <v>50</v>
      </c>
      <c r="B12" s="77">
        <v>0</v>
      </c>
      <c r="C12" s="78">
        <v>28.1</v>
      </c>
      <c r="D12" s="79">
        <v>114.95</v>
      </c>
      <c r="E12" s="81"/>
      <c r="F12" s="81">
        <f>I12*L12</f>
        <v>550</v>
      </c>
      <c r="G12" s="77"/>
      <c r="H12" s="81">
        <v>4.75</v>
      </c>
      <c r="I12" s="81">
        <v>5.5</v>
      </c>
      <c r="J12" s="77">
        <v>6</v>
      </c>
      <c r="K12" s="81">
        <v>2</v>
      </c>
      <c r="L12" s="81">
        <v>100</v>
      </c>
      <c r="M12" s="77">
        <v>100</v>
      </c>
      <c r="N12" s="82"/>
    </row>
    <row r="13" spans="1:14" s="31" customFormat="1" ht="15" customHeight="1" x14ac:dyDescent="0.25">
      <c r="A13" s="76" t="s">
        <v>55</v>
      </c>
      <c r="B13" s="77">
        <v>1</v>
      </c>
      <c r="C13" s="78">
        <v>0.55000000000000004</v>
      </c>
      <c r="D13" s="79">
        <v>259.95</v>
      </c>
      <c r="E13" s="81">
        <v>4</v>
      </c>
      <c r="F13" s="81">
        <v>150</v>
      </c>
      <c r="G13" s="77"/>
      <c r="H13" s="81">
        <v>2.5</v>
      </c>
      <c r="I13" s="81">
        <v>2.8</v>
      </c>
      <c r="J13" s="77">
        <v>3.1</v>
      </c>
      <c r="K13" s="87"/>
      <c r="L13" s="88">
        <f>F13/I13</f>
        <v>53.571428571428577</v>
      </c>
      <c r="M13" s="76"/>
      <c r="N13" s="35"/>
    </row>
    <row r="14" spans="1:14" s="86" customFormat="1" ht="15" customHeight="1" x14ac:dyDescent="0.25">
      <c r="A14" s="89" t="s">
        <v>56</v>
      </c>
      <c r="B14" s="90">
        <v>0</v>
      </c>
      <c r="C14" s="91">
        <v>128</v>
      </c>
      <c r="D14" s="92">
        <v>69.989999999999995</v>
      </c>
      <c r="E14" s="93"/>
      <c r="F14" s="93">
        <v>2500</v>
      </c>
      <c r="G14" s="90">
        <f>J14*M14</f>
        <v>2500</v>
      </c>
      <c r="H14" s="93"/>
      <c r="I14" s="93">
        <v>5</v>
      </c>
      <c r="J14" s="90">
        <v>5</v>
      </c>
      <c r="K14" s="94"/>
      <c r="L14" s="94">
        <v>500</v>
      </c>
      <c r="M14" s="89">
        <v>500</v>
      </c>
      <c r="N14" s="95"/>
    </row>
    <row r="15" spans="1:14" ht="15" customHeight="1" x14ac:dyDescent="0.25">
      <c r="A15" s="16" t="s">
        <v>23</v>
      </c>
      <c r="B15" s="17">
        <f>SUM(B4:B14)</f>
        <v>6</v>
      </c>
      <c r="C15" s="45">
        <f>B4*C4+B6*C6+B8*C8+B9*C9+B10*C10+B11*C11+B12*C12+B13*C13+B14*C14+B5*C5+B7*C7</f>
        <v>586.54999999999995</v>
      </c>
      <c r="D15" s="46">
        <f>B4*D4+B6*D6+B8*D8+B9*D9+B10*D10+B11*D11+B12*D12+B13*D13+D14*B14</f>
        <v>259.95</v>
      </c>
      <c r="E15" s="45">
        <f>SUM(E4:E14)</f>
        <v>3474</v>
      </c>
      <c r="F15" s="45">
        <f>F14*B14+B13*F13+F12*B12+B11*F11+F10*B10+B9*F9+F8*B8+B6*F6+F4*B4</f>
        <v>17650</v>
      </c>
      <c r="G15" s="45">
        <f>G14*B14+B13*G13+G12*B12+B11*G11+G10*B10+B9*G9+G8*B8+B6*G6+G4*B4</f>
        <v>12000</v>
      </c>
      <c r="H15" s="45">
        <f>SUM(H4:H14)</f>
        <v>27.85</v>
      </c>
      <c r="I15" s="45">
        <f>SUM(I4:I14)</f>
        <v>46.4</v>
      </c>
      <c r="J15" s="45">
        <f>SUM(J4:J14)</f>
        <v>57.6</v>
      </c>
      <c r="K15" s="45">
        <f>SUM(K4:K14)</f>
        <v>367.26315789473682</v>
      </c>
      <c r="L15" s="45">
        <f>L14*B14+B13*L13+L12*B12+B11*L11+L10*B10+B9*L9+L8*B8+B6*L6+L4*B4</f>
        <v>5164.3822393822393</v>
      </c>
      <c r="M15" s="45">
        <f>SUM(M4:M14)</f>
        <v>2140.833333333333</v>
      </c>
      <c r="N15" s="18"/>
    </row>
    <row r="21" spans="2:3" ht="15" customHeight="1" x14ac:dyDescent="0.25">
      <c r="B21" s="103" t="s">
        <v>64</v>
      </c>
    </row>
    <row r="22" spans="2:3" ht="15" customHeight="1" x14ac:dyDescent="0.25">
      <c r="B22" s="100" t="s">
        <v>65</v>
      </c>
    </row>
    <row r="24" spans="2:3" ht="15" customHeight="1" x14ac:dyDescent="0.25">
      <c r="B24" t="s">
        <v>71</v>
      </c>
      <c r="C24">
        <v>21</v>
      </c>
    </row>
  </sheetData>
  <mergeCells count="9">
    <mergeCell ref="H2:J2"/>
    <mergeCell ref="K2:M2"/>
    <mergeCell ref="A1:N1"/>
    <mergeCell ref="N2:N3"/>
    <mergeCell ref="A2:A3"/>
    <mergeCell ref="B2:B3"/>
    <mergeCell ref="C2:C3"/>
    <mergeCell ref="D2:D3"/>
    <mergeCell ref="E2:G2"/>
  </mergeCells>
  <hyperlinks>
    <hyperlink ref="N4" r:id="rId1" display="http://developer.download.nvidia.com/embedded/jetson/TK1/docs/Jetson_platform_brief_May2014.pdf_x000a_"/>
    <hyperlink ref="N11" r:id="rId2"/>
    <hyperlink ref="N6" r:id="rId3"/>
  </hyperlinks>
  <pageMargins left="0.7" right="0.7" top="0.75" bottom="0.75" header="0.3" footer="0.3"/>
  <pageSetup orientation="portrait" r:id="rId4"/>
  <ignoredErrors>
    <ignoredError sqref="L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9" sqref="C19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108" t="s">
        <v>36</v>
      </c>
      <c r="B1" s="108"/>
      <c r="C1" s="108"/>
      <c r="D1" s="108"/>
      <c r="E1" s="108"/>
      <c r="F1" s="108"/>
      <c r="G1" s="108"/>
      <c r="H1" s="108"/>
    </row>
    <row r="2" spans="1:8" ht="15" customHeight="1" x14ac:dyDescent="0.25">
      <c r="A2" s="111" t="s">
        <v>24</v>
      </c>
      <c r="B2" s="109" t="s">
        <v>1</v>
      </c>
      <c r="C2" s="109" t="s">
        <v>2</v>
      </c>
      <c r="D2" s="113" t="s">
        <v>3</v>
      </c>
      <c r="E2" s="121" t="s">
        <v>13</v>
      </c>
      <c r="F2" s="121" t="s">
        <v>14</v>
      </c>
      <c r="G2" s="121" t="s">
        <v>15</v>
      </c>
      <c r="H2" s="109" t="s">
        <v>16</v>
      </c>
    </row>
    <row r="3" spans="1:8" ht="15" customHeight="1" x14ac:dyDescent="0.25">
      <c r="A3" s="112"/>
      <c r="B3" s="110"/>
      <c r="C3" s="110"/>
      <c r="D3" s="114"/>
      <c r="E3" s="122"/>
      <c r="F3" s="122"/>
      <c r="G3" s="122"/>
      <c r="H3" s="110"/>
    </row>
    <row r="4" spans="1:8" ht="15" customHeight="1" x14ac:dyDescent="0.25">
      <c r="A4" s="72" t="s">
        <v>49</v>
      </c>
      <c r="B4" s="73">
        <v>1</v>
      </c>
      <c r="C4" s="73">
        <v>303</v>
      </c>
      <c r="D4" s="74">
        <v>126.3</v>
      </c>
      <c r="E4" s="72"/>
      <c r="F4" s="75"/>
      <c r="G4" s="75"/>
      <c r="H4" s="75" t="s">
        <v>48</v>
      </c>
    </row>
    <row r="5" spans="1:8" s="86" customFormat="1" ht="15" customHeight="1" x14ac:dyDescent="0.25">
      <c r="A5" s="72" t="s">
        <v>44</v>
      </c>
      <c r="B5" s="73">
        <v>0</v>
      </c>
      <c r="C5" s="73">
        <v>11.2</v>
      </c>
      <c r="D5" s="74"/>
      <c r="E5" s="72"/>
      <c r="F5" s="75"/>
      <c r="G5" s="75"/>
      <c r="H5" s="75"/>
    </row>
    <row r="6" spans="1:8" s="86" customFormat="1" ht="15" customHeight="1" x14ac:dyDescent="0.25">
      <c r="A6" s="72" t="s">
        <v>45</v>
      </c>
      <c r="B6" s="73">
        <v>4</v>
      </c>
      <c r="C6" s="73">
        <v>22.5</v>
      </c>
      <c r="D6" s="74"/>
      <c r="E6" s="72"/>
      <c r="F6" s="75"/>
      <c r="G6" s="75"/>
      <c r="H6" s="75"/>
    </row>
    <row r="7" spans="1:8" s="31" customFormat="1" ht="15" customHeight="1" x14ac:dyDescent="0.25">
      <c r="A7" s="72" t="s">
        <v>43</v>
      </c>
      <c r="B7" s="73">
        <v>2</v>
      </c>
      <c r="C7" s="73">
        <v>39</v>
      </c>
      <c r="D7" s="74"/>
      <c r="E7" s="72"/>
      <c r="F7" s="75"/>
      <c r="G7" s="75"/>
      <c r="H7" s="75"/>
    </row>
    <row r="8" spans="1:8" ht="15" customHeight="1" x14ac:dyDescent="0.25">
      <c r="A8" s="19" t="s">
        <v>25</v>
      </c>
      <c r="B8" s="20">
        <v>0</v>
      </c>
      <c r="C8" s="20">
        <v>453.59</v>
      </c>
      <c r="D8" s="21">
        <v>0</v>
      </c>
      <c r="E8" s="19"/>
      <c r="F8" s="22"/>
      <c r="G8" s="22"/>
      <c r="H8" s="22"/>
    </row>
    <row r="9" spans="1:8" ht="15" customHeight="1" x14ac:dyDescent="0.25">
      <c r="A9" s="23" t="s">
        <v>23</v>
      </c>
      <c r="B9" s="24">
        <f>SUM(B4:B8)</f>
        <v>7</v>
      </c>
      <c r="C9" s="48">
        <f>C8*B8+B7*C7+C5*B5+B4*C4+C6*B6</f>
        <v>471</v>
      </c>
      <c r="D9" s="49">
        <f>SUM(D4:D8)</f>
        <v>126.3</v>
      </c>
      <c r="E9" s="25"/>
      <c r="F9" s="25"/>
      <c r="G9" s="25"/>
      <c r="H9" s="25"/>
    </row>
    <row r="13" spans="1:8" ht="15" customHeight="1" x14ac:dyDescent="0.25">
      <c r="E13">
        <f>39*2+2*C6</f>
        <v>123</v>
      </c>
    </row>
    <row r="16" spans="1:8" ht="15" customHeight="1" x14ac:dyDescent="0.25">
      <c r="A16" t="s">
        <v>70</v>
      </c>
      <c r="B16">
        <v>330</v>
      </c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J1" workbookViewId="0">
      <selection activeCell="P21" sqref="P21"/>
    </sheetView>
  </sheetViews>
  <sheetFormatPr defaultRowHeight="15" customHeight="1" x14ac:dyDescent="0.25"/>
  <cols>
    <col min="1" max="1" width="30.7109375" customWidth="1"/>
    <col min="14" max="15" width="9.7109375" customWidth="1"/>
    <col min="16" max="16" width="45.7109375" customWidth="1"/>
  </cols>
  <sheetData>
    <row r="1" spans="1:16" ht="15" customHeight="1" x14ac:dyDescent="0.25">
      <c r="A1" s="111" t="s">
        <v>26</v>
      </c>
      <c r="B1" s="109" t="s">
        <v>1</v>
      </c>
      <c r="C1" s="109" t="s">
        <v>2</v>
      </c>
      <c r="D1" s="113" t="s">
        <v>3</v>
      </c>
      <c r="E1" s="123" t="s">
        <v>27</v>
      </c>
      <c r="F1" s="125"/>
      <c r="G1" s="123" t="s">
        <v>10</v>
      </c>
      <c r="H1" s="124"/>
      <c r="I1" s="125"/>
      <c r="J1" s="123" t="s">
        <v>11</v>
      </c>
      <c r="K1" s="124"/>
      <c r="L1" s="125"/>
      <c r="M1" s="123" t="s">
        <v>12</v>
      </c>
      <c r="N1" s="124"/>
      <c r="O1" s="125"/>
      <c r="P1" s="109" t="s">
        <v>16</v>
      </c>
    </row>
    <row r="2" spans="1:16" ht="15" customHeight="1" x14ac:dyDescent="0.25">
      <c r="A2" s="112"/>
      <c r="B2" s="110"/>
      <c r="C2" s="110"/>
      <c r="D2" s="114"/>
      <c r="E2" s="26" t="s">
        <v>28</v>
      </c>
      <c r="F2" s="27" t="s">
        <v>29</v>
      </c>
      <c r="G2" s="32" t="s">
        <v>17</v>
      </c>
      <c r="H2" s="33" t="s">
        <v>18</v>
      </c>
      <c r="I2" s="34" t="s">
        <v>19</v>
      </c>
      <c r="J2" s="32" t="s">
        <v>17</v>
      </c>
      <c r="K2" s="33" t="s">
        <v>18</v>
      </c>
      <c r="L2" s="34" t="s">
        <v>19</v>
      </c>
      <c r="M2" s="32" t="s">
        <v>17</v>
      </c>
      <c r="N2" s="33" t="s">
        <v>18</v>
      </c>
      <c r="O2" s="34" t="s">
        <v>19</v>
      </c>
      <c r="P2" s="110"/>
    </row>
    <row r="3" spans="1:16" ht="15" customHeight="1" x14ac:dyDescent="0.25">
      <c r="A3" s="66" t="s">
        <v>73</v>
      </c>
      <c r="B3" s="63">
        <v>4</v>
      </c>
      <c r="C3" s="63">
        <v>68.7</v>
      </c>
      <c r="D3" s="64"/>
      <c r="E3" s="67"/>
      <c r="F3" s="68">
        <v>1200</v>
      </c>
      <c r="G3" s="69"/>
      <c r="H3" s="105"/>
      <c r="I3" s="71"/>
      <c r="J3" s="69"/>
      <c r="K3" s="70">
        <v>14.8</v>
      </c>
      <c r="L3" s="71"/>
      <c r="M3" s="69"/>
      <c r="N3" s="105">
        <f>N9*(TOTAL!C8/4)*(TOTAL!C8/4)+Propulsion!N10*(TOTAL!C8/4)+Propulsion!N11</f>
        <v>4.5238328166596862</v>
      </c>
      <c r="O3" s="71">
        <v>20000</v>
      </c>
      <c r="P3" s="65" t="s">
        <v>22</v>
      </c>
    </row>
    <row r="4" spans="1:16" s="100" customFormat="1" ht="15" customHeight="1" x14ac:dyDescent="0.25">
      <c r="A4" s="40" t="s">
        <v>82</v>
      </c>
      <c r="B4" s="41">
        <v>4</v>
      </c>
      <c r="C4" s="41">
        <v>28.4</v>
      </c>
      <c r="D4" s="42"/>
      <c r="E4" s="44"/>
      <c r="F4" s="43"/>
      <c r="G4" s="58"/>
      <c r="H4" s="107"/>
      <c r="I4" s="60"/>
      <c r="J4" s="59"/>
      <c r="K4" s="59"/>
      <c r="L4" s="60"/>
      <c r="M4" s="59"/>
      <c r="N4" s="107"/>
      <c r="O4" s="60"/>
      <c r="P4" s="39"/>
    </row>
    <row r="5" spans="1:16" s="31" customFormat="1" ht="15" customHeight="1" x14ac:dyDescent="0.25">
      <c r="A5" s="40" t="s">
        <v>46</v>
      </c>
      <c r="B5" s="41">
        <v>4</v>
      </c>
      <c r="C5" s="41">
        <v>11.1</v>
      </c>
      <c r="D5" s="42"/>
      <c r="E5" s="44"/>
      <c r="F5" s="43"/>
      <c r="G5" s="58"/>
      <c r="H5" s="59"/>
      <c r="I5" s="60"/>
      <c r="J5" s="59"/>
      <c r="K5" s="59"/>
      <c r="L5" s="60"/>
      <c r="M5" s="59"/>
      <c r="N5" s="59"/>
      <c r="O5" s="60"/>
      <c r="P5" s="39"/>
    </row>
    <row r="6" spans="1:16" ht="15" customHeight="1" x14ac:dyDescent="0.25">
      <c r="A6" s="28" t="s">
        <v>23</v>
      </c>
      <c r="B6" s="29">
        <f t="shared" ref="B6:M6" si="0">SUM(B3:B5)</f>
        <v>12</v>
      </c>
      <c r="C6" s="47">
        <f>B5*C5+B3*C3+B4*C4</f>
        <v>432.79999999999995</v>
      </c>
      <c r="D6" s="47">
        <f t="shared" si="0"/>
        <v>0</v>
      </c>
      <c r="E6" s="47">
        <f>4*E3</f>
        <v>0</v>
      </c>
      <c r="F6" s="47">
        <f>4*F3:F3</f>
        <v>4800</v>
      </c>
      <c r="G6" s="47">
        <f t="shared" si="0"/>
        <v>0</v>
      </c>
      <c r="H6" s="47">
        <f t="shared" si="0"/>
        <v>0</v>
      </c>
      <c r="I6" s="47">
        <f t="shared" si="0"/>
        <v>0</v>
      </c>
      <c r="J6" s="47">
        <f t="shared" si="0"/>
        <v>0</v>
      </c>
      <c r="K6" s="47">
        <f t="shared" si="0"/>
        <v>14.8</v>
      </c>
      <c r="L6" s="47">
        <f t="shared" si="0"/>
        <v>0</v>
      </c>
      <c r="M6" s="47">
        <f t="shared" si="0"/>
        <v>0</v>
      </c>
      <c r="N6" s="47">
        <f>4*N3*1000</f>
        <v>18095.331266638746</v>
      </c>
      <c r="O6" s="47">
        <f>4*O3</f>
        <v>80000</v>
      </c>
      <c r="P6" s="30"/>
    </row>
    <row r="7" spans="1:16" ht="15" customHeight="1" x14ac:dyDescent="0.25">
      <c r="G7" s="57"/>
      <c r="H7" s="57">
        <f>PropTypVolt*PropTypCur</f>
        <v>267810.90274625347</v>
      </c>
      <c r="I7" s="57">
        <f>PropMaxCur*PropTypVolt</f>
        <v>1184000</v>
      </c>
      <c r="J7" s="57"/>
      <c r="K7" s="57"/>
      <c r="L7" s="57"/>
      <c r="M7" s="57"/>
      <c r="N7" s="61"/>
      <c r="O7" s="61"/>
    </row>
    <row r="8" spans="1:16" ht="15" customHeight="1" x14ac:dyDescent="0.25">
      <c r="G8" s="55"/>
      <c r="H8" s="55"/>
      <c r="I8" s="55"/>
      <c r="J8" s="55"/>
      <c r="K8" s="55"/>
      <c r="L8" s="55"/>
      <c r="M8" s="55" t="s">
        <v>79</v>
      </c>
      <c r="N8" s="56" t="s">
        <v>78</v>
      </c>
      <c r="O8" s="62" t="s">
        <v>77</v>
      </c>
    </row>
    <row r="9" spans="1:16" ht="15" customHeight="1" x14ac:dyDescent="0.25">
      <c r="G9" s="56"/>
      <c r="H9" s="56"/>
      <c r="I9" s="56"/>
      <c r="J9" s="56"/>
      <c r="L9" s="56"/>
      <c r="M9" t="s">
        <v>74</v>
      </c>
      <c r="N9" s="104">
        <v>4.7180000000000004E-6</v>
      </c>
      <c r="O9" s="54"/>
    </row>
    <row r="10" spans="1:16" ht="15" customHeight="1" x14ac:dyDescent="0.25">
      <c r="G10" s="56"/>
      <c r="H10" s="56"/>
      <c r="I10" s="56"/>
      <c r="J10" s="56"/>
      <c r="K10" s="56"/>
      <c r="L10" s="56"/>
      <c r="M10" t="s">
        <v>75</v>
      </c>
      <c r="N10" s="54">
        <v>8.5039999999999994E-3</v>
      </c>
      <c r="O10" s="54"/>
    </row>
    <row r="11" spans="1:16" ht="15" customHeight="1" x14ac:dyDescent="0.25">
      <c r="M11" t="s">
        <v>76</v>
      </c>
      <c r="N11">
        <v>-1.947284</v>
      </c>
    </row>
    <row r="15" spans="1:16" ht="15" customHeight="1" x14ac:dyDescent="0.25">
      <c r="E15" t="s">
        <v>54</v>
      </c>
    </row>
  </sheetData>
  <mergeCells count="9">
    <mergeCell ref="P1:P2"/>
    <mergeCell ref="A1:A2"/>
    <mergeCell ref="B1:B2"/>
    <mergeCell ref="C1:C2"/>
    <mergeCell ref="D1:D2"/>
    <mergeCell ref="E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topLeftCell="E1" workbookViewId="0">
      <selection activeCell="H13" sqref="H13"/>
    </sheetView>
  </sheetViews>
  <sheetFormatPr defaultRowHeight="15" x14ac:dyDescent="0.25"/>
  <cols>
    <col min="1" max="1" width="18.7109375" customWidth="1"/>
    <col min="2" max="4" width="10.7109375" customWidth="1"/>
    <col min="5" max="13" width="12.7109375" customWidth="1"/>
  </cols>
  <sheetData>
    <row r="2" spans="1:13" x14ac:dyDescent="0.25">
      <c r="A2" s="111"/>
      <c r="B2" s="109" t="s">
        <v>1</v>
      </c>
      <c r="C2" s="109" t="s">
        <v>2</v>
      </c>
      <c r="D2" s="113" t="s">
        <v>3</v>
      </c>
    </row>
    <row r="3" spans="1:13" x14ac:dyDescent="0.25">
      <c r="A3" s="112"/>
      <c r="B3" s="110"/>
      <c r="C3" s="110"/>
      <c r="D3" s="114"/>
    </row>
    <row r="4" spans="1:13" x14ac:dyDescent="0.25">
      <c r="A4" s="1" t="s">
        <v>4</v>
      </c>
      <c r="B4" s="2">
        <f>ElecQty</f>
        <v>6</v>
      </c>
      <c r="C4" s="2">
        <f>ElecMass</f>
        <v>586.54999999999995</v>
      </c>
      <c r="D4" s="3">
        <f>ElecMass</f>
        <v>586.54999999999995</v>
      </c>
    </row>
    <row r="5" spans="1:13" x14ac:dyDescent="0.25">
      <c r="A5" s="4" t="s">
        <v>5</v>
      </c>
      <c r="B5" s="5">
        <f>PropQty</f>
        <v>12</v>
      </c>
      <c r="C5" s="5">
        <f>PropMass</f>
        <v>432.79999999999995</v>
      </c>
      <c r="D5" s="6">
        <f>PropCost</f>
        <v>0</v>
      </c>
    </row>
    <row r="6" spans="1:13" ht="15" customHeight="1" x14ac:dyDescent="0.25">
      <c r="A6" s="7" t="s">
        <v>6</v>
      </c>
      <c r="B6" s="8">
        <f>DeadMassQty</f>
        <v>7</v>
      </c>
      <c r="C6" s="8">
        <f>DeadMass</f>
        <v>471</v>
      </c>
      <c r="D6" s="9">
        <f>PropMass</f>
        <v>432.79999999999995</v>
      </c>
      <c r="E6" s="126" t="s">
        <v>57</v>
      </c>
      <c r="F6" s="127" t="s">
        <v>58</v>
      </c>
      <c r="G6" s="126" t="s">
        <v>59</v>
      </c>
      <c r="H6" s="127" t="s">
        <v>60</v>
      </c>
      <c r="I6" s="126" t="s">
        <v>38</v>
      </c>
      <c r="J6" s="126" t="s">
        <v>61</v>
      </c>
      <c r="K6" s="126" t="s">
        <v>62</v>
      </c>
      <c r="L6" s="126" t="s">
        <v>63</v>
      </c>
      <c r="M6" s="126" t="s">
        <v>37</v>
      </c>
    </row>
    <row r="7" spans="1:13" x14ac:dyDescent="0.25">
      <c r="A7" s="10" t="s">
        <v>7</v>
      </c>
      <c r="B7" s="11">
        <f>BattQtyTot</f>
        <v>1</v>
      </c>
      <c r="C7" s="11">
        <f>BattMassTot</f>
        <v>815.8</v>
      </c>
      <c r="D7" s="12">
        <f>BattCostTot</f>
        <v>0</v>
      </c>
      <c r="E7" s="126"/>
      <c r="F7" s="128"/>
      <c r="G7" s="126"/>
      <c r="H7" s="128"/>
      <c r="I7" s="126"/>
      <c r="J7" s="126"/>
      <c r="K7" s="126"/>
      <c r="L7" s="126"/>
      <c r="M7" s="126"/>
    </row>
    <row r="8" spans="1:13" s="85" customFormat="1" ht="21" customHeight="1" x14ac:dyDescent="0.25">
      <c r="A8" s="83" t="s">
        <v>8</v>
      </c>
      <c r="B8" s="83">
        <f>B4+B5+B6+B7</f>
        <v>26</v>
      </c>
      <c r="C8" s="83">
        <f>C4+C5+C6+C7</f>
        <v>2306.1499999999996</v>
      </c>
      <c r="D8" s="84">
        <f t="shared" ref="D8" si="0">D4+D5+D6+D7</f>
        <v>1019.3499999999999</v>
      </c>
      <c r="E8" s="101">
        <f>PropThrustNom</f>
        <v>0</v>
      </c>
      <c r="F8" s="101">
        <f>PropThrustMax</f>
        <v>4800</v>
      </c>
      <c r="G8" s="101">
        <f>2*C8</f>
        <v>4612.2999999999993</v>
      </c>
      <c r="H8" s="101">
        <f>BattCap*0.8</f>
        <v>8000</v>
      </c>
      <c r="I8" s="101">
        <f>ElecTypPow+PropTypPow</f>
        <v>17650</v>
      </c>
      <c r="J8" s="102">
        <f>ElecTypCur+PropMaxCur</f>
        <v>85164.382239382234</v>
      </c>
      <c r="K8" s="102">
        <f>ElecTypCur+PropTypCur</f>
        <v>23259.713506020984</v>
      </c>
      <c r="L8" s="101">
        <f>(H8/1000)/((K8/1000))*60</f>
        <v>20.636539649370476</v>
      </c>
      <c r="M8" s="101">
        <f>(H8/1000)/(J8/1000)*60</f>
        <v>5.6361590065997742</v>
      </c>
    </row>
    <row r="9" spans="1:13" x14ac:dyDescent="0.25">
      <c r="F9" t="s">
        <v>67</v>
      </c>
      <c r="G9">
        <f>G8/4</f>
        <v>1153.0749999999998</v>
      </c>
      <c r="H9" t="s">
        <v>83</v>
      </c>
    </row>
    <row r="10" spans="1:13" x14ac:dyDescent="0.25">
      <c r="F10" t="s">
        <v>66</v>
      </c>
      <c r="G10">
        <f>G9/2</f>
        <v>576.53749999999991</v>
      </c>
    </row>
  </sheetData>
  <mergeCells count="13">
    <mergeCell ref="A2:A3"/>
    <mergeCell ref="B2:B3"/>
    <mergeCell ref="C2:C3"/>
    <mergeCell ref="D2:D3"/>
    <mergeCell ref="M6:M7"/>
    <mergeCell ref="E6:E7"/>
    <mergeCell ref="G6:G7"/>
    <mergeCell ref="I6:I7"/>
    <mergeCell ref="L6:L7"/>
    <mergeCell ref="K6:K7"/>
    <mergeCell ref="F6:F7"/>
    <mergeCell ref="H6:H7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Battery</vt:lpstr>
      <vt:lpstr>Electronics</vt:lpstr>
      <vt:lpstr>Dead Mass</vt:lpstr>
      <vt:lpstr>Propulsion</vt:lpstr>
      <vt:lpstr>TOTAL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2015-12-03T03:53:56Z</dcterms:modified>
</cp:coreProperties>
</file>