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EA DE TRABALHO\"/>
    </mc:Choice>
  </mc:AlternateContent>
  <xr:revisionPtr revIDLastSave="0" documentId="13_ncr:1_{D900CED6-502E-49D4-9587-94D6DFA2D9B2}" xr6:coauthVersionLast="47" xr6:coauthVersionMax="47" xr10:uidLastSave="{00000000-0000-0000-0000-000000000000}"/>
  <bookViews>
    <workbookView xWindow="-120" yWindow="-120" windowWidth="20730" windowHeight="11040" activeTab="1" xr2:uid="{C3BC085F-7B02-4AF3-8F9C-50B5C9395FCC}"/>
  </bookViews>
  <sheets>
    <sheet name="2024" sheetId="4" r:id="rId1"/>
    <sheet name="2025" sheetId="1" r:id="rId2"/>
    <sheet name="13º SALARIO" sheetId="2" r:id="rId3"/>
    <sheet name="Planilha1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C5" i="6"/>
  <c r="C9" i="6"/>
  <c r="A9" i="6"/>
  <c r="I9" i="1"/>
  <c r="H9" i="1"/>
  <c r="I13" i="1"/>
  <c r="J13" i="1"/>
  <c r="H13" i="1"/>
  <c r="J21" i="1"/>
  <c r="I21" i="1"/>
  <c r="H21" i="1"/>
  <c r="G21" i="1"/>
  <c r="F21" i="1"/>
  <c r="D32" i="1"/>
  <c r="E7" i="1"/>
  <c r="E16" i="1"/>
  <c r="D26" i="1"/>
  <c r="B3" i="1"/>
  <c r="E45" i="4"/>
  <c r="M42" i="4"/>
  <c r="D42" i="4"/>
  <c r="M41" i="4"/>
  <c r="D41" i="4"/>
  <c r="L40" i="4"/>
  <c r="L43" i="4" s="1"/>
  <c r="L46" i="4" s="1"/>
  <c r="L47" i="4" s="1"/>
  <c r="J40" i="4"/>
  <c r="J43" i="4" s="1"/>
  <c r="B40" i="4"/>
  <c r="B43" i="4" s="1"/>
  <c r="B46" i="4" s="1"/>
  <c r="B47" i="4" s="1"/>
  <c r="G37" i="4"/>
  <c r="H36" i="4"/>
  <c r="G36" i="4"/>
  <c r="D36" i="4"/>
  <c r="M35" i="4"/>
  <c r="M38" i="4" s="1"/>
  <c r="L35" i="4"/>
  <c r="L38" i="4" s="1"/>
  <c r="K35" i="4"/>
  <c r="K38" i="4" s="1"/>
  <c r="J35" i="4"/>
  <c r="J38" i="4" s="1"/>
  <c r="G35" i="4"/>
  <c r="G38" i="4" s="1"/>
  <c r="C35" i="4"/>
  <c r="C38" i="4" s="1"/>
  <c r="B35" i="4"/>
  <c r="B38" i="4" s="1"/>
  <c r="M33" i="4"/>
  <c r="B33" i="4"/>
  <c r="C29" i="4"/>
  <c r="L28" i="4"/>
  <c r="M27" i="4"/>
  <c r="M40" i="4" s="1"/>
  <c r="M43" i="4" s="1"/>
  <c r="L27" i="4"/>
  <c r="K27" i="4"/>
  <c r="I27" i="4"/>
  <c r="D27" i="4"/>
  <c r="C27" i="4"/>
  <c r="K26" i="4"/>
  <c r="G26" i="4"/>
  <c r="E26" i="4"/>
  <c r="D25" i="4"/>
  <c r="D22" i="4"/>
  <c r="D40" i="4" s="1"/>
  <c r="D43" i="4" s="1"/>
  <c r="D46" i="4" s="1"/>
  <c r="D47" i="4" s="1"/>
  <c r="I20" i="4"/>
  <c r="I40" i="4" s="1"/>
  <c r="I43" i="4" s="1"/>
  <c r="E20" i="4"/>
  <c r="C19" i="4"/>
  <c r="L18" i="4"/>
  <c r="L33" i="4" s="1"/>
  <c r="H18" i="4"/>
  <c r="H40" i="4" s="1"/>
  <c r="H43" i="4" s="1"/>
  <c r="H46" i="4" s="1"/>
  <c r="H47" i="4" s="1"/>
  <c r="G18" i="4"/>
  <c r="G40" i="4" s="1"/>
  <c r="G43" i="4" s="1"/>
  <c r="F18" i="4"/>
  <c r="F40" i="4" s="1"/>
  <c r="F43" i="4" s="1"/>
  <c r="F46" i="4" s="1"/>
  <c r="F47" i="4" s="1"/>
  <c r="E18" i="4"/>
  <c r="E33" i="4" s="1"/>
  <c r="D18" i="4"/>
  <c r="D33" i="4" s="1"/>
  <c r="C18" i="4"/>
  <c r="J12" i="4"/>
  <c r="J33" i="4" s="1"/>
  <c r="F9" i="4"/>
  <c r="E35" i="4" s="1"/>
  <c r="E38" i="4" s="1"/>
  <c r="E9" i="4"/>
  <c r="D35" i="4" s="1"/>
  <c r="D38" i="4" s="1"/>
  <c r="G8" i="4"/>
  <c r="F35" i="4" s="1"/>
  <c r="F38" i="4" s="1"/>
  <c r="I7" i="4"/>
  <c r="I33" i="4" s="1"/>
  <c r="F3" i="4"/>
  <c r="F33" i="4" s="1"/>
  <c r="G18" i="2"/>
  <c r="G7" i="2"/>
  <c r="G3" i="2"/>
  <c r="G5" i="2" s="1"/>
  <c r="K40" i="4" l="1"/>
  <c r="K43" i="4" s="1"/>
  <c r="K46" i="4" s="1"/>
  <c r="K47" i="4" s="1"/>
  <c r="H35" i="4"/>
  <c r="H38" i="4" s="1"/>
  <c r="I46" i="4" s="1"/>
  <c r="I47" i="4" s="1"/>
  <c r="I35" i="4"/>
  <c r="I38" i="4" s="1"/>
  <c r="J46" i="4" s="1"/>
  <c r="J47" i="4" s="1"/>
  <c r="C40" i="4"/>
  <c r="C43" i="4" s="1"/>
  <c r="C46" i="4" s="1"/>
  <c r="C47" i="4" s="1"/>
  <c r="M46" i="4"/>
  <c r="M47" i="4" s="1"/>
  <c r="G46" i="4"/>
  <c r="G47" i="4" s="1"/>
  <c r="G33" i="4"/>
  <c r="H33" i="4"/>
  <c r="E40" i="4"/>
  <c r="C33" i="4"/>
  <c r="K33" i="4"/>
  <c r="G2" i="2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E46" i="4" l="1"/>
  <c r="E47" i="4" s="1"/>
  <c r="E43" i="4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Y42" i="1"/>
  <c r="X42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W50" i="1" l="1"/>
  <c r="W51" i="1" s="1"/>
  <c r="D50" i="1"/>
  <c r="D51" i="1" s="1"/>
  <c r="J50" i="1"/>
  <c r="J51" i="1" s="1"/>
  <c r="X50" i="1"/>
  <c r="X51" i="1" s="1"/>
  <c r="U50" i="1"/>
  <c r="U51" i="1" s="1"/>
  <c r="T50" i="1"/>
  <c r="T51" i="1" s="1"/>
  <c r="L50" i="1"/>
  <c r="L51" i="1" s="1"/>
  <c r="N50" i="1"/>
  <c r="N51" i="1" s="1"/>
  <c r="P50" i="1"/>
  <c r="P51" i="1" s="1"/>
  <c r="S50" i="1"/>
  <c r="S51" i="1" s="1"/>
  <c r="K50" i="1"/>
  <c r="K51" i="1" s="1"/>
  <c r="C50" i="1"/>
  <c r="C51" i="1" s="1"/>
  <c r="O50" i="1"/>
  <c r="O51" i="1" s="1"/>
  <c r="R50" i="1"/>
  <c r="R51" i="1" s="1"/>
  <c r="Q50" i="1"/>
  <c r="Q51" i="1" s="1"/>
  <c r="I50" i="1"/>
  <c r="I51" i="1" s="1"/>
  <c r="H50" i="1"/>
  <c r="H51" i="1" s="1"/>
  <c r="Y50" i="1"/>
  <c r="Y51" i="1" s="1"/>
  <c r="G50" i="1"/>
  <c r="G51" i="1" s="1"/>
  <c r="V50" i="1"/>
  <c r="V51" i="1" s="1"/>
  <c r="F50" i="1"/>
  <c r="F51" i="1" s="1"/>
  <c r="E50" i="1"/>
  <c r="E51" i="1" s="1"/>
  <c r="M50" i="1"/>
  <c r="M51" i="1" s="1"/>
  <c r="B50" i="1"/>
  <c r="B5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Santos</author>
  </authors>
  <commentList>
    <comment ref="C3" authorId="0" shapeId="0" xr:uid="{E441AECA-D2E1-4493-866C-D02FE6F74BEF}">
      <text>
        <r>
          <rPr>
            <b/>
            <sz val="9"/>
            <color indexed="81"/>
            <rFont val="Segoe UI"/>
            <family val="2"/>
          </rPr>
          <t>01/02/2024 - NUBANK</t>
        </r>
      </text>
    </comment>
    <comment ref="D3" authorId="0" shapeId="0" xr:uid="{B4276007-9B46-4151-B90A-1E2DBEF75511}">
      <text>
        <r>
          <rPr>
            <b/>
            <sz val="9"/>
            <color indexed="81"/>
            <rFont val="Segoe UI"/>
            <family val="2"/>
          </rPr>
          <t xml:space="preserve">03/03/2024 - ITAU
</t>
        </r>
      </text>
    </comment>
    <comment ref="E3" authorId="0" shapeId="0" xr:uid="{F68A8326-26D0-482E-833B-6CBA80A60B40}">
      <text>
        <r>
          <rPr>
            <b/>
            <sz val="9"/>
            <color indexed="81"/>
            <rFont val="Segoe UI"/>
            <family val="2"/>
          </rPr>
          <t>01/04/2024 - NUBANK</t>
        </r>
      </text>
    </comment>
    <comment ref="F3" authorId="0" shapeId="0" xr:uid="{8E32320A-5721-4C13-BCB6-B0958118EAEC}">
      <text>
        <r>
          <rPr>
            <b/>
            <sz val="9"/>
            <color indexed="81"/>
            <rFont val="Segoe UI"/>
            <family val="2"/>
          </rPr>
          <t>23/04/2024 - NUBANK</t>
        </r>
      </text>
    </comment>
    <comment ref="I3" authorId="0" shapeId="0" xr:uid="{4BC83F27-08FB-4585-9C69-88F5EBCB4049}">
      <text>
        <r>
          <rPr>
            <b/>
            <sz val="9"/>
            <color indexed="81"/>
            <rFont val="Segoe UI"/>
            <family val="2"/>
          </rPr>
          <t>20/07/2024 - NUBANK DANI</t>
        </r>
      </text>
    </comment>
    <comment ref="J3" authorId="0" shapeId="0" xr:uid="{6CC49C0D-5975-412C-B774-6A99171A26B5}">
      <text>
        <r>
          <rPr>
            <b/>
            <sz val="9"/>
            <color indexed="81"/>
            <rFont val="Segoe UI"/>
            <family val="2"/>
          </rPr>
          <t>01/09/2024 - NUBANK DANI</t>
        </r>
      </text>
    </comment>
    <comment ref="K3" authorId="0" shapeId="0" xr:uid="{EDD60521-B0E8-4A58-A45A-DF581445A7A7}">
      <text>
        <r>
          <rPr>
            <b/>
            <sz val="9"/>
            <color indexed="81"/>
            <rFont val="Segoe UI"/>
            <family val="2"/>
          </rPr>
          <t>13/03/2024 - NUBANK DANI</t>
        </r>
      </text>
    </comment>
    <comment ref="L3" authorId="0" shapeId="0" xr:uid="{2CB2F74A-4E6E-4FFD-92E6-1199FC32CEBC}">
      <text>
        <r>
          <rPr>
            <b/>
            <sz val="9"/>
            <color indexed="81"/>
            <rFont val="Segoe UI"/>
            <family val="2"/>
          </rPr>
          <t>30/10/2024 - NUBANK DANI</t>
        </r>
      </text>
    </comment>
    <comment ref="M3" authorId="0" shapeId="0" xr:uid="{91267A5C-F4BE-4CA2-98A0-AB2C219D28A9}">
      <text>
        <r>
          <rPr>
            <b/>
            <sz val="9"/>
            <color indexed="81"/>
            <rFont val="Segoe UI"/>
            <family val="2"/>
          </rPr>
          <t>30/11/2024 -  NUBANK DANI</t>
        </r>
      </text>
    </comment>
    <comment ref="C4" authorId="0" shapeId="0" xr:uid="{733D9494-BD1C-4E10-B354-E3810CAC1D91}">
      <text>
        <r>
          <rPr>
            <b/>
            <sz val="9"/>
            <color indexed="81"/>
            <rFont val="Segoe UI"/>
            <family val="2"/>
          </rPr>
          <t>01/02/2024 - NUBANK</t>
        </r>
      </text>
    </comment>
    <comment ref="D4" authorId="0" shapeId="0" xr:uid="{CFE87CC0-8B2D-48AC-8F9B-809F29172338}">
      <text>
        <r>
          <rPr>
            <b/>
            <sz val="9"/>
            <color indexed="81"/>
            <rFont val="Segoe UI"/>
            <family val="2"/>
          </rPr>
          <t>03/03/2024 - ITAU</t>
        </r>
      </text>
    </comment>
    <comment ref="E4" authorId="0" shapeId="0" xr:uid="{A2C93D16-F1E4-4BF6-85EC-8F887AAF8289}">
      <text>
        <r>
          <rPr>
            <b/>
            <sz val="9"/>
            <color indexed="81"/>
            <rFont val="Segoe UI"/>
            <family val="2"/>
          </rPr>
          <t>01/04/2024 - SANTANDER</t>
        </r>
      </text>
    </comment>
    <comment ref="F4" authorId="0" shapeId="0" xr:uid="{77AE91B8-971B-45F0-B17A-BB43F41599D5}">
      <text>
        <r>
          <rPr>
            <b/>
            <sz val="9"/>
            <color indexed="81"/>
            <rFont val="Segoe UI"/>
            <family val="2"/>
          </rPr>
          <t>10/05/2024 - Nubank Kelly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4" authorId="0" shapeId="0" xr:uid="{F98AF5A5-F977-4AD6-8BC8-ED237DB5C9B6}">
      <text>
        <r>
          <rPr>
            <b/>
            <sz val="9"/>
            <color indexed="81"/>
            <rFont val="Segoe UI"/>
            <family val="2"/>
          </rPr>
          <t>06/06/2024 - ITAU KELLY</t>
        </r>
      </text>
    </comment>
    <comment ref="H4" authorId="0" shapeId="0" xr:uid="{E33126EB-327A-475D-95F6-1D32DB1487F2}">
      <text>
        <r>
          <rPr>
            <b/>
            <sz val="9"/>
            <color indexed="81"/>
            <rFont val="Segoe UI"/>
            <family val="2"/>
          </rPr>
          <t>28/06/2024 - Itau Kelly</t>
        </r>
      </text>
    </comment>
    <comment ref="I4" authorId="0" shapeId="0" xr:uid="{4EEEBCDC-CBF6-4528-B5B8-B3CB3DFE8A59}">
      <text>
        <r>
          <rPr>
            <b/>
            <sz val="9"/>
            <color indexed="81"/>
            <rFont val="Segoe UI"/>
            <family val="2"/>
          </rPr>
          <t>30/07/2024 - PIX - ITAU DANI</t>
        </r>
      </text>
    </comment>
    <comment ref="J4" authorId="0" shapeId="0" xr:uid="{FA9C3380-5E93-4677-95D5-A7F985321112}">
      <text>
        <r>
          <rPr>
            <b/>
            <sz val="9"/>
            <color indexed="81"/>
            <rFont val="Segoe UI"/>
            <family val="2"/>
          </rPr>
          <t>01/08/2024 - ITAU DANI</t>
        </r>
      </text>
    </comment>
    <comment ref="K4" authorId="0" shapeId="0" xr:uid="{9B080A2A-2598-414A-8D73-3E6E128EEB9A}">
      <text>
        <r>
          <rPr>
            <b/>
            <sz val="9"/>
            <color indexed="81"/>
            <rFont val="Segoe UI"/>
            <family val="2"/>
          </rPr>
          <t>04/10/2024 - ITAU DANI</t>
        </r>
      </text>
    </comment>
    <comment ref="L4" authorId="0" shapeId="0" xr:uid="{0F3F7756-AEB0-4749-A325-D870A5ADCD6A}">
      <text>
        <r>
          <rPr>
            <b/>
            <sz val="9"/>
            <color indexed="81"/>
            <rFont val="Segoe UI"/>
            <family val="2"/>
          </rPr>
          <t>30/10/2024 - ITAU DANI</t>
        </r>
      </text>
    </comment>
    <comment ref="M4" authorId="0" shapeId="0" xr:uid="{EDD601AC-0A67-4A25-BCC4-64926C83B982}">
      <text>
        <r>
          <rPr>
            <b/>
            <sz val="9"/>
            <color indexed="81"/>
            <rFont val="Segoe UI"/>
            <family val="2"/>
          </rPr>
          <t>30/11/2024 -  ITAU DANI</t>
        </r>
      </text>
    </comment>
    <comment ref="C5" authorId="0" shapeId="0" xr:uid="{28974704-A442-4F55-B048-950A68268132}">
      <text>
        <r>
          <rPr>
            <b/>
            <sz val="9"/>
            <color indexed="81"/>
            <rFont val="Segoe UI"/>
            <family val="2"/>
          </rPr>
          <t>01/02/2024 - ITAU</t>
        </r>
      </text>
    </comment>
    <comment ref="D5" authorId="0" shapeId="0" xr:uid="{248E0FE9-434C-4C06-A26D-BD9D70B01EE0}">
      <text>
        <r>
          <rPr>
            <b/>
            <sz val="9"/>
            <color indexed="81"/>
            <rFont val="Segoe UI"/>
            <family val="2"/>
          </rPr>
          <t xml:space="preserve">03/03/2024 - ITAU
</t>
        </r>
      </text>
    </comment>
    <comment ref="E5" authorId="0" shapeId="0" xr:uid="{AE88BC67-C6A9-43F4-A940-B762645248B1}">
      <text>
        <r>
          <rPr>
            <b/>
            <sz val="9"/>
            <color indexed="81"/>
            <rFont val="Segoe UI"/>
            <family val="2"/>
          </rPr>
          <t>01/04/2024 -  ITAU</t>
        </r>
      </text>
    </comment>
    <comment ref="F5" authorId="0" shapeId="0" xr:uid="{254CF066-ADBE-4C32-9D05-94CAEDE6791C}">
      <text>
        <r>
          <rPr>
            <b/>
            <sz val="9"/>
            <color indexed="81"/>
            <rFont val="Segoe UI"/>
            <family val="2"/>
          </rPr>
          <t>Daniel Santos:</t>
        </r>
        <r>
          <rPr>
            <sz val="9"/>
            <color indexed="81"/>
            <rFont val="Segoe UI"/>
            <family val="2"/>
          </rPr>
          <t xml:space="preserve">
Itaú Dani - 10/05/2024
</t>
        </r>
      </text>
    </comment>
    <comment ref="G5" authorId="0" shapeId="0" xr:uid="{52DF0893-BDAD-4B6E-97F1-D9B1ACC5A55C}">
      <text>
        <r>
          <rPr>
            <b/>
            <sz val="9"/>
            <color indexed="81"/>
            <rFont val="Segoe UI"/>
            <family val="2"/>
          </rPr>
          <t>31/05/2024 - ITAU DANI</t>
        </r>
      </text>
    </comment>
    <comment ref="H5" authorId="0" shapeId="0" xr:uid="{AC767D0D-CBC6-4FEF-84B1-6717FFC67619}">
      <text>
        <r>
          <rPr>
            <b/>
            <sz val="9"/>
            <color indexed="81"/>
            <rFont val="Segoe UI"/>
            <family val="2"/>
          </rPr>
          <t>29/06/2024 - Itau Dani</t>
        </r>
      </text>
    </comment>
    <comment ref="I5" authorId="0" shapeId="0" xr:uid="{AC4F5634-8E90-48C2-BCC5-6A9272369904}">
      <text>
        <r>
          <rPr>
            <b/>
            <sz val="9"/>
            <color indexed="81"/>
            <rFont val="Segoe UI"/>
            <family val="2"/>
          </rPr>
          <t>01/08/2024 - itau dani</t>
        </r>
      </text>
    </comment>
    <comment ref="J5" authorId="0" shapeId="0" xr:uid="{CD5264CA-0053-4CDE-ABFB-14BCE15F6F25}">
      <text>
        <r>
          <rPr>
            <b/>
            <sz val="9"/>
            <color indexed="81"/>
            <rFont val="Segoe UI"/>
            <family val="2"/>
          </rPr>
          <t>01/09/2024 - ITAU DANI</t>
        </r>
      </text>
    </comment>
    <comment ref="K5" authorId="0" shapeId="0" xr:uid="{F2F4CE50-2F37-44B3-91BA-2889BC2C8959}">
      <text>
        <r>
          <rPr>
            <b/>
            <sz val="9"/>
            <color indexed="81"/>
            <rFont val="Segoe UI"/>
            <family val="2"/>
          </rPr>
          <t>04/10/2024 - ITAU DANI</t>
        </r>
      </text>
    </comment>
    <comment ref="L5" authorId="0" shapeId="0" xr:uid="{CAE69578-4B81-43C2-8F0D-B1465F24CD8E}">
      <text>
        <r>
          <rPr>
            <b/>
            <sz val="9"/>
            <color indexed="81"/>
            <rFont val="Segoe UI"/>
            <family val="2"/>
          </rPr>
          <t>30/10/2024 - ITAU DANI</t>
        </r>
      </text>
    </comment>
    <comment ref="M5" authorId="0" shapeId="0" xr:uid="{B9657EFF-D34E-4EA5-85CB-A309A478B95B}">
      <text>
        <r>
          <rPr>
            <b/>
            <sz val="9"/>
            <color indexed="81"/>
            <rFont val="Segoe UI"/>
            <family val="2"/>
          </rPr>
          <t>30/11/2024 - ITAU DANI</t>
        </r>
      </text>
    </comment>
    <comment ref="C6" authorId="0" shapeId="0" xr:uid="{50204722-C867-421E-A3C8-543F552D221D}">
      <text>
        <r>
          <rPr>
            <b/>
            <sz val="9"/>
            <color indexed="81"/>
            <rFont val="Segoe UI"/>
            <family val="2"/>
          </rPr>
          <t>01/02/2024 - NEON</t>
        </r>
      </text>
    </comment>
    <comment ref="D6" authorId="0" shapeId="0" xr:uid="{74413389-3BAA-47D7-AFE3-6BACF96BF80E}">
      <text>
        <r>
          <rPr>
            <b/>
            <sz val="9"/>
            <color indexed="81"/>
            <rFont val="Segoe UI"/>
            <family val="2"/>
          </rPr>
          <t>03/03/2024 -  NEON</t>
        </r>
      </text>
    </comment>
    <comment ref="E6" authorId="0" shapeId="0" xr:uid="{7CBF0E86-7ECD-4FC3-B129-6111F2F75D80}">
      <text>
        <r>
          <rPr>
            <b/>
            <sz val="9"/>
            <color indexed="81"/>
            <rFont val="Segoe UI"/>
            <family val="2"/>
          </rPr>
          <t>01/04/2024 - NEON</t>
        </r>
      </text>
    </comment>
    <comment ref="F6" authorId="0" shapeId="0" xr:uid="{5A35B642-B359-4E2B-A913-793EBB043A36}">
      <text>
        <r>
          <rPr>
            <b/>
            <sz val="9"/>
            <color indexed="81"/>
            <rFont val="Segoe UI"/>
            <family val="2"/>
          </rPr>
          <t>30/04/2024 - NUBANK KELLY</t>
        </r>
      </text>
    </comment>
    <comment ref="G6" authorId="0" shapeId="0" xr:uid="{A21C28C0-F4F2-426C-B67F-EAB0CB47C641}">
      <text>
        <r>
          <rPr>
            <b/>
            <sz val="9"/>
            <color indexed="81"/>
            <rFont val="Segoe UI"/>
            <family val="2"/>
          </rPr>
          <t>06/06/2024 - ITAU KELLY</t>
        </r>
      </text>
    </comment>
    <comment ref="H6" authorId="0" shapeId="0" xr:uid="{E36EFEC7-701A-48DF-8B7F-B1CFAB265B59}">
      <text>
        <r>
          <rPr>
            <b/>
            <sz val="9"/>
            <color indexed="81"/>
            <rFont val="Segoe UI"/>
            <family val="2"/>
          </rPr>
          <t xml:space="preserve">29/06/2024 - Itau Kelly
</t>
        </r>
      </text>
    </comment>
    <comment ref="I6" authorId="0" shapeId="0" xr:uid="{3A5CBA82-E4FC-44E1-80E5-BFA2400B5E7B}">
      <text>
        <r>
          <rPr>
            <b/>
            <sz val="9"/>
            <color indexed="81"/>
            <rFont val="Segoe UI"/>
            <family val="2"/>
          </rPr>
          <t>01/08/2024 - NEON KELLY</t>
        </r>
      </text>
    </comment>
    <comment ref="J6" authorId="0" shapeId="0" xr:uid="{4BDF9C03-2281-415B-92F7-C50EF5E79F94}">
      <text>
        <r>
          <rPr>
            <b/>
            <sz val="9"/>
            <color indexed="81"/>
            <rFont val="Segoe UI"/>
            <family val="2"/>
          </rPr>
          <t>01/09/2024 - NEON KELLY</t>
        </r>
      </text>
    </comment>
    <comment ref="K6" authorId="0" shapeId="0" xr:uid="{D5379161-144E-443E-9194-A7BD5DFD0059}">
      <text>
        <r>
          <rPr>
            <b/>
            <sz val="9"/>
            <color indexed="81"/>
            <rFont val="Segoe UI"/>
            <family val="2"/>
          </rPr>
          <t>04/10/2024 - NEON KELLY</t>
        </r>
      </text>
    </comment>
    <comment ref="L6" authorId="0" shapeId="0" xr:uid="{3E8C9A2C-18C3-46CE-A3A0-97C737301283}">
      <text>
        <r>
          <rPr>
            <b/>
            <sz val="9"/>
            <color indexed="81"/>
            <rFont val="Segoe UI"/>
            <family val="2"/>
          </rPr>
          <t>31/10/2024 - NEON KELLY</t>
        </r>
      </text>
    </comment>
    <comment ref="M6" authorId="0" shapeId="0" xr:uid="{15E2AE47-CD6E-4E85-9548-BEAA63B67F08}">
      <text>
        <r>
          <rPr>
            <b/>
            <sz val="9"/>
            <color indexed="81"/>
            <rFont val="Segoe UI"/>
            <family val="2"/>
          </rPr>
          <t>30/11/2024 -  NEON KELLY</t>
        </r>
      </text>
    </comment>
    <comment ref="E7" authorId="0" shapeId="0" xr:uid="{E20D16FB-80D5-4F61-B9C9-315019524B5E}">
      <text>
        <r>
          <rPr>
            <b/>
            <sz val="9"/>
            <color indexed="81"/>
            <rFont val="Segoe UI"/>
            <family val="2"/>
          </rPr>
          <t>Daniel Santos: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7" authorId="0" shapeId="0" xr:uid="{AF2D622A-E56B-4C79-ACE6-845CBFFF703C}">
      <text>
        <r>
          <rPr>
            <b/>
            <sz val="9"/>
            <color indexed="81"/>
            <rFont val="Segoe UI"/>
            <family val="2"/>
          </rPr>
          <t xml:space="preserve">08/05/2024 - Caixa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7" authorId="0" shapeId="0" xr:uid="{8FB0A45B-AD13-4FC9-908D-4B3ADDDEEFE3}">
      <text>
        <r>
          <rPr>
            <b/>
            <sz val="9"/>
            <color indexed="81"/>
            <rFont val="Segoe UI"/>
            <family val="2"/>
          </rPr>
          <t>06/06/2024 - Caixa</t>
        </r>
      </text>
    </comment>
    <comment ref="H7" authorId="0" shapeId="0" xr:uid="{B47019E4-4779-459F-BFE2-312385FF875F}">
      <text>
        <r>
          <rPr>
            <sz val="9"/>
            <color indexed="81"/>
            <rFont val="Segoe UI"/>
            <family val="2"/>
          </rPr>
          <t xml:space="preserve">08/07/2024 - CAIXA
</t>
        </r>
      </text>
    </comment>
    <comment ref="I7" authorId="0" shapeId="0" xr:uid="{4C1B548F-00AB-47DA-81EE-54270F67D5BE}">
      <text/>
    </comment>
    <comment ref="J7" authorId="0" shapeId="0" xr:uid="{C64DE7D3-ADEF-45EF-9585-8F41DA28D09D}">
      <text>
        <r>
          <rPr>
            <b/>
            <sz val="9"/>
            <color indexed="81"/>
            <rFont val="Segoe UI"/>
            <family val="2"/>
          </rPr>
          <t>09/09/2024 - CAIXA DANI</t>
        </r>
      </text>
    </comment>
    <comment ref="K7" authorId="0" shapeId="0" xr:uid="{17AEC6CF-083A-42D3-BE23-D09BBBCAB8AC}">
      <text>
        <r>
          <rPr>
            <b/>
            <sz val="9"/>
            <color indexed="81"/>
            <rFont val="Segoe UI"/>
            <family val="2"/>
          </rPr>
          <t>04/10/2024 - ITAU DANI</t>
        </r>
      </text>
    </comment>
    <comment ref="L7" authorId="0" shapeId="0" xr:uid="{DBAFA82F-C4AF-4C05-806B-856FD1A965A6}">
      <text>
        <r>
          <rPr>
            <b/>
            <sz val="9"/>
            <color indexed="81"/>
            <rFont val="Segoe UI"/>
            <family val="2"/>
          </rPr>
          <t>08/11/2024 - CAIXA DANI</t>
        </r>
      </text>
    </comment>
    <comment ref="M7" authorId="0" shapeId="0" xr:uid="{FCC1A1D1-F2EC-4B16-877C-58B6D87E5067}">
      <text>
        <r>
          <rPr>
            <b/>
            <sz val="9"/>
            <color indexed="81"/>
            <rFont val="Segoe UI"/>
            <family val="2"/>
          </rPr>
          <t>07/12/2024 - CAIXA DANI</t>
        </r>
      </text>
    </comment>
    <comment ref="C8" authorId="0" shapeId="0" xr:uid="{EF75368B-1D42-4C07-B8C7-82F0EFEC9FBB}">
      <text>
        <r>
          <rPr>
            <b/>
            <sz val="9"/>
            <color indexed="81"/>
            <rFont val="Segoe UI"/>
            <family val="2"/>
          </rPr>
          <t>01/02/2024 - NUBANK</t>
        </r>
      </text>
    </comment>
    <comment ref="D8" authorId="0" shapeId="0" xr:uid="{E2878C2C-D6F2-4E89-BE84-CB6DA66BDE01}">
      <text>
        <r>
          <rPr>
            <b/>
            <sz val="9"/>
            <color indexed="81"/>
            <rFont val="Segoe UI"/>
            <family val="2"/>
          </rPr>
          <t>08/03/2024 - SANTANDER</t>
        </r>
      </text>
    </comment>
    <comment ref="E8" authorId="0" shapeId="0" xr:uid="{8C62105F-9D09-44D2-886A-1582F64E3A12}">
      <text>
        <r>
          <rPr>
            <b/>
            <sz val="9"/>
            <color indexed="81"/>
            <rFont val="Segoe UI"/>
            <family val="2"/>
          </rPr>
          <t>02/04/2024 - CAIXA</t>
        </r>
      </text>
    </comment>
    <comment ref="F8" authorId="0" shapeId="0" xr:uid="{B6393608-226D-4EF6-8C5B-CF015CA50313}">
      <text>
        <r>
          <rPr>
            <b/>
            <sz val="9"/>
            <color indexed="81"/>
            <rFont val="Segoe UI"/>
            <family val="2"/>
          </rPr>
          <t>10/05/2024 - Click Itau Dani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8" authorId="0" shapeId="0" xr:uid="{30CB9048-2618-4305-AE6A-558B0E334EAD}">
      <text>
        <r>
          <rPr>
            <b/>
            <sz val="9"/>
            <color indexed="81"/>
            <rFont val="Segoe UI"/>
            <family val="2"/>
          </rPr>
          <t>06/06/2024 - ITAU KELLY</t>
        </r>
      </text>
    </comment>
    <comment ref="H8" authorId="0" shapeId="0" xr:uid="{2A7D8401-3D76-4984-9C29-FEE15B83E249}">
      <text>
        <r>
          <rPr>
            <b/>
            <sz val="9"/>
            <color indexed="81"/>
            <rFont val="Segoe UI"/>
            <family val="2"/>
          </rPr>
          <t>02/07/2024 - NUBANK KELLY</t>
        </r>
      </text>
    </comment>
    <comment ref="I8" authorId="0" shapeId="0" xr:uid="{F5C6E05C-4623-4E32-ABAE-CE70B7A480E2}">
      <text>
        <r>
          <rPr>
            <b/>
            <sz val="9"/>
            <color indexed="81"/>
            <rFont val="Segoe UI"/>
            <family val="2"/>
          </rPr>
          <t xml:space="preserve">01/08/2024 - ITAU DANI
</t>
        </r>
      </text>
    </comment>
    <comment ref="J8" authorId="0" shapeId="0" xr:uid="{37DC2550-5488-489C-8D7E-7A2B9F08C7C7}">
      <text>
        <r>
          <rPr>
            <b/>
            <sz val="9"/>
            <color indexed="81"/>
            <rFont val="Segoe UI"/>
            <family val="2"/>
          </rPr>
          <t>06/09/2024 - ITAU DANI</t>
        </r>
      </text>
    </comment>
    <comment ref="K8" authorId="0" shapeId="0" xr:uid="{2B977436-379F-4C9C-A403-C22CD222CD72}">
      <text>
        <r>
          <rPr>
            <b/>
            <sz val="9"/>
            <color indexed="81"/>
            <rFont val="Segoe UI"/>
            <family val="2"/>
          </rPr>
          <t>04/10/2024 - ITAU DANI</t>
        </r>
      </text>
    </comment>
    <comment ref="L8" authorId="0" shapeId="0" xr:uid="{22AC9581-5239-4993-9D18-31F3572961A5}">
      <text>
        <r>
          <rPr>
            <sz val="9"/>
            <color indexed="81"/>
            <rFont val="Segoe UI"/>
            <family val="2"/>
          </rPr>
          <t xml:space="preserve">30/10/2024 - ITAU DANI </t>
        </r>
      </text>
    </comment>
    <comment ref="M8" authorId="0" shapeId="0" xr:uid="{8E9EB1D2-BA73-44B3-ADF0-0582D993D231}">
      <text>
        <r>
          <rPr>
            <b/>
            <sz val="9"/>
            <color indexed="81"/>
            <rFont val="Segoe UI"/>
            <family val="2"/>
          </rPr>
          <t>03/12/2024 - ITAU DANI</t>
        </r>
      </text>
    </comment>
    <comment ref="C9" authorId="0" shapeId="0" xr:uid="{F18EA965-D068-4682-92CF-8FFC5720FE7D}">
      <text>
        <r>
          <rPr>
            <b/>
            <sz val="9"/>
            <color indexed="81"/>
            <rFont val="Segoe UI"/>
            <family val="2"/>
          </rPr>
          <t xml:space="preserve">03/02/2024 - NUBANK KELLY
</t>
        </r>
      </text>
    </comment>
    <comment ref="D9" authorId="0" shapeId="0" xr:uid="{19CEC899-EC52-4469-82F7-0E996777AD07}">
      <text>
        <r>
          <rPr>
            <b/>
            <sz val="9"/>
            <color indexed="81"/>
            <rFont val="Segoe UI"/>
            <family val="2"/>
          </rPr>
          <t xml:space="preserve">03/03/2024 -ITAU
</t>
        </r>
      </text>
    </comment>
    <comment ref="E9" authorId="0" shapeId="0" xr:uid="{9163A09A-22E8-4E9F-A45E-6FA165806493}">
      <text>
        <r>
          <rPr>
            <b/>
            <sz val="9"/>
            <color indexed="81"/>
            <rFont val="Segoe UI"/>
            <family val="2"/>
          </rPr>
          <t xml:space="preserve">02/04/2024 - NEON
</t>
        </r>
      </text>
    </comment>
    <comment ref="F9" authorId="0" shapeId="0" xr:uid="{767F45F1-32BB-4D21-BF14-6E1B49261185}">
      <text>
        <r>
          <rPr>
            <b/>
            <sz val="9"/>
            <color indexed="81"/>
            <rFont val="Segoe UI"/>
            <family val="2"/>
          </rPr>
          <t>10/05/2024 – ITAU DANI</t>
        </r>
      </text>
    </comment>
    <comment ref="G9" authorId="0" shapeId="0" xr:uid="{B8728730-8E2A-4E11-99A8-10964D4DE9BF}">
      <text>
        <r>
          <rPr>
            <b/>
            <sz val="9"/>
            <color indexed="81"/>
            <rFont val="Segoe UI"/>
            <family val="2"/>
          </rPr>
          <t>16/06/2024 - Nubank Kelly</t>
        </r>
      </text>
    </comment>
    <comment ref="H9" authorId="0" shapeId="0" xr:uid="{244FE660-5720-4DB3-81D0-1813F3040FFC}">
      <text>
        <r>
          <rPr>
            <b/>
            <sz val="9"/>
            <color indexed="81"/>
            <rFont val="Segoe UI"/>
            <family val="2"/>
          </rPr>
          <t>29/06/2024 - Nubank Kelly</t>
        </r>
      </text>
    </comment>
    <comment ref="I9" authorId="0" shapeId="0" xr:uid="{5C3001EE-F499-488F-9DC4-7A834FE816B3}">
      <text>
        <r>
          <rPr>
            <b/>
            <sz val="9"/>
            <color indexed="81"/>
            <rFont val="Segoe UI"/>
            <family val="2"/>
          </rPr>
          <t>01/08/2024 - ITAU DANI</t>
        </r>
      </text>
    </comment>
    <comment ref="J9" authorId="0" shapeId="0" xr:uid="{9151ACB4-4D8F-41E2-BDC2-F0F7BA8D8A65}">
      <text>
        <r>
          <rPr>
            <b/>
            <sz val="9"/>
            <color indexed="81"/>
            <rFont val="Segoe UI"/>
            <family val="2"/>
          </rPr>
          <t>06/08/2024 - ITAU DANI</t>
        </r>
      </text>
    </comment>
    <comment ref="K9" authorId="0" shapeId="0" xr:uid="{81191537-7F29-472A-998A-162033441193}">
      <text>
        <r>
          <rPr>
            <b/>
            <sz val="9"/>
            <color indexed="81"/>
            <rFont val="Segoe UI"/>
            <family val="2"/>
          </rPr>
          <t>04/10/2024 - ITAU DANI</t>
        </r>
      </text>
    </comment>
    <comment ref="L9" authorId="0" shapeId="0" xr:uid="{08BFCBA9-47EE-411C-9D87-B5667FA7143C}">
      <text>
        <r>
          <rPr>
            <b/>
            <sz val="9"/>
            <color indexed="81"/>
            <rFont val="Segoe UI"/>
            <family val="2"/>
          </rPr>
          <t>02/11/2024 - NUBANK KELLY</t>
        </r>
      </text>
    </comment>
    <comment ref="M9" authorId="0" shapeId="0" xr:uid="{E4A6A980-3191-41A7-82DD-5EC90EF0686D}">
      <text>
        <r>
          <rPr>
            <b/>
            <sz val="9"/>
            <color indexed="81"/>
            <rFont val="Segoe UI"/>
            <family val="2"/>
          </rPr>
          <t>03/12/2024 - ITAU DANI</t>
        </r>
      </text>
    </comment>
    <comment ref="D10" authorId="0" shapeId="0" xr:uid="{E835AFC4-92AD-4C00-B8AB-02E3D1B46AAE}">
      <text>
        <r>
          <rPr>
            <b/>
            <sz val="9"/>
            <color indexed="81"/>
            <rFont val="Segoe UI"/>
            <family val="2"/>
          </rPr>
          <t>08/03/2024 - SANTANDER</t>
        </r>
      </text>
    </comment>
    <comment ref="E10" authorId="0" shapeId="0" xr:uid="{5DC8858F-C58D-49BD-B2BB-C03EAAE0AFBC}">
      <text>
        <r>
          <rPr>
            <b/>
            <sz val="9"/>
            <color indexed="81"/>
            <rFont val="Segoe UI"/>
            <family val="2"/>
          </rPr>
          <t>01/04/2024 - SANTANDER</t>
        </r>
      </text>
    </comment>
    <comment ref="F10" authorId="0" shapeId="0" xr:uid="{342CE056-9C45-486C-A54D-6F1EAC3AE333}">
      <text>
        <r>
          <rPr>
            <b/>
            <sz val="9"/>
            <color indexed="81"/>
            <rFont val="Segoe UI"/>
            <family val="2"/>
          </rPr>
          <t>10/05/2024 - Dani Itau</t>
        </r>
      </text>
    </comment>
    <comment ref="G10" authorId="0" shapeId="0" xr:uid="{E2B84F3B-1A4D-4CD2-B875-847DCE6572EF}">
      <text>
        <r>
          <rPr>
            <b/>
            <sz val="9"/>
            <color indexed="81"/>
            <rFont val="Segoe UI"/>
            <family val="2"/>
          </rPr>
          <t>16/06/2024 - itau Dani</t>
        </r>
      </text>
    </comment>
    <comment ref="H10" authorId="0" shapeId="0" xr:uid="{40EDFDB0-BFCD-4E6E-B441-260279A8D770}">
      <text>
        <r>
          <rPr>
            <b/>
            <sz val="9"/>
            <color indexed="81"/>
            <rFont val="Segoe UI"/>
            <family val="2"/>
          </rPr>
          <t>28/06/2024 - Itau Kelly</t>
        </r>
      </text>
    </comment>
    <comment ref="I10" authorId="0" shapeId="0" xr:uid="{8E9392F9-1A9D-464F-B6C3-978FF8CF13FD}">
      <text>
        <r>
          <rPr>
            <b/>
            <sz val="9"/>
            <color indexed="81"/>
            <rFont val="Segoe UI"/>
            <family val="2"/>
          </rPr>
          <t>01/08/2024 - ITAU DANI</t>
        </r>
      </text>
    </comment>
    <comment ref="D11" authorId="0" shapeId="0" xr:uid="{1F82FB1B-E312-4725-B25B-97E4D0F72E0A}">
      <text>
        <r>
          <rPr>
            <b/>
            <sz val="9"/>
            <color indexed="81"/>
            <rFont val="Segoe UI"/>
            <family val="2"/>
          </rPr>
          <t>06/03/2024 - CAIXA</t>
        </r>
      </text>
    </comment>
    <comment ref="G12" authorId="0" shapeId="0" xr:uid="{43952AE3-85BB-4524-A756-3874C1F35333}">
      <text>
        <r>
          <rPr>
            <b/>
            <sz val="9"/>
            <color indexed="81"/>
            <rFont val="Segoe UI"/>
            <family val="2"/>
          </rPr>
          <t>12/06/2024 - itau kelly</t>
        </r>
      </text>
    </comment>
    <comment ref="H12" authorId="0" shapeId="0" xr:uid="{B6505287-041C-4A6A-92CC-436AE41C2C2E}">
      <text>
        <r>
          <rPr>
            <b/>
            <sz val="9"/>
            <color indexed="81"/>
            <rFont val="Segoe UI"/>
            <family val="2"/>
          </rPr>
          <t>05/07/2024 - ITAU KELLY</t>
        </r>
      </text>
    </comment>
    <comment ref="I12" authorId="0" shapeId="0" xr:uid="{9A3FEAF1-5EC1-4659-86EA-AF6385BF2B0E}">
      <text>
        <r>
          <rPr>
            <b/>
            <sz val="9"/>
            <color indexed="81"/>
            <rFont val="Segoe UI"/>
            <family val="2"/>
          </rPr>
          <t>06/08/2024 - ITAU KELLY</t>
        </r>
      </text>
    </comment>
    <comment ref="J12" authorId="0" shapeId="0" xr:uid="{C3162916-B598-464A-8BE1-C6A06F423645}">
      <text>
        <r>
          <rPr>
            <b/>
            <sz val="9"/>
            <color indexed="81"/>
            <rFont val="Segoe UI"/>
            <family val="2"/>
          </rPr>
          <t xml:space="preserve">R$2092,80 - 22/08/2024
R$1139,62 - 06/09/2024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12" authorId="0" shapeId="0" xr:uid="{61D9BB7D-0548-46C8-9C6C-7F5C7BD0410E}">
      <text>
        <r>
          <rPr>
            <b/>
            <sz val="9"/>
            <color indexed="81"/>
            <rFont val="Segoe UI"/>
            <family val="2"/>
          </rPr>
          <t>04/10/2024 - ITAU KELLY</t>
        </r>
      </text>
    </comment>
    <comment ref="L12" authorId="0" shapeId="0" xr:uid="{D3843D06-B66B-4E0E-9F31-857FB4255E1D}">
      <text>
        <r>
          <rPr>
            <b/>
            <sz val="9"/>
            <color indexed="81"/>
            <rFont val="Segoe UI"/>
            <family val="2"/>
          </rPr>
          <t>08/11/2024 - ITAU KELLY</t>
        </r>
      </text>
    </comment>
    <comment ref="M12" authorId="0" shapeId="0" xr:uid="{7E26DF62-225B-498A-B65B-9F77813DC117}">
      <text>
        <r>
          <rPr>
            <b/>
            <sz val="9"/>
            <color indexed="81"/>
            <rFont val="Segoe UI"/>
            <family val="2"/>
          </rPr>
          <t>07/12/2024  - ITAU KELLY</t>
        </r>
      </text>
    </comment>
    <comment ref="H13" authorId="0" shapeId="0" xr:uid="{67A49C7A-3781-4BB7-AD64-F7AF0FB23774}">
      <text>
        <r>
          <rPr>
            <b/>
            <sz val="9"/>
            <color indexed="81"/>
            <rFont val="Segoe UI"/>
            <family val="2"/>
          </rPr>
          <t>03/07/2024 - ITAU DANI</t>
        </r>
      </text>
    </comment>
    <comment ref="J13" authorId="0" shapeId="0" xr:uid="{ACC2E53E-89C9-48CC-B323-CB00DE6ADC99}">
      <text>
        <r>
          <rPr>
            <b/>
            <sz val="9"/>
            <color indexed="81"/>
            <rFont val="Segoe UI"/>
            <family val="2"/>
          </rPr>
          <t>06/09/2024 - ITAU DANI</t>
        </r>
      </text>
    </comment>
    <comment ref="K13" authorId="0" shapeId="0" xr:uid="{757A8A8F-BD8C-4EAF-9E6C-3025B3FE7EA4}">
      <text>
        <r>
          <rPr>
            <b/>
            <sz val="9"/>
            <color indexed="81"/>
            <rFont val="Segoe UI"/>
            <family val="2"/>
          </rPr>
          <t>04/10/2024 - ITAU DANI</t>
        </r>
      </text>
    </comment>
    <comment ref="L13" authorId="0" shapeId="0" xr:uid="{75E9E2E1-29CD-4C9F-901F-D5821A8DF954}">
      <text>
        <r>
          <rPr>
            <b/>
            <sz val="9"/>
            <color indexed="81"/>
            <rFont val="Segoe UI"/>
            <family val="2"/>
          </rPr>
          <t>31/10/2024 - ITAU DANI</t>
        </r>
      </text>
    </comment>
    <comment ref="M13" authorId="0" shapeId="0" xr:uid="{718328F4-2583-4405-A211-29F901E554B7}">
      <text>
        <r>
          <rPr>
            <b/>
            <sz val="9"/>
            <color indexed="81"/>
            <rFont val="Segoe UI"/>
            <family val="2"/>
          </rPr>
          <t>03/12/2024 - ITAU DANI</t>
        </r>
      </text>
    </comment>
    <comment ref="C14" authorId="0" shapeId="0" xr:uid="{28606504-97FA-45B8-B9B9-6821C797DA67}">
      <text>
        <r>
          <rPr>
            <b/>
            <sz val="9"/>
            <color indexed="81"/>
            <rFont val="Segoe UI"/>
            <family val="2"/>
          </rPr>
          <t>01/02/2024 - SANTANDER</t>
        </r>
      </text>
    </comment>
    <comment ref="D14" authorId="0" shapeId="0" xr:uid="{712FBBEB-CA1F-49C3-913E-7ADD749BEF26}">
      <text>
        <r>
          <rPr>
            <b/>
            <sz val="9"/>
            <color indexed="81"/>
            <rFont val="Segoe UI"/>
            <family val="2"/>
          </rPr>
          <t>03/03/2024 - SANTANDER</t>
        </r>
      </text>
    </comment>
    <comment ref="E14" authorId="0" shapeId="0" xr:uid="{DF0896CA-5DEF-44C0-B5BB-158070FB56B1}">
      <text>
        <r>
          <rPr>
            <b/>
            <sz val="9"/>
            <color indexed="81"/>
            <rFont val="Segoe UI"/>
            <family val="2"/>
          </rPr>
          <t>01/04/2024 - SANTANDER</t>
        </r>
      </text>
    </comment>
    <comment ref="F14" authorId="0" shapeId="0" xr:uid="{65569E42-EDD3-43B6-A1E9-3E91BA4D1953}">
      <text>
        <r>
          <rPr>
            <b/>
            <sz val="9"/>
            <color indexed="81"/>
            <rFont val="Segoe UI"/>
            <family val="2"/>
          </rPr>
          <t>10/05/2024 - Nubank Kelly</t>
        </r>
      </text>
    </comment>
    <comment ref="G14" authorId="0" shapeId="0" xr:uid="{74E6A196-9957-44E8-8D2B-AB50801EDEE2}">
      <text>
        <r>
          <rPr>
            <b/>
            <sz val="9"/>
            <color indexed="81"/>
            <rFont val="Segoe UI"/>
            <family val="2"/>
          </rPr>
          <t>31/05/2024 - FLASH</t>
        </r>
      </text>
    </comment>
    <comment ref="H14" authorId="0" shapeId="0" xr:uid="{74E1060D-59C1-412D-8765-36ECF2F2F921}">
      <text>
        <r>
          <rPr>
            <b/>
            <sz val="9"/>
            <color indexed="81"/>
            <rFont val="Segoe UI"/>
            <family val="2"/>
          </rPr>
          <t>02/07/2024 - NUBANK KELLY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14" authorId="0" shapeId="0" xr:uid="{1F0DA428-9FB8-402D-BA44-0C6828DBA51A}">
      <text>
        <r>
          <rPr>
            <b/>
            <sz val="9"/>
            <color indexed="81"/>
            <rFont val="Segoe UI"/>
            <family val="2"/>
          </rPr>
          <t>01/08/2024 - ITAU DANI</t>
        </r>
      </text>
    </comment>
    <comment ref="J14" authorId="0" shapeId="0" xr:uid="{FF348F15-6588-4F86-9FE0-605E46301C33}">
      <text>
        <r>
          <rPr>
            <b/>
            <sz val="9"/>
            <color indexed="81"/>
            <rFont val="Segoe UI"/>
            <family val="2"/>
          </rPr>
          <t>06/09/2024 - ITAU DANI</t>
        </r>
      </text>
    </comment>
    <comment ref="K14" authorId="0" shapeId="0" xr:uid="{1291D8E2-F76E-4A7E-8B65-A2F385714D86}">
      <text>
        <r>
          <rPr>
            <b/>
            <sz val="9"/>
            <color indexed="81"/>
            <rFont val="Segoe UI"/>
            <family val="2"/>
          </rPr>
          <t>04/10/2024 - ITAU DANI</t>
        </r>
      </text>
    </comment>
    <comment ref="L14" authorId="0" shapeId="0" xr:uid="{030734EE-5810-4917-BD2B-F3E54CC95C78}">
      <text>
        <r>
          <rPr>
            <b/>
            <sz val="9"/>
            <color indexed="81"/>
            <rFont val="Segoe UI"/>
            <family val="2"/>
          </rPr>
          <t xml:space="preserve">05/11/2024 - NUBANK KELLY
</t>
        </r>
      </text>
    </comment>
    <comment ref="M14" authorId="0" shapeId="0" xr:uid="{54066160-2F45-47D8-9451-0199CD9926EA}">
      <text>
        <r>
          <rPr>
            <b/>
            <sz val="9"/>
            <color indexed="81"/>
            <rFont val="Segoe UI"/>
            <family val="2"/>
          </rPr>
          <t>03/12/2024 - NUBANK KELLY</t>
        </r>
      </text>
    </comment>
    <comment ref="D15" authorId="0" shapeId="0" xr:uid="{4A996204-5043-4765-AA17-B9EA97DCD675}">
      <text>
        <r>
          <rPr>
            <b/>
            <sz val="9"/>
            <color indexed="81"/>
            <rFont val="Segoe UI"/>
            <family val="2"/>
          </rPr>
          <t>08/03/2024 - SANTANDER</t>
        </r>
      </text>
    </comment>
    <comment ref="C16" authorId="0" shapeId="0" xr:uid="{911821F2-585A-429A-94F0-FBD0D15ECCE8}">
      <text>
        <r>
          <rPr>
            <b/>
            <sz val="9"/>
            <color indexed="81"/>
            <rFont val="Segoe UI"/>
            <family val="2"/>
          </rPr>
          <t>12/01/2024 - ITAÚ</t>
        </r>
      </text>
    </comment>
    <comment ref="D16" authorId="0" shapeId="0" xr:uid="{7674D9D7-0082-4739-A0CB-D7C7E031C4EB}">
      <text>
        <r>
          <rPr>
            <b/>
            <sz val="9"/>
            <color indexed="81"/>
            <rFont val="Segoe UI"/>
            <family val="2"/>
          </rPr>
          <t>10/03/2024 - SANTANDER</t>
        </r>
      </text>
    </comment>
    <comment ref="E16" authorId="0" shapeId="0" xr:uid="{F8B40D6C-BC38-4BA9-BDE6-5EE6BF26E507}">
      <text>
        <r>
          <rPr>
            <b/>
            <sz val="9"/>
            <color indexed="81"/>
            <rFont val="Segoe UI"/>
            <family val="2"/>
          </rPr>
          <t>15/04/2024 - NUBANK KELLY</t>
        </r>
      </text>
    </comment>
    <comment ref="L16" authorId="0" shapeId="0" xr:uid="{BE3100A3-1F10-4B7E-B527-D4F31BCF6530}">
      <text>
        <r>
          <rPr>
            <b/>
            <sz val="9"/>
            <color indexed="81"/>
            <rFont val="Segoe UI"/>
            <family val="2"/>
          </rPr>
          <t>19/11/2024 - NUBANK DANI</t>
        </r>
      </text>
    </comment>
    <comment ref="M16" authorId="0" shapeId="0" xr:uid="{62A670DC-634B-4388-908B-094A24F77102}">
      <text>
        <r>
          <rPr>
            <b/>
            <sz val="9"/>
            <color indexed="81"/>
            <rFont val="Segoe UI"/>
            <family val="2"/>
          </rPr>
          <t>16/12/2024 - NUBANK KELLY</t>
        </r>
      </text>
    </comment>
    <comment ref="C17" authorId="0" shapeId="0" xr:uid="{71709FFC-3321-478C-8C9C-8F07C72DA764}">
      <text>
        <r>
          <rPr>
            <b/>
            <sz val="9"/>
            <color indexed="81"/>
            <rFont val="Segoe UI"/>
            <family val="2"/>
          </rPr>
          <t>06/02/2024 - nubank kelly</t>
        </r>
      </text>
    </comment>
    <comment ref="D17" authorId="0" shapeId="0" xr:uid="{0FFBE147-249F-434C-AE33-D921DB52B1E4}">
      <text>
        <r>
          <rPr>
            <b/>
            <sz val="9"/>
            <color indexed="81"/>
            <rFont val="Segoe UI"/>
            <family val="2"/>
          </rPr>
          <t xml:space="preserve">06/02/2024 - NUBANK KELLY
</t>
        </r>
      </text>
    </comment>
    <comment ref="E17" authorId="0" shapeId="0" xr:uid="{9271064C-2ED5-44F7-A554-F7C176870C9E}">
      <text>
        <r>
          <rPr>
            <b/>
            <sz val="9"/>
            <color indexed="81"/>
            <rFont val="Segoe UI"/>
            <family val="2"/>
          </rPr>
          <t>10/03/2024 -  SANTANDER</t>
        </r>
      </text>
    </comment>
    <comment ref="F17" authorId="0" shapeId="0" xr:uid="{1E3C1FD3-7857-4227-A7BF-E5CB9FA0B7ED}">
      <text>
        <r>
          <rPr>
            <b/>
            <sz val="9"/>
            <color indexed="81"/>
            <rFont val="Segoe UI"/>
            <family val="2"/>
          </rPr>
          <t>16/05/2024 -  FLASH</t>
        </r>
      </text>
    </comment>
    <comment ref="G17" authorId="0" shapeId="0" xr:uid="{5926DB16-31FA-4750-AC1F-BC12AD702EF0}">
      <text>
        <r>
          <rPr>
            <b/>
            <sz val="9"/>
            <color indexed="81"/>
            <rFont val="Segoe UI"/>
            <family val="2"/>
          </rPr>
          <t>16/06/2024 - Itau Dani</t>
        </r>
      </text>
    </comment>
    <comment ref="H17" authorId="0" shapeId="0" xr:uid="{D8B388FF-745D-489B-93FE-4E08C267DF66}">
      <text>
        <r>
          <rPr>
            <b/>
            <sz val="9"/>
            <color indexed="81"/>
            <rFont val="Segoe UI"/>
            <family val="2"/>
          </rPr>
          <t>03/07/2024 - ITAU DANI</t>
        </r>
      </text>
    </comment>
    <comment ref="I17" authorId="0" shapeId="0" xr:uid="{B26F4700-6801-450C-8F8B-212C8EE27915}">
      <text>
        <r>
          <rPr>
            <b/>
            <sz val="9"/>
            <color indexed="81"/>
            <rFont val="Segoe UI"/>
            <family val="2"/>
          </rPr>
          <t>03/07/2024 - ITAU DANI</t>
        </r>
      </text>
    </comment>
    <comment ref="J17" authorId="0" shapeId="0" xr:uid="{1121920B-5FF6-49E0-9A39-9C11CBD279AF}">
      <text>
        <r>
          <rPr>
            <b/>
            <sz val="9"/>
            <color indexed="81"/>
            <rFont val="Segoe UI"/>
            <family val="2"/>
          </rPr>
          <t>17/09/2024 - NUBANK DANI</t>
        </r>
      </text>
    </comment>
    <comment ref="K17" authorId="0" shapeId="0" xr:uid="{8847525B-7E3F-4A49-90FA-D521F7D72948}">
      <text>
        <r>
          <rPr>
            <b/>
            <sz val="9"/>
            <color indexed="81"/>
            <rFont val="Segoe UI"/>
            <family val="2"/>
          </rPr>
          <t>17/09/2024 - NUBANK DANI</t>
        </r>
      </text>
    </comment>
    <comment ref="M17" authorId="0" shapeId="0" xr:uid="{6491E06F-89E3-4B0C-B4DC-7F7253E1D014}">
      <text>
        <r>
          <rPr>
            <b/>
            <sz val="9"/>
            <color indexed="81"/>
            <rFont val="Segoe UI"/>
            <family val="2"/>
          </rPr>
          <t>09/12/2024 - NUBANK DANI</t>
        </r>
      </text>
    </comment>
    <comment ref="B18" authorId="0" shapeId="0" xr:uid="{9898419F-94C6-4B9E-BB92-FF23FB5181F6}">
      <text>
        <r>
          <rPr>
            <b/>
            <sz val="9"/>
            <color indexed="81"/>
            <rFont val="Segoe UI"/>
            <family val="2"/>
          </rPr>
          <t>Daniel Santos:</t>
        </r>
        <r>
          <rPr>
            <sz val="9"/>
            <color indexed="81"/>
            <rFont val="Segoe UI"/>
            <family val="2"/>
          </rPr>
          <t xml:space="preserve">
ITAU -15/01/2024</t>
        </r>
      </text>
    </comment>
    <comment ref="C18" authorId="0" shapeId="0" xr:uid="{651D721C-F7C0-413B-9832-2B631E2BA751}">
      <text>
        <r>
          <rPr>
            <b/>
            <sz val="9"/>
            <color indexed="81"/>
            <rFont val="Segoe UI"/>
            <family val="2"/>
          </rPr>
          <t>16/02/2024 - ITAU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18" authorId="0" shapeId="0" xr:uid="{DD4455FE-0CF3-4E8F-9A3A-98FC6D05E05A}">
      <text>
        <r>
          <rPr>
            <b/>
            <sz val="9"/>
            <color indexed="81"/>
            <rFont val="Segoe UI"/>
            <family val="2"/>
          </rPr>
          <t>10/03/2024 -  SANTANDER</t>
        </r>
      </text>
    </comment>
    <comment ref="E18" authorId="0" shapeId="0" xr:uid="{85F11394-C4DA-4484-B4F2-BD6900F9A980}">
      <text>
        <r>
          <rPr>
            <b/>
            <sz val="9"/>
            <color indexed="81"/>
            <rFont val="Segoe UI"/>
            <family val="2"/>
          </rPr>
          <t xml:space="preserve">17/04/2024 – ITAU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18" authorId="0" shapeId="0" xr:uid="{123263E0-E58C-43D7-A534-168D63D26B92}">
      <text>
        <r>
          <rPr>
            <b/>
            <sz val="9"/>
            <color indexed="81"/>
            <rFont val="Segoe UI"/>
            <family val="2"/>
          </rPr>
          <t>16/05/2029 - ITAU DANI</t>
        </r>
      </text>
    </comment>
    <comment ref="G18" authorId="0" shapeId="0" xr:uid="{7A5A6E1F-54D0-4DD2-92C5-9841A4EA3537}">
      <text>
        <r>
          <rPr>
            <b/>
            <sz val="9"/>
            <color indexed="81"/>
            <rFont val="Segoe UI"/>
            <family val="2"/>
          </rPr>
          <t>16/06/2024 - Itau Dani</t>
        </r>
      </text>
    </comment>
    <comment ref="H18" authorId="0" shapeId="0" xr:uid="{1B329CAC-E81E-4BB4-AE01-73CE267B3AB4}">
      <text>
        <r>
          <rPr>
            <b/>
            <sz val="9"/>
            <color indexed="81"/>
            <rFont val="Segoe UI"/>
            <family val="2"/>
          </rPr>
          <t>17/07/2024 - ITAU DANI</t>
        </r>
      </text>
    </comment>
    <comment ref="I18" authorId="0" shapeId="0" xr:uid="{1CFDF90C-AA07-43C1-B6C3-C7D4210C2E94}">
      <text>
        <r>
          <rPr>
            <b/>
            <sz val="9"/>
            <color indexed="81"/>
            <rFont val="Segoe UI"/>
            <family val="2"/>
          </rPr>
          <t>07/08/2024 - ITAU DANI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8" authorId="0" shapeId="0" xr:uid="{98E45CCD-CEE7-421E-8C00-4D0326C91679}">
      <text>
        <r>
          <rPr>
            <b/>
            <sz val="9"/>
            <color indexed="81"/>
            <rFont val="Segoe UI"/>
            <family val="2"/>
          </rPr>
          <t>12/09/2024 - ITAU DANI</t>
        </r>
      </text>
    </comment>
    <comment ref="K18" authorId="0" shapeId="0" xr:uid="{52496E76-F5DC-42C0-BEC7-401F89F547AB}">
      <text>
        <r>
          <rPr>
            <b/>
            <sz val="9"/>
            <color indexed="81"/>
            <rFont val="Segoe UI"/>
            <family val="2"/>
          </rPr>
          <t xml:space="preserve">17/10/2024 - ITAU DANI
</t>
        </r>
      </text>
    </comment>
    <comment ref="L18" authorId="0" shapeId="0" xr:uid="{344DDAC4-963C-4C60-BFCB-6C8E6F6B3A9E}">
      <text>
        <r>
          <rPr>
            <b/>
            <sz val="9"/>
            <color indexed="81"/>
            <rFont val="Segoe UI"/>
            <family val="2"/>
          </rPr>
          <t>27/10/2024 - ITAU DANI</t>
        </r>
      </text>
    </comment>
    <comment ref="M18" authorId="0" shapeId="0" xr:uid="{5E97CAE8-E5EC-4424-B42D-FD63BA557216}">
      <text>
        <r>
          <rPr>
            <b/>
            <sz val="9"/>
            <color indexed="81"/>
            <rFont val="Segoe UI"/>
            <family val="2"/>
          </rPr>
          <t>14/12/2024 - ITAU DANI</t>
        </r>
      </text>
    </comment>
    <comment ref="B19" authorId="0" shapeId="0" xr:uid="{FDA37BB4-64EB-444D-A2BE-805C2B02B189}">
      <text>
        <r>
          <rPr>
            <b/>
            <sz val="9"/>
            <color indexed="81"/>
            <rFont val="Segoe UI"/>
            <family val="2"/>
          </rPr>
          <t>Daniel Santos:</t>
        </r>
        <r>
          <rPr>
            <sz val="9"/>
            <color indexed="81"/>
            <rFont val="Segoe UI"/>
            <family val="2"/>
          </rPr>
          <t xml:space="preserve">
SANTANDER - 15/01/2024</t>
        </r>
      </text>
    </comment>
    <comment ref="C19" authorId="0" shapeId="0" xr:uid="{3F489AAA-8FFA-4520-8EFE-04907221B9BE}">
      <text>
        <r>
          <rPr>
            <b/>
            <sz val="9"/>
            <color indexed="81"/>
            <rFont val="Segoe UI"/>
            <family val="2"/>
          </rPr>
          <t xml:space="preserve">16/02/2024 - ITAU
</t>
        </r>
      </text>
    </comment>
    <comment ref="D19" authorId="0" shapeId="0" xr:uid="{3BCA057B-1213-4C08-8D34-EF55F4BE982E}">
      <text>
        <r>
          <rPr>
            <b/>
            <sz val="9"/>
            <color indexed="81"/>
            <rFont val="Segoe UI"/>
            <family val="2"/>
          </rPr>
          <t>14/03/2024 - ITAU</t>
        </r>
      </text>
    </comment>
    <comment ref="E19" authorId="0" shapeId="0" xr:uid="{138BF6EC-1A15-4F0D-91EE-FC56BE3C5F42}">
      <text>
        <r>
          <rPr>
            <b/>
            <sz val="9"/>
            <color indexed="81"/>
            <rFont val="Segoe UI"/>
            <family val="2"/>
          </rPr>
          <t>17/04/2024 - CAIXA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19" authorId="0" shapeId="0" xr:uid="{7376D7C7-463F-41BB-8330-A20E69199D4E}">
      <text>
        <r>
          <rPr>
            <b/>
            <sz val="9"/>
            <color indexed="81"/>
            <rFont val="Segoe UI"/>
            <family val="2"/>
          </rPr>
          <t>16/05/2024 - ITAU DANI</t>
        </r>
      </text>
    </comment>
    <comment ref="G19" authorId="0" shapeId="0" xr:uid="{959C313A-4BB9-48A2-8218-887B8B3DE34D}">
      <text>
        <r>
          <rPr>
            <b/>
            <sz val="9"/>
            <color indexed="81"/>
            <rFont val="Segoe UI"/>
            <family val="2"/>
          </rPr>
          <t>16/06/2024 - Nubank Kelly</t>
        </r>
      </text>
    </comment>
    <comment ref="H19" authorId="0" shapeId="0" xr:uid="{36C9DDDF-A5CC-4CBC-800A-F211AFFE23A5}">
      <text>
        <r>
          <rPr>
            <b/>
            <sz val="9"/>
            <color indexed="81"/>
            <rFont val="Segoe UI"/>
            <family val="2"/>
          </rPr>
          <t>17/07/2024 - NU KELLY</t>
        </r>
      </text>
    </comment>
    <comment ref="I19" authorId="0" shapeId="0" xr:uid="{41408D0C-97BC-452D-8548-971B63E18985}">
      <text>
        <r>
          <rPr>
            <b/>
            <sz val="9"/>
            <color indexed="81"/>
            <rFont val="Segoe UI"/>
            <family val="2"/>
          </rPr>
          <t xml:space="preserve">19/08/2024 - ITAU DANI
</t>
        </r>
      </text>
    </comment>
    <comment ref="J19" authorId="0" shapeId="0" xr:uid="{35EE4FB8-DCE0-4382-9974-C3D0E6C13BBA}">
      <text>
        <r>
          <rPr>
            <b/>
            <sz val="9"/>
            <color indexed="81"/>
            <rFont val="Segoe UI"/>
            <family val="2"/>
          </rPr>
          <t>12/09/2024 - ITAU DANI</t>
        </r>
      </text>
    </comment>
    <comment ref="K19" authorId="0" shapeId="0" xr:uid="{8063182F-EF4C-47E2-AD0F-4DFA0DFE0802}">
      <text>
        <r>
          <rPr>
            <b/>
            <sz val="9"/>
            <color indexed="81"/>
            <rFont val="Segoe UI"/>
            <family val="2"/>
          </rPr>
          <t>21/10/2024 - NUBAK DANI</t>
        </r>
      </text>
    </comment>
    <comment ref="L19" authorId="0" shapeId="0" xr:uid="{73CC5046-B6D1-40B8-82CA-85B0500B87F9}">
      <text>
        <r>
          <rPr>
            <b/>
            <sz val="9"/>
            <color indexed="81"/>
            <rFont val="Segoe UI"/>
            <family val="2"/>
          </rPr>
          <t>14/11/2024 - ITAU DANI</t>
        </r>
      </text>
    </comment>
    <comment ref="M19" authorId="0" shapeId="0" xr:uid="{D45728BE-B7B2-45AA-90E4-A315042DD416}">
      <text>
        <r>
          <rPr>
            <b/>
            <sz val="9"/>
            <color indexed="81"/>
            <rFont val="Segoe UI"/>
            <family val="2"/>
          </rPr>
          <t>14/12/2024 - ITAU DANI</t>
        </r>
      </text>
    </comment>
    <comment ref="B20" authorId="0" shapeId="0" xr:uid="{A2569DEC-F716-4E44-82EB-751A6DE2138C}">
      <text>
        <r>
          <rPr>
            <b/>
            <sz val="9"/>
            <color indexed="81"/>
            <rFont val="Segoe UI"/>
            <family val="2"/>
          </rPr>
          <t>25/01/2024 - Santander</t>
        </r>
      </text>
    </comment>
    <comment ref="C20" authorId="0" shapeId="0" xr:uid="{6F14CFEF-D2FD-4A39-9129-79BE392713C7}">
      <text>
        <r>
          <rPr>
            <b/>
            <sz val="9"/>
            <color indexed="81"/>
            <rFont val="Segoe UI"/>
            <family val="2"/>
          </rPr>
          <t>20/02/2024</t>
        </r>
      </text>
    </comment>
    <comment ref="D20" authorId="0" shapeId="0" xr:uid="{E77E30AF-9DF6-4A64-94AE-EED6CBDF8574}">
      <text>
        <r>
          <rPr>
            <b/>
            <sz val="9"/>
            <color indexed="81"/>
            <rFont val="Segoe UI"/>
            <family val="2"/>
          </rPr>
          <t>10/03/2024 - SANTANDER</t>
        </r>
      </text>
    </comment>
    <comment ref="E20" authorId="0" shapeId="0" xr:uid="{B8ED4443-0BFF-48C4-BBEE-EF40FA665EF8}">
      <text>
        <r>
          <rPr>
            <b/>
            <sz val="9"/>
            <color indexed="81"/>
            <rFont val="Segoe UI"/>
            <family val="2"/>
          </rPr>
          <t>10/05/2024 - Nubank Kelly</t>
        </r>
      </text>
    </comment>
    <comment ref="F20" authorId="0" shapeId="0" xr:uid="{8FBBCE17-0B2E-4BDF-B466-88ECD0124BA6}">
      <text>
        <r>
          <rPr>
            <b/>
            <sz val="9"/>
            <color indexed="81"/>
            <rFont val="Segoe UI"/>
            <family val="2"/>
          </rPr>
          <t>20/05/2024 - NUBANK DANI</t>
        </r>
      </text>
    </comment>
    <comment ref="G20" authorId="0" shapeId="0" xr:uid="{641F8BA8-3104-4E31-B791-DBDA1D822ABD}">
      <text>
        <r>
          <rPr>
            <b/>
            <sz val="9"/>
            <color indexed="81"/>
            <rFont val="Segoe UI"/>
            <family val="2"/>
          </rPr>
          <t>28/06/2024 - Itau Kelly</t>
        </r>
      </text>
    </comment>
    <comment ref="H20" authorId="0" shapeId="0" xr:uid="{FA777C84-2D36-44A2-921D-DB75BB4DEFD5}">
      <text>
        <r>
          <rPr>
            <b/>
            <sz val="9"/>
            <color indexed="81"/>
            <rFont val="Segoe UI"/>
            <family val="2"/>
          </rPr>
          <t>20/07/2024 - NUBANK DANI</t>
        </r>
      </text>
    </comment>
    <comment ref="I20" authorId="0" shapeId="0" xr:uid="{0BB8CB7F-A6F6-4370-8E73-B64166D941E6}">
      <text>
        <r>
          <rPr>
            <b/>
            <sz val="9"/>
            <color indexed="81"/>
            <rFont val="Segoe UI"/>
            <family val="2"/>
          </rPr>
          <t xml:space="preserve">09/08/2024 - ITAU DANI R$227,30
20/08/2024 - ITAU DANI R$321,58
</t>
        </r>
      </text>
    </comment>
    <comment ref="J20" authorId="0" shapeId="0" xr:uid="{224798F9-BBC2-4D8A-BE24-C964F1D72C09}">
      <text>
        <r>
          <rPr>
            <b/>
            <sz val="9"/>
            <color indexed="81"/>
            <rFont val="Segoe UI"/>
            <family val="2"/>
          </rPr>
          <t>19/09/2024 - NUBANK KELLY</t>
        </r>
      </text>
    </comment>
    <comment ref="K20" authorId="0" shapeId="0" xr:uid="{EBC99C56-24B9-4872-A64E-C39BA35A962C}">
      <text>
        <r>
          <rPr>
            <b/>
            <sz val="9"/>
            <color indexed="81"/>
            <rFont val="Segoe UI"/>
            <family val="2"/>
          </rPr>
          <t>21/10/2024 -  NUBANK DANI</t>
        </r>
      </text>
    </comment>
    <comment ref="L20" authorId="0" shapeId="0" xr:uid="{75F18E2E-AB17-456B-ADE5-25D4B2CE2D7C}">
      <text>
        <r>
          <rPr>
            <b/>
            <sz val="9"/>
            <color indexed="81"/>
            <rFont val="Segoe UI"/>
            <family val="2"/>
          </rPr>
          <t>14/11/2024 - ITAU DANI</t>
        </r>
      </text>
    </comment>
    <comment ref="M20" authorId="0" shapeId="0" xr:uid="{68C03482-EDCA-42D4-AAF3-E7CD6DBC116A}">
      <text>
        <r>
          <rPr>
            <b/>
            <sz val="9"/>
            <color indexed="81"/>
            <rFont val="Segoe UI"/>
            <family val="2"/>
          </rPr>
          <t>14/12/2024 - ITAU DANI</t>
        </r>
      </text>
    </comment>
    <comment ref="B21" authorId="0" shapeId="0" xr:uid="{08542778-3440-402E-932F-AB6D319A3A2B}">
      <text>
        <r>
          <rPr>
            <b/>
            <sz val="9"/>
            <color indexed="81"/>
            <rFont val="Segoe UI"/>
            <family val="2"/>
          </rPr>
          <t xml:space="preserve">24/01/2024 - Santander
</t>
        </r>
      </text>
    </comment>
    <comment ref="C21" authorId="0" shapeId="0" xr:uid="{4FA2EFC3-ACF0-48C9-B46A-6E256E1628B6}">
      <text>
        <r>
          <rPr>
            <b/>
            <sz val="9"/>
            <color indexed="81"/>
            <rFont val="Segoe UI"/>
            <family val="2"/>
          </rPr>
          <t>16/02/2024 - itau</t>
        </r>
      </text>
    </comment>
    <comment ref="D21" authorId="0" shapeId="0" xr:uid="{87A7C043-5F49-45EC-9B20-68DD009D7422}">
      <text>
        <r>
          <rPr>
            <b/>
            <sz val="9"/>
            <color indexed="81"/>
            <rFont val="Segoe UI"/>
            <family val="2"/>
          </rPr>
          <t>14/03/2024 - ITAU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21" authorId="0" shapeId="0" xr:uid="{6C21D32A-6330-43F4-9CED-049E586E1260}">
      <text>
        <r>
          <rPr>
            <b/>
            <sz val="9"/>
            <color indexed="81"/>
            <rFont val="Segoe UI"/>
            <family val="2"/>
          </rPr>
          <t xml:space="preserve">22/04/2024 - ITAU
</t>
        </r>
      </text>
    </comment>
    <comment ref="F21" authorId="0" shapeId="0" xr:uid="{8155E009-55EC-484F-B7D4-1B46DE216A13}">
      <text>
        <r>
          <rPr>
            <b/>
            <sz val="9"/>
            <color indexed="81"/>
            <rFont val="Segoe UI"/>
            <family val="2"/>
          </rPr>
          <t>29/05/2024 - ITAU DANI</t>
        </r>
      </text>
    </comment>
    <comment ref="G21" authorId="0" shapeId="0" xr:uid="{DD3EF4CE-9525-496D-8DDF-0C29CE30EA75}">
      <text>
        <r>
          <rPr>
            <b/>
            <sz val="9"/>
            <color indexed="81"/>
            <rFont val="Segoe UI"/>
            <family val="2"/>
          </rPr>
          <t>28/06/2024 - Itau Kelly</t>
        </r>
      </text>
    </comment>
    <comment ref="H21" authorId="0" shapeId="0" xr:uid="{93237A5E-18BE-4C36-AA96-7CD770FD7431}">
      <text>
        <r>
          <rPr>
            <b/>
            <sz val="9"/>
            <color indexed="81"/>
            <rFont val="Segoe UI"/>
            <family val="2"/>
          </rPr>
          <t>20/07/2024 - NUBANK DANI</t>
        </r>
      </text>
    </comment>
    <comment ref="I21" authorId="0" shapeId="0" xr:uid="{16C05042-5FC2-4C0E-909D-4DBDA2641AC5}">
      <text>
        <r>
          <rPr>
            <b/>
            <sz val="9"/>
            <color indexed="81"/>
            <rFont val="Segoe UI"/>
            <family val="2"/>
          </rPr>
          <t>20/08/2024 - ITAU DANI</t>
        </r>
      </text>
    </comment>
    <comment ref="J21" authorId="0" shapeId="0" xr:uid="{351E50E4-2807-4D74-A533-4F3043371561}">
      <text>
        <r>
          <rPr>
            <b/>
            <sz val="9"/>
            <color indexed="81"/>
            <rFont val="Segoe UI"/>
            <family val="2"/>
          </rPr>
          <t>04/10/2024 -  ITAU KELLY</t>
        </r>
      </text>
    </comment>
    <comment ref="K21" authorId="0" shapeId="0" xr:uid="{FFD8FF99-9093-45C3-AFD1-EF7A3D3EB544}">
      <text>
        <r>
          <rPr>
            <b/>
            <sz val="9"/>
            <color indexed="81"/>
            <rFont val="Segoe UI"/>
            <family val="2"/>
          </rPr>
          <t>24/10/2024 - ITAU DANI</t>
        </r>
      </text>
    </comment>
    <comment ref="L21" authorId="0" shapeId="0" xr:uid="{FAFA91B6-2EE7-48D0-81C4-844CCCB32BAD}">
      <text>
        <r>
          <rPr>
            <b/>
            <sz val="9"/>
            <color indexed="81"/>
            <rFont val="Segoe UI"/>
            <family val="2"/>
          </rPr>
          <t>19/11/2024 - ITAU DANI</t>
        </r>
      </text>
    </comment>
    <comment ref="M21" authorId="0" shapeId="0" xr:uid="{4741DA6E-74F3-46D0-820C-357D065DA939}">
      <text>
        <r>
          <rPr>
            <b/>
            <sz val="9"/>
            <color indexed="81"/>
            <rFont val="Segoe UI"/>
            <family val="2"/>
          </rPr>
          <t>14/12/2024 - ITAU DANI</t>
        </r>
      </text>
    </comment>
    <comment ref="B22" authorId="0" shapeId="0" xr:uid="{AE0ACF34-1EE7-4D17-B36B-AA89AF4B554D}">
      <text>
        <r>
          <rPr>
            <sz val="9"/>
            <color indexed="81"/>
            <rFont val="Segoe UI"/>
            <family val="2"/>
          </rPr>
          <t xml:space="preserve">22/01/2024 - Itau
</t>
        </r>
      </text>
    </comment>
    <comment ref="C22" authorId="0" shapeId="0" xr:uid="{2D686A3A-91E8-4C71-BF62-22F9E8825059}">
      <text>
        <r>
          <rPr>
            <b/>
            <sz val="9"/>
            <color indexed="81"/>
            <rFont val="Segoe UI"/>
            <family val="2"/>
          </rPr>
          <t xml:space="preserve">16/02/2024 - ITAU
</t>
        </r>
      </text>
    </comment>
    <comment ref="D22" authorId="0" shapeId="0" xr:uid="{9370D517-1358-481F-A9CE-2F12EACD46F2}">
      <text>
        <r>
          <rPr>
            <b/>
            <sz val="9"/>
            <color indexed="81"/>
            <rFont val="Segoe UI"/>
            <family val="2"/>
          </rPr>
          <t>16/03/2024 - ITAU</t>
        </r>
      </text>
    </comment>
    <comment ref="E22" authorId="0" shapeId="0" xr:uid="{B9A9A819-3087-4EA1-BCFE-11F94B92533A}">
      <text>
        <r>
          <rPr>
            <b/>
            <sz val="9"/>
            <color indexed="81"/>
            <rFont val="Segoe UI"/>
            <family val="2"/>
          </rPr>
          <t>20/04/2024 - ITAU</t>
        </r>
      </text>
    </comment>
    <comment ref="F22" authorId="0" shapeId="0" xr:uid="{A5AD1AA1-D46C-472A-B4DB-B05BBD91A46E}">
      <text>
        <r>
          <rPr>
            <b/>
            <sz val="9"/>
            <color indexed="81"/>
            <rFont val="Segoe UI"/>
            <family val="2"/>
          </rPr>
          <t>20/05/2024 -  NUBANK DANI</t>
        </r>
      </text>
    </comment>
    <comment ref="G22" authorId="0" shapeId="0" xr:uid="{D1BB7C31-AFCF-44C4-9C59-7E360626D523}">
      <text>
        <r>
          <rPr>
            <b/>
            <sz val="9"/>
            <color indexed="81"/>
            <rFont val="Segoe UI"/>
            <family val="2"/>
          </rPr>
          <t xml:space="preserve">28/06/2024 - itau Dani
</t>
        </r>
      </text>
    </comment>
    <comment ref="H22" authorId="0" shapeId="0" xr:uid="{8E93C14C-EF1F-4846-A3DD-7B19BBCA7095}">
      <text>
        <r>
          <rPr>
            <b/>
            <sz val="9"/>
            <color indexed="81"/>
            <rFont val="Segoe UI"/>
            <family val="2"/>
          </rPr>
          <t>20/07/2024 AGENDADO PARA 22/07/2024 - NUBANK DANI</t>
        </r>
      </text>
    </comment>
    <comment ref="I22" authorId="0" shapeId="0" xr:uid="{4BCCAE54-67D2-4E20-BFE2-9D4798A866CC}">
      <text>
        <r>
          <rPr>
            <b/>
            <sz val="9"/>
            <color indexed="81"/>
            <rFont val="Segoe UI"/>
            <family val="2"/>
          </rPr>
          <t>07/08/2024 - ITAU DANI</t>
        </r>
      </text>
    </comment>
    <comment ref="J22" authorId="0" shapeId="0" xr:uid="{DF7D0C7B-BDD3-4D42-B6AF-B3EE8247AE27}">
      <text>
        <r>
          <rPr>
            <b/>
            <sz val="9"/>
            <color indexed="81"/>
            <rFont val="Segoe UI"/>
            <family val="2"/>
          </rPr>
          <t>13/09/2024 - ITAU DANI</t>
        </r>
      </text>
    </comment>
    <comment ref="K22" authorId="0" shapeId="0" xr:uid="{821331C4-69C3-428D-AEB6-9DC14202A31E}">
      <text>
        <r>
          <rPr>
            <b/>
            <sz val="9"/>
            <color indexed="81"/>
            <rFont val="Segoe UI"/>
            <family val="2"/>
          </rPr>
          <t>17/10/2024 - ITAU DANI</t>
        </r>
      </text>
    </comment>
    <comment ref="L22" authorId="0" shapeId="0" xr:uid="{1E835CF3-9F42-442C-BDC1-774D04F5201C}">
      <text>
        <r>
          <rPr>
            <b/>
            <sz val="9"/>
            <color indexed="81"/>
            <rFont val="Segoe UI"/>
            <family val="2"/>
          </rPr>
          <t>14/11/2024 - NUBANK DANI</t>
        </r>
      </text>
    </comment>
    <comment ref="M22" authorId="0" shapeId="0" xr:uid="{00BB2722-FF3D-453E-8487-F33E42D8D1AE}">
      <text>
        <r>
          <rPr>
            <b/>
            <sz val="9"/>
            <color indexed="81"/>
            <rFont val="Segoe UI"/>
            <family val="2"/>
          </rPr>
          <t>15/12/2024 - ITAU DANI</t>
        </r>
      </text>
    </comment>
    <comment ref="B23" authorId="0" shapeId="0" xr:uid="{E85AD6AE-A4BB-4374-B63F-F881976BE3A3}">
      <text>
        <r>
          <rPr>
            <b/>
            <sz val="9"/>
            <color indexed="81"/>
            <rFont val="Segoe UI"/>
            <family val="2"/>
          </rPr>
          <t xml:space="preserve">25/01/2024 - Nubank Kelly
</t>
        </r>
      </text>
    </comment>
    <comment ref="C23" authorId="0" shapeId="0" xr:uid="{64A22751-0702-4165-AF22-3404F1589ADB}">
      <text>
        <r>
          <rPr>
            <b/>
            <sz val="9"/>
            <color indexed="81"/>
            <rFont val="Segoe UI"/>
            <family val="2"/>
          </rPr>
          <t>10/02/2024 - ITAÚ</t>
        </r>
      </text>
    </comment>
    <comment ref="D23" authorId="0" shapeId="0" xr:uid="{4FCDDE44-577E-4556-8D58-A5D96EE4F9E0}">
      <text>
        <r>
          <rPr>
            <b/>
            <sz val="9"/>
            <color indexed="81"/>
            <rFont val="Segoe UI"/>
            <family val="2"/>
          </rPr>
          <t>10/03/2024 SANTANDER</t>
        </r>
      </text>
    </comment>
    <comment ref="E23" authorId="0" shapeId="0" xr:uid="{8B440AA5-30A0-4140-AD91-4841D700384B}">
      <text>
        <r>
          <rPr>
            <b/>
            <sz val="9"/>
            <color indexed="81"/>
            <rFont val="Segoe UI"/>
            <family val="2"/>
          </rPr>
          <t>Fatura Não paga, juntar com 05.2024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24" authorId="0" shapeId="0" xr:uid="{2FACAF95-C03B-47E6-98D5-7FA0CCF5AB1D}">
      <text>
        <r>
          <rPr>
            <b/>
            <sz val="9"/>
            <color indexed="81"/>
            <rFont val="Segoe UI"/>
            <family val="2"/>
          </rPr>
          <t>21/10/2024 -  WILLBANK KELLY</t>
        </r>
      </text>
    </comment>
    <comment ref="L24" authorId="0" shapeId="0" xr:uid="{CB833FE2-CE8C-457F-92B4-7D6FAB52BE6B}">
      <text>
        <r>
          <rPr>
            <b/>
            <sz val="9"/>
            <color indexed="81"/>
            <rFont val="Segoe UI"/>
            <family val="2"/>
          </rPr>
          <t>20/11/2024 - WILLBANK</t>
        </r>
      </text>
    </comment>
    <comment ref="M24" authorId="0" shapeId="0" xr:uid="{14299A0D-C14D-435A-8A6B-D05FADD3D25A}">
      <text>
        <r>
          <rPr>
            <b/>
            <sz val="9"/>
            <color indexed="81"/>
            <rFont val="Segoe UI"/>
            <family val="2"/>
          </rPr>
          <t>19/12/2024 - WILL KELLY</t>
        </r>
      </text>
    </comment>
    <comment ref="B25" authorId="0" shapeId="0" xr:uid="{D53A7759-E4DA-455D-A60A-D95B479B8969}">
      <text>
        <r>
          <rPr>
            <b/>
            <sz val="9"/>
            <color indexed="81"/>
            <rFont val="Segoe UI"/>
            <family val="2"/>
          </rPr>
          <t>25/01/2024 - Santander/Nubank</t>
        </r>
      </text>
    </comment>
    <comment ref="C25" authorId="0" shapeId="0" xr:uid="{9C5A1DB4-48AA-41A8-B9C3-C16738DFFBDB}">
      <text>
        <r>
          <rPr>
            <b/>
            <sz val="9"/>
            <color indexed="81"/>
            <rFont val="Segoe UI"/>
            <family val="2"/>
          </rPr>
          <t xml:space="preserve">16/02/2024 - NUBANK KELLY
</t>
        </r>
      </text>
    </comment>
    <comment ref="D25" authorId="0" shapeId="0" xr:uid="{E1F921FD-E5AF-44F1-A3AB-D35D332AE08F}">
      <text>
        <r>
          <rPr>
            <b/>
            <sz val="9"/>
            <color indexed="81"/>
            <rFont val="Segoe UI"/>
            <family val="2"/>
          </rPr>
          <t>R$313,54 - 10/03/2024 - SANTANDER
R$787,71 - 14/03/2024 - ITAU</t>
        </r>
      </text>
    </comment>
    <comment ref="E25" authorId="0" shapeId="0" xr:uid="{1ABD4BF4-9A5C-4B88-B0B8-345EACE52471}">
      <text>
        <r>
          <rPr>
            <b/>
            <sz val="9"/>
            <color indexed="81"/>
            <rFont val="Segoe UI"/>
            <family val="2"/>
          </rPr>
          <t>30/04/2024 -NUBANK KELLY</t>
        </r>
      </text>
    </comment>
    <comment ref="F25" authorId="0" shapeId="0" xr:uid="{B2812377-02D9-4E45-8B49-441E38823B20}">
      <text>
        <r>
          <rPr>
            <b/>
            <sz val="9"/>
            <color indexed="81"/>
            <rFont val="Segoe UI"/>
            <family val="2"/>
          </rPr>
          <t>21/05/2024 - NUBANK KELLY</t>
        </r>
      </text>
    </comment>
    <comment ref="G25" authorId="0" shapeId="0" xr:uid="{184FF2C0-EAFA-4CDE-B04E-7F3EE735E93F}">
      <text>
        <r>
          <rPr>
            <b/>
            <sz val="9"/>
            <color indexed="81"/>
            <rFont val="Segoe UI"/>
            <family val="2"/>
          </rPr>
          <t>22/05/2024 - NUBANK KELLY</t>
        </r>
      </text>
    </comment>
    <comment ref="H25" authorId="0" shapeId="0" xr:uid="{F86235C4-D39A-499D-B07F-690A536A026F}">
      <text>
        <r>
          <rPr>
            <b/>
            <sz val="9"/>
            <color indexed="81"/>
            <rFont val="Segoe UI"/>
            <family val="2"/>
          </rPr>
          <t>20/07/2024 - NUBANK KELLY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25" authorId="0" shapeId="0" xr:uid="{43A4F812-640C-4546-B3D1-CDAE7BAC0D40}">
      <text>
        <r>
          <rPr>
            <b/>
            <sz val="9"/>
            <color indexed="81"/>
            <rFont val="Segoe UI"/>
            <family val="2"/>
          </rPr>
          <t>19/08/2024 - NUBANK KELLY</t>
        </r>
      </text>
    </comment>
    <comment ref="J25" authorId="0" shapeId="0" xr:uid="{B2AD12EF-238C-4AE3-BFF0-A9808DD6FAD3}">
      <text>
        <r>
          <rPr>
            <b/>
            <sz val="9"/>
            <color indexed="81"/>
            <rFont val="Segoe UI"/>
            <family val="2"/>
          </rPr>
          <t>15/09/2024 -  NUBANK KELLY</t>
        </r>
      </text>
    </comment>
    <comment ref="K25" authorId="0" shapeId="0" xr:uid="{DC9B8019-5135-43D6-94D3-29BB6DCD8962}">
      <text>
        <r>
          <rPr>
            <b/>
            <sz val="9"/>
            <color indexed="81"/>
            <rFont val="Segoe UI"/>
            <family val="2"/>
          </rPr>
          <t>17/10/2024 - NUBANK KELLY</t>
        </r>
      </text>
    </comment>
    <comment ref="L25" authorId="0" shapeId="0" xr:uid="{17E5C739-2B0A-46D3-BDE3-4436415EAB64}">
      <text>
        <r>
          <rPr>
            <b/>
            <sz val="9"/>
            <color indexed="81"/>
            <rFont val="Segoe UI"/>
            <family val="2"/>
          </rPr>
          <t>24/11/2024 - NUBANK KELLY</t>
        </r>
      </text>
    </comment>
    <comment ref="M25" authorId="0" shapeId="0" xr:uid="{DAC37EC5-0C7B-4A39-84C0-FA584DF93B80}">
      <text>
        <r>
          <rPr>
            <b/>
            <sz val="9"/>
            <color indexed="81"/>
            <rFont val="Segoe UI"/>
            <family val="2"/>
          </rPr>
          <t>23/12/2024 - NUBNK KELLY</t>
        </r>
      </text>
    </comment>
    <comment ref="C26" authorId="0" shapeId="0" xr:uid="{6728F454-3496-417D-A52B-93DEFD393C71}">
      <text>
        <r>
          <rPr>
            <b/>
            <sz val="9"/>
            <color indexed="81"/>
            <rFont val="Segoe UI"/>
            <family val="2"/>
          </rPr>
          <t>16/02/2024 - ITAU</t>
        </r>
      </text>
    </comment>
    <comment ref="D26" authorId="0" shapeId="0" xr:uid="{CD574505-DBBD-4F43-A349-9F788EF435CC}">
      <text>
        <r>
          <rPr>
            <b/>
            <sz val="9"/>
            <color indexed="81"/>
            <rFont val="Segoe UI"/>
            <family val="2"/>
          </rPr>
          <t>14/0/2024 - ITAU</t>
        </r>
      </text>
    </comment>
    <comment ref="E26" authorId="0" shapeId="0" xr:uid="{9A9AC651-6B48-4DD7-B279-A23335ED4C42}">
      <text>
        <r>
          <rPr>
            <b/>
            <sz val="9"/>
            <color indexed="81"/>
            <rFont val="Segoe UI"/>
            <family val="2"/>
          </rPr>
          <t xml:space="preserve">24/04/2024 - NUBANK CREDITO
</t>
        </r>
      </text>
    </comment>
    <comment ref="F26" authorId="0" shapeId="0" xr:uid="{4A8C86B3-AA81-4628-A8AC-129619C44707}">
      <text>
        <r>
          <rPr>
            <b/>
            <sz val="9"/>
            <color indexed="81"/>
            <rFont val="Segoe UI"/>
            <family val="2"/>
          </rPr>
          <t>31/05/2024 - ITAU DANI</t>
        </r>
      </text>
    </comment>
    <comment ref="G26" authorId="0" shapeId="0" xr:uid="{A5D771B9-AF64-41CD-AE3E-A77AEC58C426}">
      <text>
        <r>
          <rPr>
            <b/>
            <sz val="9"/>
            <color indexed="81"/>
            <rFont val="Segoe UI"/>
            <family val="2"/>
          </rPr>
          <t>24/06/2024 - Itaú Dani</t>
        </r>
      </text>
    </comment>
    <comment ref="H26" authorId="0" shapeId="0" xr:uid="{19C8B17A-2F3B-459D-9A37-27E1682F4758}">
      <text>
        <r>
          <rPr>
            <b/>
            <sz val="9"/>
            <color indexed="81"/>
            <rFont val="Segoe UI"/>
            <family val="2"/>
          </rPr>
          <t>20/07/2024 AGENDADO PARA 22/07/2024 - NUBANK DANI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26" authorId="0" shapeId="0" xr:uid="{3376D5D1-125D-4E92-AE6F-C1F2DF6B79CB}">
      <text>
        <r>
          <rPr>
            <b/>
            <sz val="9"/>
            <color indexed="81"/>
            <rFont val="Segoe UI"/>
            <family val="2"/>
          </rPr>
          <t>07/08/2024 - ITAU DANI</t>
        </r>
      </text>
    </comment>
    <comment ref="J26" authorId="0" shapeId="0" xr:uid="{87ABF021-4A90-4A7A-9DF7-1B96D4442EB2}">
      <text>
        <r>
          <rPr>
            <b/>
            <sz val="9"/>
            <color indexed="81"/>
            <rFont val="Segoe UI"/>
            <family val="2"/>
          </rPr>
          <t>13/09/2024 - NUBANK DANI</t>
        </r>
      </text>
    </comment>
    <comment ref="K26" authorId="0" shapeId="0" xr:uid="{22799B01-4DEE-4E7C-B8D0-5A40AC5095A2}">
      <text>
        <r>
          <rPr>
            <b/>
            <sz val="9"/>
            <color indexed="81"/>
            <rFont val="Segoe UI"/>
            <family val="2"/>
          </rPr>
          <t>17/10/2024 -  NUBANK KELLY</t>
        </r>
      </text>
    </comment>
    <comment ref="L26" authorId="0" shapeId="0" xr:uid="{23E7EAD0-B4CA-4F1E-8F42-E60FC0A81E38}">
      <text>
        <r>
          <rPr>
            <b/>
            <sz val="9"/>
            <color indexed="81"/>
            <rFont val="Segoe UI"/>
            <family val="2"/>
          </rPr>
          <t>21/11/2024 - ITAU DANI</t>
        </r>
      </text>
    </comment>
    <comment ref="M26" authorId="0" shapeId="0" xr:uid="{9AEB4D15-07E0-445F-9692-69F5DE950E96}">
      <text>
        <r>
          <rPr>
            <b/>
            <sz val="9"/>
            <color indexed="81"/>
            <rFont val="Segoe UI"/>
            <family val="2"/>
          </rPr>
          <t>23/12/2024 - ITAU DANI</t>
        </r>
      </text>
    </comment>
    <comment ref="B27" authorId="0" shapeId="0" xr:uid="{CF9FAF5D-4A14-4914-B6B8-1752DD142969}">
      <text>
        <r>
          <rPr>
            <b/>
            <sz val="9"/>
            <color indexed="81"/>
            <rFont val="Segoe UI"/>
            <family val="2"/>
          </rPr>
          <t>30/01/2024 - ITAU</t>
        </r>
      </text>
    </comment>
    <comment ref="C27" authorId="0" shapeId="0" xr:uid="{1234E1C8-C3B9-4193-ABAC-CAB6E1B9BEC6}">
      <text>
        <r>
          <rPr>
            <b/>
            <sz val="9"/>
            <color indexed="81"/>
            <rFont val="Segoe UI"/>
            <family val="2"/>
          </rPr>
          <t xml:space="preserve">25/02/2024 - R$1.150,00 - itau
26/02/2024 - R$400 - itau
28/02/2024 - R$174,16 itau
</t>
        </r>
      </text>
    </comment>
    <comment ref="D27" authorId="0" shapeId="0" xr:uid="{878C572C-4115-4AA3-9D7F-FBE520325ADA}">
      <text>
        <r>
          <rPr>
            <b/>
            <sz val="9"/>
            <color indexed="81"/>
            <rFont val="Segoe UI"/>
            <family val="2"/>
          </rPr>
          <t>16/03/2024 -  ITAU</t>
        </r>
      </text>
    </comment>
    <comment ref="E27" authorId="0" shapeId="0" xr:uid="{38200BE6-A808-4568-BF05-C7B4570CDDB4}">
      <text>
        <r>
          <rPr>
            <b/>
            <sz val="9"/>
            <color indexed="81"/>
            <rFont val="Segoe UI"/>
            <family val="2"/>
          </rPr>
          <t xml:space="preserve">25/04/2024 – ITAU
</t>
        </r>
      </text>
    </comment>
    <comment ref="F27" authorId="0" shapeId="0" xr:uid="{B7F4B802-2173-4630-B496-ACA8D131F889}">
      <text>
        <r>
          <rPr>
            <b/>
            <sz val="9"/>
            <color indexed="81"/>
            <rFont val="Segoe UI"/>
            <family val="2"/>
          </rPr>
          <t xml:space="preserve">23/05/2024 - NUBANK KELLY - R$1.200,00
29/05/2024 - NUBANK KELLY R$110,00
</t>
        </r>
      </text>
    </comment>
    <comment ref="G27" authorId="0" shapeId="0" xr:uid="{BBE48AA8-C97B-4F52-8CAB-8672F2B72C39}">
      <text>
        <r>
          <rPr>
            <b/>
            <sz val="9"/>
            <color indexed="81"/>
            <rFont val="Segoe UI"/>
            <family val="2"/>
          </rPr>
          <t>25/06/2024 - Nubank Kelly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27" authorId="0" shapeId="0" xr:uid="{7BDD6266-8218-4D55-B708-3BEA8D4F2DF1}">
      <text>
        <r>
          <rPr>
            <b/>
            <sz val="9"/>
            <color indexed="81"/>
            <rFont val="Segoe UI"/>
            <family val="2"/>
          </rPr>
          <t>20/07/2024 - NUBANK DANI</t>
        </r>
      </text>
    </comment>
    <comment ref="I27" authorId="0" shapeId="0" xr:uid="{84DA4126-28A6-4AD8-B878-91002D9E4F35}">
      <text>
        <r>
          <rPr>
            <b/>
            <sz val="9"/>
            <color indexed="81"/>
            <rFont val="Segoe UI"/>
            <family val="2"/>
          </rPr>
          <t xml:space="preserve">11/08/2024 - ITAU DANI R$594,53
20/08/2024 - ITAU DANI R$219,58
</t>
        </r>
      </text>
    </comment>
    <comment ref="J27" authorId="0" shapeId="0" xr:uid="{BBEB8031-4C9E-42CE-993F-A50D4314077A}">
      <text>
        <r>
          <rPr>
            <b/>
            <sz val="9"/>
            <color indexed="81"/>
            <rFont val="Segoe UI"/>
            <family val="2"/>
          </rPr>
          <t>25/09/2024 -  Nubank Dani</t>
        </r>
      </text>
    </comment>
    <comment ref="K27" authorId="0" shapeId="0" xr:uid="{CB3ECEE7-BF04-48F7-9809-15FC1B9AC269}">
      <text>
        <r>
          <rPr>
            <b/>
            <sz val="9"/>
            <color indexed="81"/>
            <rFont val="Segoe UI"/>
            <family val="2"/>
          </rPr>
          <t>21/10/2024 - R$1000 - ITAU DANI
21/10/2024 - 756,17 - NUBANK DANI</t>
        </r>
      </text>
    </comment>
    <comment ref="L27" authorId="0" shapeId="0" xr:uid="{9137D68F-9A16-49EF-A6D9-BB29A9EAAACB}">
      <text>
        <r>
          <rPr>
            <b/>
            <sz val="9"/>
            <color indexed="81"/>
            <rFont val="Segoe UI"/>
            <family val="2"/>
          </rPr>
          <t>24/11/2024 - NUBANK DANI</t>
        </r>
      </text>
    </comment>
    <comment ref="M27" authorId="0" shapeId="0" xr:uid="{2E17AC7C-5450-4434-BBE5-11AA902C24C6}">
      <text>
        <r>
          <rPr>
            <b/>
            <sz val="9"/>
            <color indexed="81"/>
            <rFont val="Segoe UI"/>
            <family val="2"/>
          </rPr>
          <t>23/12/2024 - ITAU DANI</t>
        </r>
      </text>
    </comment>
    <comment ref="B28" authorId="0" shapeId="0" xr:uid="{DBBB85B2-63D7-45C4-8A07-4207112F8BE8}">
      <text>
        <r>
          <rPr>
            <b/>
            <sz val="9"/>
            <color indexed="81"/>
            <rFont val="Segoe UI"/>
            <family val="2"/>
          </rPr>
          <t>03/02/2024 - itau</t>
        </r>
      </text>
    </comment>
    <comment ref="C28" authorId="0" shapeId="0" xr:uid="{B04C4F86-49F6-4F75-834C-AC69CD0D0E48}">
      <text>
        <r>
          <rPr>
            <b/>
            <sz val="9"/>
            <color indexed="81"/>
            <rFont val="Segoe UI"/>
            <family val="2"/>
          </rPr>
          <t xml:space="preserve">28/02/2024 - Nubank Dani
</t>
        </r>
      </text>
    </comment>
    <comment ref="D28" authorId="0" shapeId="0" xr:uid="{5CE38911-5D97-4715-A57F-6B2261FA48E2}">
      <text>
        <r>
          <rPr>
            <b/>
            <sz val="9"/>
            <color indexed="81"/>
            <rFont val="Segoe UI"/>
            <family val="2"/>
          </rPr>
          <t>24/03/2024 - CAIXA</t>
        </r>
      </text>
    </comment>
    <comment ref="E28" authorId="0" shapeId="0" xr:uid="{C13BFDAD-FAA0-4F47-8FEC-5AD5B4D76C32}">
      <text>
        <r>
          <rPr>
            <b/>
            <sz val="9"/>
            <color indexed="81"/>
            <rFont val="Segoe UI"/>
            <family val="2"/>
          </rPr>
          <t xml:space="preserve">24/04/2024 - ITAU
</t>
        </r>
      </text>
    </comment>
    <comment ref="F28" authorId="0" shapeId="0" xr:uid="{DF74CF03-8F76-44DA-95B5-27C5B2616921}">
      <text>
        <r>
          <rPr>
            <b/>
            <sz val="9"/>
            <color indexed="81"/>
            <rFont val="Segoe UI"/>
            <family val="2"/>
          </rPr>
          <t>31/05/2024 - ITAU DANI</t>
        </r>
      </text>
    </comment>
    <comment ref="G28" authorId="0" shapeId="0" xr:uid="{E79B976B-2A79-43DC-B9EC-ABBCA6A7580E}">
      <text>
        <r>
          <rPr>
            <b/>
            <sz val="9"/>
            <color indexed="81"/>
            <rFont val="Segoe UI"/>
            <family val="2"/>
          </rPr>
          <t>28/06/2024 - Itau Dani</t>
        </r>
      </text>
    </comment>
    <comment ref="H28" authorId="0" shapeId="0" xr:uid="{DEFD1573-985E-4B8B-ACFB-BFB911CBF8F2}">
      <text>
        <r>
          <rPr>
            <b/>
            <sz val="9"/>
            <color indexed="81"/>
            <rFont val="Segoe UI"/>
            <family val="2"/>
          </rPr>
          <t>17/07/2024 - NU DANI</t>
        </r>
      </text>
    </comment>
    <comment ref="I28" authorId="0" shapeId="0" xr:uid="{2CFEB550-2B6D-4521-945C-2113DFE73FF8}">
      <text>
        <r>
          <rPr>
            <b/>
            <sz val="9"/>
            <color indexed="81"/>
            <rFont val="Segoe UI"/>
            <family val="2"/>
          </rPr>
          <t>19/08/2024 - ITAU DANI</t>
        </r>
      </text>
    </comment>
    <comment ref="J28" authorId="0" shapeId="0" xr:uid="{3C913220-E0A7-41E4-8393-F90EE5211480}">
      <text>
        <r>
          <rPr>
            <b/>
            <sz val="9"/>
            <color indexed="81"/>
            <rFont val="Segoe UI"/>
            <family val="2"/>
          </rPr>
          <t>18/09/2024 - NUBANK DANI</t>
        </r>
      </text>
    </comment>
    <comment ref="K28" authorId="0" shapeId="0" xr:uid="{3F533E50-EA73-470F-B987-90003DB367B5}">
      <text>
        <r>
          <rPr>
            <b/>
            <sz val="9"/>
            <color indexed="81"/>
            <rFont val="Segoe UI"/>
            <family val="2"/>
          </rPr>
          <t xml:space="preserve">24/10/2024
</t>
        </r>
      </text>
    </comment>
    <comment ref="L28" authorId="0" shapeId="0" xr:uid="{3B61AA23-E0A7-4ECC-BFA0-3CD67E535728}">
      <text>
        <r>
          <rPr>
            <b/>
            <sz val="9"/>
            <color indexed="81"/>
            <rFont val="Segoe UI"/>
            <family val="2"/>
          </rPr>
          <t>19/11/2024 - ITAU DANI (CONTA COM VENCIMENTO EM 26/11/2024)</t>
        </r>
      </text>
    </comment>
    <comment ref="M28" authorId="0" shapeId="0" xr:uid="{1870FFEF-5BC0-438F-892D-DDAA9C42E80E}">
      <text>
        <r>
          <rPr>
            <b/>
            <sz val="9"/>
            <color indexed="81"/>
            <rFont val="Segoe UI"/>
            <family val="2"/>
          </rPr>
          <t>19/12/2024 - ITAU DANI</t>
        </r>
      </text>
    </comment>
    <comment ref="B29" authorId="0" shapeId="0" xr:uid="{A73F5BCD-FB5D-42A5-8A35-E14974B66EDA}">
      <text>
        <r>
          <rPr>
            <b/>
            <sz val="9"/>
            <color indexed="81"/>
            <rFont val="Segoe UI"/>
            <family val="2"/>
          </rPr>
          <t xml:space="preserve">25/01/2024 -  Santander
</t>
        </r>
      </text>
    </comment>
    <comment ref="C29" authorId="0" shapeId="0" xr:uid="{E9AF3CEA-8CFD-4308-8917-B02C290F50C2}">
      <text>
        <r>
          <rPr>
            <b/>
            <sz val="9"/>
            <color indexed="81"/>
            <rFont val="Segoe UI"/>
            <family val="2"/>
          </rPr>
          <t>07/02/2024 -NUBANK DANI
28/02/2024 - R$179,19 ITAU</t>
        </r>
      </text>
    </comment>
    <comment ref="D29" authorId="0" shapeId="0" xr:uid="{1679B1E7-4EA8-4C54-A016-A320A6C7F5BE}">
      <text>
        <r>
          <rPr>
            <b/>
            <sz val="9"/>
            <color indexed="81"/>
            <rFont val="Segoe UI"/>
            <family val="2"/>
          </rPr>
          <t>10/03/2024 -  SANTANDER</t>
        </r>
      </text>
    </comment>
    <comment ref="E29" authorId="0" shapeId="0" xr:uid="{0A5D759A-7C18-4F55-9B86-0B5B5EFCCFD5}">
      <text>
        <r>
          <rPr>
            <b/>
            <sz val="9"/>
            <color indexed="81"/>
            <rFont val="Segoe UI"/>
            <family val="2"/>
          </rPr>
          <t>24/04/2024 - NUBANK</t>
        </r>
      </text>
    </comment>
    <comment ref="F29" authorId="0" shapeId="0" xr:uid="{4AFE5214-3AB8-4925-BAC9-F26EE08D69CB}">
      <text>
        <r>
          <rPr>
            <b/>
            <sz val="9"/>
            <color indexed="81"/>
            <rFont val="Segoe UI"/>
            <family val="2"/>
          </rPr>
          <t>29/05/2024 - ITAU DANI</t>
        </r>
      </text>
    </comment>
    <comment ref="G29" authorId="0" shapeId="0" xr:uid="{93D56805-615A-47FE-91AD-9BF04BD028C2}">
      <text>
        <r>
          <rPr>
            <b/>
            <sz val="9"/>
            <color indexed="81"/>
            <rFont val="Segoe UI"/>
            <family val="2"/>
          </rPr>
          <t>28/06/2024 - Itau Dani</t>
        </r>
      </text>
    </comment>
    <comment ref="H29" authorId="0" shapeId="0" xr:uid="{BAE41EDF-7B98-4E9F-AFC8-0A7407E278C0}">
      <text>
        <r>
          <rPr>
            <b/>
            <sz val="9"/>
            <color indexed="81"/>
            <rFont val="Segoe UI"/>
            <family val="2"/>
          </rPr>
          <t>17/07/2024 - NU KELLY</t>
        </r>
      </text>
    </comment>
    <comment ref="I29" authorId="0" shapeId="0" xr:uid="{4F70625A-293F-42C2-8A4B-8D0B35E9909A}">
      <text>
        <r>
          <rPr>
            <b/>
            <sz val="9"/>
            <color indexed="81"/>
            <rFont val="Segoe UI"/>
            <family val="2"/>
          </rPr>
          <t xml:space="preserve">19/08/2024 - ITAU DANI
</t>
        </r>
      </text>
    </comment>
    <comment ref="J29" authorId="0" shapeId="0" xr:uid="{7B84B74E-ABC3-4674-8C40-115C5B34DB0B}">
      <text>
        <r>
          <rPr>
            <b/>
            <sz val="9"/>
            <color indexed="81"/>
            <rFont val="Segoe UI"/>
            <family val="2"/>
          </rPr>
          <t>12/09/2024 - ITAU DANI</t>
        </r>
      </text>
    </comment>
    <comment ref="K29" authorId="0" shapeId="0" xr:uid="{487D656F-88A5-4D9A-B6B2-F43D3A221EDC}">
      <text>
        <r>
          <rPr>
            <b/>
            <sz val="9"/>
            <color indexed="81"/>
            <rFont val="Segoe UI"/>
            <family val="2"/>
          </rPr>
          <t>24/10/2024 - ITAU DANI</t>
        </r>
      </text>
    </comment>
    <comment ref="L29" authorId="0" shapeId="0" xr:uid="{9543355A-A3C5-4362-8481-ED697D77F34B}">
      <text>
        <r>
          <rPr>
            <b/>
            <sz val="9"/>
            <color indexed="81"/>
            <rFont val="Segoe UI"/>
            <family val="2"/>
          </rPr>
          <t>14/11/2024 - ITAU DANI</t>
        </r>
      </text>
    </comment>
    <comment ref="M29" authorId="0" shapeId="0" xr:uid="{58719645-2A8B-4EF6-8DA1-C4DA0629E923}">
      <text>
        <r>
          <rPr>
            <b/>
            <sz val="9"/>
            <color indexed="81"/>
            <rFont val="Segoe UI"/>
            <family val="2"/>
          </rPr>
          <t>14/12/2024 -  ITAU DANI</t>
        </r>
      </text>
    </comment>
    <comment ref="B30" authorId="0" shapeId="0" xr:uid="{08118532-3256-4F95-9CBB-42BA93964976}">
      <text>
        <r>
          <rPr>
            <b/>
            <sz val="9"/>
            <color indexed="81"/>
            <rFont val="Segoe UI"/>
            <family val="2"/>
          </rPr>
          <t>25/01/24 - Hiper Chico 6x</t>
        </r>
      </text>
    </comment>
    <comment ref="C30" authorId="0" shapeId="0" xr:uid="{6A9554DA-71B5-442D-9829-830B8D4CC8CF}">
      <text>
        <r>
          <rPr>
            <b/>
            <sz val="9"/>
            <color indexed="81"/>
            <rFont val="Segoe UI"/>
            <family val="2"/>
          </rPr>
          <t xml:space="preserve">28/02/2024 - Nubank
</t>
        </r>
      </text>
    </comment>
    <comment ref="D30" authorId="0" shapeId="0" xr:uid="{DD064C1E-77B7-4C52-8DA1-66382F9E69D5}">
      <text>
        <r>
          <rPr>
            <b/>
            <sz val="9"/>
            <color indexed="81"/>
            <rFont val="Segoe UI"/>
            <family val="2"/>
          </rPr>
          <t>24/03/2024 - HIPERCARD CHICO EM 3x</t>
        </r>
      </text>
    </comment>
    <comment ref="E30" authorId="0" shapeId="0" xr:uid="{1FD5D5DC-266B-4B65-B245-1B986353F692}">
      <text>
        <r>
          <rPr>
            <b/>
            <sz val="9"/>
            <color indexed="81"/>
            <rFont val="Segoe UI"/>
            <family val="2"/>
          </rPr>
          <t>31/05/2024 - CLICK DANI</t>
        </r>
      </text>
    </comment>
    <comment ref="F30" authorId="0" shapeId="0" xr:uid="{797BF74A-01B6-4761-83F9-01D49DE65876}">
      <text>
        <r>
          <rPr>
            <b/>
            <sz val="9"/>
            <color indexed="81"/>
            <rFont val="Segoe UI"/>
            <family val="2"/>
          </rPr>
          <t>19/06/2024 -ITAU CREDITO KELLY</t>
        </r>
      </text>
    </comment>
    <comment ref="G30" authorId="0" shapeId="0" xr:uid="{B6A02735-9E27-4B98-A078-F50FEC5EEFCB}">
      <text>
        <r>
          <rPr>
            <b/>
            <sz val="9"/>
            <color indexed="81"/>
            <rFont val="Segoe UI"/>
            <family val="2"/>
          </rPr>
          <t>19/06/2024 -ITAU CREDITO KELLY</t>
        </r>
      </text>
    </comment>
    <comment ref="D31" authorId="0" shapeId="0" xr:uid="{C785D58E-B784-489E-B2C3-F5F3FD1B435A}">
      <text>
        <r>
          <rPr>
            <b/>
            <sz val="9"/>
            <color indexed="81"/>
            <rFont val="Segoe UI"/>
            <family val="2"/>
          </rPr>
          <t>08/03/2024 -  SANTANDER</t>
        </r>
      </text>
    </comment>
    <comment ref="G36" authorId="0" shapeId="0" xr:uid="{DD3FDB6D-CF74-4987-B172-A9FA49B80F81}">
      <text>
        <r>
          <rPr>
            <b/>
            <sz val="9"/>
            <color indexed="81"/>
            <rFont val="Segoe UI"/>
            <family val="2"/>
          </rPr>
          <t>RESTITUIÇÃO IRRF R$934,28 - 28/06/2024</t>
        </r>
      </text>
    </comment>
    <comment ref="H36" authorId="0" shapeId="0" xr:uid="{F9FF3AAC-F044-42CC-8706-FEC9ECCA28E2}">
      <text>
        <r>
          <rPr>
            <b/>
            <sz val="9"/>
            <color indexed="81"/>
            <rFont val="Segoe UI"/>
            <family val="2"/>
          </rPr>
          <t>FÉRIAS DANI - R$4.235,83 05/08 à 10/08</t>
        </r>
      </text>
    </comment>
    <comment ref="M41" authorId="0" shapeId="0" xr:uid="{E05CE9E7-B64B-4F74-9DE6-BC8D521431E0}">
      <text>
        <r>
          <rPr>
            <b/>
            <sz val="9"/>
            <color indexed="81"/>
            <rFont val="Segoe UI"/>
            <family val="2"/>
          </rPr>
          <t>SALARIO + 13º + CYAN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Santos</author>
  </authors>
  <commentList>
    <comment ref="B3" authorId="0" shapeId="0" xr:uid="{1C292FC0-860B-4435-BC2B-65D8FAEAD45A}">
      <text>
        <r>
          <rPr>
            <b/>
            <sz val="9"/>
            <color indexed="81"/>
            <rFont val="Segoe UI"/>
            <family val="2"/>
          </rPr>
          <t>09/12/2024 - NUBANK DANI
02/01/2025 - R$44,56 - NUBANK DANI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3" authorId="0" shapeId="0" xr:uid="{6A227E7A-AAAC-4BBA-8DAA-2AF3208B4EBD}">
      <text>
        <r>
          <rPr>
            <b/>
            <sz val="9"/>
            <color indexed="81"/>
            <rFont val="Segoe UI"/>
            <charset val="1"/>
          </rPr>
          <t>02/02/2025 - ITAU DANI</t>
        </r>
      </text>
    </comment>
    <comment ref="D3" authorId="0" shapeId="0" xr:uid="{52FCAE6E-541F-4AB7-9104-78700BB28743}">
      <text>
        <r>
          <rPr>
            <b/>
            <sz val="9"/>
            <color indexed="81"/>
            <rFont val="Segoe UI"/>
            <charset val="1"/>
          </rPr>
          <t>18/02/2025 - NUBANK DANI</t>
        </r>
      </text>
    </comment>
    <comment ref="E3" authorId="0" shapeId="0" xr:uid="{0088E42F-7DFF-43A3-A04C-2DA14C97699F}">
      <text>
        <r>
          <rPr>
            <b/>
            <sz val="9"/>
            <color indexed="81"/>
            <rFont val="Segoe UI"/>
            <charset val="1"/>
          </rPr>
          <t>25/03/2025 - NUBANK DANI</t>
        </r>
      </text>
    </comment>
    <comment ref="F3" authorId="0" shapeId="0" xr:uid="{963BD557-3CA6-4B4A-8AF1-1C07B9ABF7C8}">
      <text>
        <r>
          <rPr>
            <b/>
            <sz val="9"/>
            <color indexed="81"/>
            <rFont val="Segoe UI"/>
            <charset val="1"/>
          </rPr>
          <t>03/05/2025 - NUBANK DANI</t>
        </r>
      </text>
    </comment>
    <comment ref="G3" authorId="0" shapeId="0" xr:uid="{D11D0BEE-3EAF-48D9-B539-287CBE9F2B6F}">
      <text>
        <r>
          <rPr>
            <b/>
            <sz val="9"/>
            <color indexed="81"/>
            <rFont val="Segoe UI"/>
            <charset val="1"/>
          </rPr>
          <t>02/06/2025 - NUBNAK DANI</t>
        </r>
      </text>
    </comment>
    <comment ref="C4" authorId="0" shapeId="0" xr:uid="{263986C4-FCBD-4E51-82A3-11F5E9EF9F4D}">
      <text>
        <r>
          <rPr>
            <b/>
            <sz val="9"/>
            <color indexed="81"/>
            <rFont val="Segoe UI"/>
            <charset val="1"/>
          </rPr>
          <t>02/02/2025 - NUBANK DANI</t>
        </r>
      </text>
    </comment>
    <comment ref="D4" authorId="0" shapeId="0" xr:uid="{0FBB3937-226D-4A40-B7DB-42E3E1997D46}">
      <text>
        <r>
          <rPr>
            <b/>
            <sz val="9"/>
            <color indexed="81"/>
            <rFont val="Segoe UI"/>
            <charset val="1"/>
          </rPr>
          <t>01/03/2025 - ITAU DANI</t>
        </r>
      </text>
    </comment>
    <comment ref="E4" authorId="0" shapeId="0" xr:uid="{D857B666-8995-440E-BA9A-FD3BE38E93B8}">
      <text>
        <r>
          <rPr>
            <b/>
            <sz val="9"/>
            <color indexed="81"/>
            <rFont val="Segoe UI"/>
            <charset val="1"/>
          </rPr>
          <t>25/03/2025 - ITAU DANI</t>
        </r>
      </text>
    </comment>
    <comment ref="F4" authorId="0" shapeId="0" xr:uid="{01539EA5-5A41-4A22-BBD5-84E0F25BC870}">
      <text>
        <r>
          <rPr>
            <b/>
            <sz val="9"/>
            <color indexed="81"/>
            <rFont val="Segoe UI"/>
            <charset val="1"/>
          </rPr>
          <t xml:space="preserve">13/05/2025 - ITAU DANI
</t>
        </r>
      </text>
    </comment>
    <comment ref="B5" authorId="0" shapeId="0" xr:uid="{E9581E41-0286-4D9F-A874-9E99C67CEACF}">
      <text>
        <r>
          <rPr>
            <b/>
            <sz val="9"/>
            <color indexed="81"/>
            <rFont val="Segoe UI"/>
            <family val="2"/>
          </rPr>
          <t>02/01/2025 - NUBANK DANI</t>
        </r>
      </text>
    </comment>
    <comment ref="C5" authorId="0" shapeId="0" xr:uid="{6691BEBC-85C5-4B92-998C-20FF3487945C}">
      <text>
        <r>
          <rPr>
            <b/>
            <sz val="9"/>
            <color indexed="81"/>
            <rFont val="Segoe UI"/>
            <charset val="1"/>
          </rPr>
          <t>02/02/2025 - ITAU DANI</t>
        </r>
      </text>
    </comment>
    <comment ref="D5" authorId="0" shapeId="0" xr:uid="{CACEE2FA-0F06-46F8-8B2B-56788AF2BD90}">
      <text>
        <r>
          <rPr>
            <b/>
            <sz val="9"/>
            <color indexed="81"/>
            <rFont val="Segoe UI"/>
            <charset val="1"/>
          </rPr>
          <t>01/03/2025 - ITAU DANI CREDITO</t>
        </r>
      </text>
    </comment>
    <comment ref="E5" authorId="0" shapeId="0" xr:uid="{E9EE9EA2-C6FA-4A2F-B50B-0A85DFBFA301}">
      <text>
        <r>
          <rPr>
            <b/>
            <sz val="9"/>
            <color indexed="81"/>
            <rFont val="Segoe UI"/>
            <charset val="1"/>
          </rPr>
          <t>28/03/2025 - ITAU DANI</t>
        </r>
      </text>
    </comment>
    <comment ref="F5" authorId="0" shapeId="0" xr:uid="{7611AF7D-A088-4347-A6EE-F0C1ECAEEC8B}">
      <text>
        <r>
          <rPr>
            <b/>
            <sz val="9"/>
            <color indexed="81"/>
            <rFont val="Segoe UI"/>
            <charset val="1"/>
          </rPr>
          <t>03/05/2025 - ITAU DANI</t>
        </r>
      </text>
    </comment>
    <comment ref="G5" authorId="0" shapeId="0" xr:uid="{4B742EF5-1100-4F86-9FA1-C8795E8D8349}">
      <text>
        <r>
          <rPr>
            <b/>
            <sz val="9"/>
            <color indexed="81"/>
            <rFont val="Segoe UI"/>
            <charset val="1"/>
          </rPr>
          <t>02/06/2025 - ITAÚ DANI</t>
        </r>
      </text>
    </comment>
    <comment ref="H5" authorId="0" shapeId="0" xr:uid="{E5071E8C-BC56-4EE4-B42E-8822B151BD31}">
      <text>
        <r>
          <rPr>
            <b/>
            <sz val="9"/>
            <color indexed="81"/>
            <rFont val="Segoe UI"/>
            <family val="2"/>
          </rPr>
          <t>05/07/2025 - ITAU DANI</t>
        </r>
      </text>
    </comment>
    <comment ref="B6" authorId="0" shapeId="0" xr:uid="{F7B2ECC3-95E3-4C3C-8BDD-6845D7E29645}">
      <text>
        <r>
          <rPr>
            <b/>
            <sz val="9"/>
            <color indexed="81"/>
            <rFont val="Segoe UI"/>
            <family val="2"/>
          </rPr>
          <t>05/01/2025 - ITAU DANI</t>
        </r>
      </text>
    </comment>
    <comment ref="C6" authorId="0" shapeId="0" xr:uid="{4CB23709-5A1A-49E2-ABA6-D49C5CD211EA}">
      <text>
        <r>
          <rPr>
            <b/>
            <sz val="9"/>
            <color indexed="81"/>
            <rFont val="Segoe UI"/>
            <charset val="1"/>
          </rPr>
          <t>02/02/2025 - ITAU DANI</t>
        </r>
      </text>
    </comment>
    <comment ref="D6" authorId="0" shapeId="0" xr:uid="{C39AAE86-0657-4A13-82B6-3A7FE1752E1D}">
      <text>
        <r>
          <rPr>
            <b/>
            <sz val="9"/>
            <color indexed="81"/>
            <rFont val="Segoe UI"/>
            <charset val="1"/>
          </rPr>
          <t>01/03/2025 - ITAU DANI</t>
        </r>
      </text>
    </comment>
    <comment ref="E6" authorId="0" shapeId="0" xr:uid="{6B1B979C-6B72-458D-8E64-EAEFE904F279}">
      <text>
        <r>
          <rPr>
            <b/>
            <sz val="9"/>
            <color indexed="81"/>
            <rFont val="Segoe UI"/>
            <charset val="1"/>
          </rPr>
          <t>28/03/2025 -  ITAU DANI</t>
        </r>
      </text>
    </comment>
    <comment ref="F6" authorId="0" shapeId="0" xr:uid="{483D3230-D309-407C-A170-0EAFB919F62F}">
      <text>
        <r>
          <rPr>
            <b/>
            <sz val="9"/>
            <color indexed="81"/>
            <rFont val="Segoe UI"/>
            <family val="2"/>
          </rPr>
          <t>03/05/2025 - ITAU DANI</t>
        </r>
      </text>
    </comment>
    <comment ref="G6" authorId="0" shapeId="0" xr:uid="{FEF14DF9-1505-4562-8CF9-7D911B015635}">
      <text>
        <r>
          <rPr>
            <b/>
            <sz val="9"/>
            <color indexed="81"/>
            <rFont val="Segoe UI"/>
            <charset val="1"/>
          </rPr>
          <t>02/06/2025 - ITAU DANI</t>
        </r>
      </text>
    </comment>
    <comment ref="H6" authorId="0" shapeId="0" xr:uid="{3F9FF515-AEB4-464B-A05A-6A60358F2302}">
      <text>
        <r>
          <rPr>
            <b/>
            <sz val="9"/>
            <color indexed="81"/>
            <rFont val="Segoe UI"/>
            <family val="2"/>
          </rPr>
          <t>05/07/2025 - ITAU DANI</t>
        </r>
      </text>
    </comment>
    <comment ref="B7" authorId="0" shapeId="0" xr:uid="{CEBD01C3-9FAE-489C-B475-ED27919CC143}">
      <text>
        <r>
          <rPr>
            <b/>
            <sz val="9"/>
            <color indexed="81"/>
            <rFont val="Segoe UI"/>
            <family val="2"/>
          </rPr>
          <t>13/01/2025 - NEON KELLY</t>
        </r>
      </text>
    </comment>
    <comment ref="C7" authorId="0" shapeId="0" xr:uid="{B72C2157-F2D4-459B-AEDF-D11CD378D332}">
      <text>
        <r>
          <rPr>
            <b/>
            <sz val="9"/>
            <color indexed="81"/>
            <rFont val="Segoe UI"/>
            <charset val="1"/>
          </rPr>
          <t xml:space="preserve">02/02/2025 - NEON KELLY
</t>
        </r>
      </text>
    </comment>
    <comment ref="D7" authorId="0" shapeId="0" xr:uid="{6D5A655A-04FC-4D2E-8BA9-5362EE7BB2D4}">
      <text>
        <r>
          <rPr>
            <b/>
            <sz val="9"/>
            <color indexed="81"/>
            <rFont val="Segoe UI"/>
            <charset val="1"/>
          </rPr>
          <t>18/03/2025 - NEON KELLY</t>
        </r>
      </text>
    </comment>
    <comment ref="E7" authorId="0" shapeId="0" xr:uid="{CBC3C258-3217-4C84-B176-44C648B2FC3C}">
      <text>
        <r>
          <rPr>
            <b/>
            <sz val="9"/>
            <color indexed="81"/>
            <rFont val="Segoe UI"/>
            <charset val="1"/>
          </rPr>
          <t>28/03/2025 - NEON KELLY - R$862,90
07/04/2025 - NEON KELLY - R$86,00</t>
        </r>
      </text>
    </comment>
    <comment ref="F7" authorId="0" shapeId="0" xr:uid="{D725D1D3-BB1B-42EA-B2F1-6F682214F9DB}">
      <text>
        <r>
          <rPr>
            <b/>
            <sz val="9"/>
            <color indexed="81"/>
            <rFont val="Segoe UI"/>
            <charset val="1"/>
          </rPr>
          <t>05/05/2025 - NEON KELLY</t>
        </r>
      </text>
    </comment>
    <comment ref="G7" authorId="0" shapeId="0" xr:uid="{54098F54-6CD3-4916-BD48-A2B61DA56D34}">
      <text>
        <r>
          <rPr>
            <b/>
            <sz val="9"/>
            <color indexed="81"/>
            <rFont val="Segoe UI"/>
            <charset val="1"/>
          </rPr>
          <t>02/06/2025 - NEON KELLY</t>
        </r>
      </text>
    </comment>
    <comment ref="F8" authorId="0" shapeId="0" xr:uid="{9C5C1291-3EB2-47C9-9AC9-85A0BE308B3C}">
      <text>
        <r>
          <rPr>
            <b/>
            <sz val="9"/>
            <color indexed="81"/>
            <rFont val="Segoe UI"/>
            <charset val="1"/>
          </rPr>
          <t>05/05/2025 - WILL DANI</t>
        </r>
      </text>
    </comment>
    <comment ref="H8" authorId="0" shapeId="0" xr:uid="{71119F97-91CE-48D9-BBAC-F42B2CF55BC5}">
      <text>
        <r>
          <rPr>
            <b/>
            <sz val="9"/>
            <color indexed="81"/>
            <rFont val="Segoe UI"/>
            <family val="2"/>
          </rPr>
          <t>05/07/2025 - ITAU DANI</t>
        </r>
      </text>
    </comment>
    <comment ref="E9" authorId="0" shapeId="0" xr:uid="{958A96A2-DD2A-4229-BC03-3E2405830BF4}">
      <text>
        <r>
          <rPr>
            <b/>
            <sz val="9"/>
            <color indexed="81"/>
            <rFont val="Segoe UI"/>
            <charset val="1"/>
          </rPr>
          <t>06/04/2025 - PAN KELLY</t>
        </r>
      </text>
    </comment>
    <comment ref="F9" authorId="0" shapeId="0" xr:uid="{DDF1B86B-B20A-4C4A-9365-F098C6C75863}">
      <text>
        <r>
          <rPr>
            <b/>
            <sz val="9"/>
            <color indexed="81"/>
            <rFont val="Segoe UI"/>
            <charset val="1"/>
          </rPr>
          <t>05/05/2025 - PAN KELLY</t>
        </r>
      </text>
    </comment>
    <comment ref="G9" authorId="0" shapeId="0" xr:uid="{4685DA19-4C4D-4379-A495-63DAF7926398}">
      <text>
        <r>
          <rPr>
            <b/>
            <sz val="9"/>
            <color indexed="81"/>
            <rFont val="Segoe UI"/>
            <charset val="1"/>
          </rPr>
          <t>02/06/2025 - PAN KELLY</t>
        </r>
      </text>
    </comment>
    <comment ref="B10" authorId="0" shapeId="0" xr:uid="{560FD59A-5AA4-4C53-BD50-E72FBE505120}">
      <text>
        <r>
          <rPr>
            <sz val="9"/>
            <color indexed="81"/>
            <rFont val="Segoe UI"/>
            <family val="2"/>
          </rPr>
          <t>05/01/2025 - ITAU DANI</t>
        </r>
      </text>
    </comment>
    <comment ref="C10" authorId="0" shapeId="0" xr:uid="{FF994387-EE0E-4278-8820-F69A69CD3AEB}">
      <text>
        <r>
          <rPr>
            <b/>
            <sz val="9"/>
            <color indexed="81"/>
            <rFont val="Segoe UI"/>
            <charset val="1"/>
          </rPr>
          <t xml:space="preserve">08/02/2025 - CAIXA </t>
        </r>
      </text>
    </comment>
    <comment ref="D10" authorId="0" shapeId="0" xr:uid="{BC8F3B69-E21F-430D-B09C-4BDD2B8E93F3}">
      <text>
        <r>
          <rPr>
            <b/>
            <sz val="9"/>
            <color indexed="81"/>
            <rFont val="Segoe UI"/>
            <charset val="1"/>
          </rPr>
          <t>10/03/2025 - CAIXA</t>
        </r>
      </text>
    </comment>
    <comment ref="E10" authorId="0" shapeId="0" xr:uid="{825F231A-CC2C-46DB-8EF8-A1025CE7D41E}">
      <text>
        <r>
          <rPr>
            <b/>
            <sz val="9"/>
            <color indexed="81"/>
            <rFont val="Segoe UI"/>
            <charset val="1"/>
          </rPr>
          <t>04/04/2025 - CAIXA</t>
        </r>
      </text>
    </comment>
    <comment ref="F10" authorId="0" shapeId="0" xr:uid="{B8C53FD6-A196-40EF-A264-8F9F23F9BC01}">
      <text>
        <r>
          <rPr>
            <b/>
            <sz val="9"/>
            <color indexed="81"/>
            <rFont val="Segoe UI"/>
            <charset val="1"/>
          </rPr>
          <t>07/05/2025 - CAIXA DANI</t>
        </r>
      </text>
    </comment>
    <comment ref="G10" authorId="0" shapeId="0" xr:uid="{63C1EB10-A77E-41D0-9A61-EF1102DB53B2}">
      <text>
        <r>
          <rPr>
            <b/>
            <sz val="9"/>
            <color indexed="81"/>
            <rFont val="Segoe UI"/>
            <charset val="1"/>
          </rPr>
          <t>06/06/2025 - CAIXA DANI</t>
        </r>
      </text>
    </comment>
    <comment ref="B11" authorId="0" shapeId="0" xr:uid="{5992F01E-9578-4C65-81E1-CDD894B2608D}">
      <text>
        <r>
          <rPr>
            <b/>
            <sz val="9"/>
            <color indexed="81"/>
            <rFont val="Segoe UI"/>
            <family val="2"/>
          </rPr>
          <t>05/01/2025 - NUBANK DANI</t>
        </r>
      </text>
    </comment>
    <comment ref="C11" authorId="0" shapeId="0" xr:uid="{5FA106B5-F83B-4B94-A37A-C0FCA0B82538}">
      <text>
        <r>
          <rPr>
            <b/>
            <sz val="9"/>
            <color indexed="81"/>
            <rFont val="Segoe UI"/>
            <charset val="1"/>
          </rPr>
          <t>02/02/2025 - NUBAK DANI</t>
        </r>
      </text>
    </comment>
    <comment ref="D11" authorId="0" shapeId="0" xr:uid="{B2D5F03E-7B9D-4E90-9B58-D86B965DD728}">
      <text>
        <r>
          <rPr>
            <b/>
            <sz val="9"/>
            <color indexed="81"/>
            <rFont val="Segoe UI"/>
            <charset val="1"/>
          </rPr>
          <t>01/03/2025 - ITAU DANI</t>
        </r>
      </text>
    </comment>
    <comment ref="E11" authorId="0" shapeId="0" xr:uid="{922E971D-3F4C-42B0-8DFF-21D2DBEAFF72}">
      <text>
        <r>
          <rPr>
            <b/>
            <sz val="9"/>
            <color indexed="81"/>
            <rFont val="Segoe UI"/>
            <charset val="1"/>
          </rPr>
          <t>10/04/2025 - ITAU DANI</t>
        </r>
      </text>
    </comment>
    <comment ref="F11" authorId="0" shapeId="0" xr:uid="{2C7F9014-5515-40BD-B982-D827C8D70B92}">
      <text>
        <r>
          <rPr>
            <b/>
            <sz val="9"/>
            <color indexed="81"/>
            <rFont val="Segoe UI"/>
            <charset val="1"/>
          </rPr>
          <t>10/05/2025 - ITAU KELLY</t>
        </r>
      </text>
    </comment>
    <comment ref="G11" authorId="0" shapeId="0" xr:uid="{987F1878-AB98-4097-AC12-4C8B5F3F8AEB}">
      <text>
        <r>
          <rPr>
            <b/>
            <sz val="9"/>
            <color indexed="81"/>
            <rFont val="Segoe UI"/>
            <charset val="1"/>
          </rPr>
          <t>09/06/2025 - ITAU DANI</t>
        </r>
      </text>
    </comment>
    <comment ref="B12" authorId="0" shapeId="0" xr:uid="{10280DA6-FD31-4701-8B62-81868A808B96}">
      <text>
        <r>
          <rPr>
            <b/>
            <sz val="9"/>
            <color indexed="81"/>
            <rFont val="Segoe UI"/>
            <family val="2"/>
          </rPr>
          <t>08/01/2024 - ITAU KELLY</t>
        </r>
      </text>
    </comment>
    <comment ref="C12" authorId="0" shapeId="0" xr:uid="{C859D011-173B-41DB-A272-8A86E1F2ED7C}">
      <text>
        <r>
          <rPr>
            <b/>
            <sz val="9"/>
            <color indexed="81"/>
            <rFont val="Segoe UI"/>
            <charset val="1"/>
          </rPr>
          <t>02/02/2025 - NUBANK KELLY</t>
        </r>
      </text>
    </comment>
    <comment ref="D12" authorId="0" shapeId="0" xr:uid="{D0041D1F-4E63-4120-A8DA-6D5BCBD548FA}">
      <text>
        <r>
          <rPr>
            <b/>
            <sz val="9"/>
            <color indexed="81"/>
            <rFont val="Segoe UI"/>
            <charset val="1"/>
          </rPr>
          <t>11/03/2024 - NEON KELLY</t>
        </r>
      </text>
    </comment>
    <comment ref="E12" authorId="0" shapeId="0" xr:uid="{F9BFCD70-F366-44C1-ABA9-62832981750D}">
      <text>
        <r>
          <rPr>
            <b/>
            <sz val="9"/>
            <color indexed="81"/>
            <rFont val="Segoe UI"/>
            <family val="2"/>
          </rPr>
          <t>28/03/2025 - ITAU DANI</t>
        </r>
      </text>
    </comment>
    <comment ref="F12" authorId="0" shapeId="0" xr:uid="{FA994825-858F-4D01-8EC9-9F32BB227423}">
      <text>
        <r>
          <rPr>
            <b/>
            <sz val="9"/>
            <color indexed="81"/>
            <rFont val="Segoe UI"/>
            <charset val="1"/>
          </rPr>
          <t>10/05/2025 - ITAU KELLY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G12" authorId="0" shapeId="0" xr:uid="{A7F54B56-0881-4F97-9972-577C995F2BE8}">
      <text>
        <r>
          <rPr>
            <b/>
            <sz val="9"/>
            <color indexed="81"/>
            <rFont val="Segoe UI"/>
            <family val="2"/>
          </rPr>
          <t>09/06/2025 - NUBANK KELLY</t>
        </r>
      </text>
    </comment>
    <comment ref="B13" authorId="0" shapeId="0" xr:uid="{8FE16452-285A-4E98-A2F9-BE60DE807D82}">
      <text>
        <r>
          <rPr>
            <b/>
            <sz val="9"/>
            <color indexed="81"/>
            <rFont val="Segoe UI"/>
            <family val="2"/>
          </rPr>
          <t>07/01/2025 - ITAU KELLY</t>
        </r>
      </text>
    </comment>
    <comment ref="C13" authorId="0" shapeId="0" xr:uid="{B3E671EF-08B3-4B54-A85C-444AD027396C}">
      <text>
        <r>
          <rPr>
            <b/>
            <sz val="9"/>
            <color indexed="81"/>
            <rFont val="Segoe UI"/>
            <charset val="1"/>
          </rPr>
          <t>15/02/2025 - ITAU KELLY</t>
        </r>
      </text>
    </comment>
    <comment ref="D13" authorId="0" shapeId="0" xr:uid="{81A968F6-EB6F-4377-80A5-5CF63695D664}">
      <text>
        <r>
          <rPr>
            <b/>
            <sz val="9"/>
            <color indexed="81"/>
            <rFont val="Segoe UI"/>
            <charset val="1"/>
          </rPr>
          <t>07/03/2025 - ITAU KELLY</t>
        </r>
      </text>
    </comment>
    <comment ref="E13" authorId="0" shapeId="0" xr:uid="{B5598C71-83EE-46B5-AB41-1AD073DB9A6F}">
      <text>
        <r>
          <rPr>
            <b/>
            <sz val="9"/>
            <color indexed="81"/>
            <rFont val="Segoe UI"/>
            <charset val="1"/>
          </rPr>
          <t>04/04/2025 - ITAU KELLY</t>
        </r>
      </text>
    </comment>
    <comment ref="F13" authorId="0" shapeId="0" xr:uid="{448AB52A-889E-4307-8766-CE88E632675E}">
      <text>
        <r>
          <rPr>
            <b/>
            <sz val="9"/>
            <color indexed="81"/>
            <rFont val="Segoe UI"/>
            <charset val="1"/>
          </rPr>
          <t xml:space="preserve">10/05/2025 - ITAU KELLY </t>
        </r>
      </text>
    </comment>
    <comment ref="G13" authorId="0" shapeId="0" xr:uid="{663B7AF6-3954-49B3-B516-1A2C185822CE}">
      <text>
        <r>
          <rPr>
            <b/>
            <sz val="9"/>
            <color indexed="81"/>
            <rFont val="Segoe UI"/>
            <charset val="1"/>
          </rPr>
          <t>10/06/2025 - ITAU KELLY</t>
        </r>
      </text>
    </comment>
    <comment ref="B14" authorId="0" shapeId="0" xr:uid="{81B6CB92-011C-489C-AB51-B3B730237D78}">
      <text>
        <r>
          <rPr>
            <b/>
            <sz val="9"/>
            <color indexed="81"/>
            <rFont val="Segoe UI"/>
            <family val="2"/>
          </rPr>
          <t>08/01/2024 - ITAU KELLY</t>
        </r>
      </text>
    </comment>
    <comment ref="C14" authorId="0" shapeId="0" xr:uid="{777DC1A1-D705-4257-AEC9-C2A82B56CCFA}">
      <text>
        <r>
          <rPr>
            <b/>
            <sz val="9"/>
            <color indexed="81"/>
            <rFont val="Segoe UI"/>
            <charset val="1"/>
          </rPr>
          <t>02/02/2025 - ITAU DANI</t>
        </r>
      </text>
    </comment>
    <comment ref="D14" authorId="0" shapeId="0" xr:uid="{88985BA7-F457-4AAF-B112-65879A17D4C6}">
      <text>
        <r>
          <rPr>
            <b/>
            <sz val="9"/>
            <color indexed="81"/>
            <rFont val="Segoe UI"/>
            <charset val="1"/>
          </rPr>
          <t>10/03/2025 - NEON KELLY</t>
        </r>
      </text>
    </comment>
    <comment ref="E14" authorId="0" shapeId="0" xr:uid="{E6E1606C-F67C-465F-A1E0-9EF9BE405C0B}">
      <text>
        <r>
          <rPr>
            <b/>
            <sz val="9"/>
            <color indexed="81"/>
            <rFont val="Segoe UI"/>
            <charset val="1"/>
          </rPr>
          <t>28/03/2025 - ITAU DANI</t>
        </r>
      </text>
    </comment>
    <comment ref="F14" authorId="0" shapeId="0" xr:uid="{7F6A4A30-5485-4092-9346-2CEB9062F3A0}">
      <text>
        <r>
          <rPr>
            <b/>
            <sz val="9"/>
            <color indexed="81"/>
            <rFont val="Segoe UI"/>
            <charset val="1"/>
          </rPr>
          <t>10/05/2025 - ITAU DANI</t>
        </r>
      </text>
    </comment>
    <comment ref="G14" authorId="0" shapeId="0" xr:uid="{63B2AA3A-A798-4AF9-84DA-58EB4DC19281}">
      <text>
        <r>
          <rPr>
            <b/>
            <sz val="9"/>
            <color indexed="81"/>
            <rFont val="Segoe UI"/>
            <charset val="1"/>
          </rPr>
          <t>09/06/2025 - ITAU DANI</t>
        </r>
      </text>
    </comment>
    <comment ref="D15" authorId="0" shapeId="0" xr:uid="{6EAAD7B7-FF1C-4CF9-8BDB-8367AC64A339}">
      <text>
        <r>
          <rPr>
            <b/>
            <sz val="9"/>
            <color indexed="81"/>
            <rFont val="Segoe UI"/>
            <charset val="1"/>
          </rPr>
          <t>20/03/2025 - ITAU DANI</t>
        </r>
      </text>
    </comment>
    <comment ref="E15" authorId="0" shapeId="0" xr:uid="{6326F16E-5243-45D9-9E45-D2EDE5FA7C13}">
      <text>
        <r>
          <rPr>
            <sz val="9"/>
            <color indexed="81"/>
            <rFont val="Segoe UI"/>
            <charset val="1"/>
          </rPr>
          <t>12/04/2025 - ITAU DANI</t>
        </r>
      </text>
    </comment>
    <comment ref="F15" authorId="0" shapeId="0" xr:uid="{68FB1AE1-5C01-4F55-975A-D67E79D7386E}">
      <text>
        <r>
          <rPr>
            <b/>
            <sz val="9"/>
            <color indexed="81"/>
            <rFont val="Segoe UI"/>
            <charset val="1"/>
          </rPr>
          <t>10/05/2025 - ITAU DANI</t>
        </r>
      </text>
    </comment>
    <comment ref="G15" authorId="0" shapeId="0" xr:uid="{01B9FA9D-C8E3-4F8A-91E3-32CC39EFA775}">
      <text>
        <r>
          <rPr>
            <b/>
            <sz val="9"/>
            <color indexed="81"/>
            <rFont val="Segoe UI"/>
            <charset val="1"/>
          </rPr>
          <t>09/06/2025 - ITAU DANI</t>
        </r>
      </text>
    </comment>
    <comment ref="D16" authorId="0" shapeId="0" xr:uid="{B1865CFC-9187-449D-B83A-37E479BEC3FF}">
      <text>
        <r>
          <rPr>
            <b/>
            <sz val="9"/>
            <color indexed="81"/>
            <rFont val="Segoe UI"/>
            <charset val="1"/>
          </rPr>
          <t>10/03/2025 - NEON DANI</t>
        </r>
      </text>
    </comment>
    <comment ref="E16" authorId="0" shapeId="0" xr:uid="{12C802E8-B0C5-4682-928C-62ED3ABB46D4}">
      <text>
        <r>
          <rPr>
            <b/>
            <sz val="9"/>
            <color indexed="81"/>
            <rFont val="Segoe UI"/>
            <charset val="1"/>
          </rPr>
          <t>28/03/2025 - ITAU DANI - R$ 319
08/04/2025 - NEON DANI R$71,73</t>
        </r>
      </text>
    </comment>
    <comment ref="F16" authorId="0" shapeId="0" xr:uid="{626BAF82-8020-4111-BD25-AAC5D0B7C1FC}">
      <text>
        <r>
          <rPr>
            <b/>
            <sz val="9"/>
            <color indexed="81"/>
            <rFont val="Segoe UI"/>
            <charset val="1"/>
          </rPr>
          <t>10/05/2025 - NEON DANI</t>
        </r>
      </text>
    </comment>
    <comment ref="G16" authorId="0" shapeId="0" xr:uid="{CECDC34F-EF13-4074-8682-0A9F34D962C4}">
      <text>
        <r>
          <rPr>
            <b/>
            <sz val="9"/>
            <color indexed="81"/>
            <rFont val="Segoe UI"/>
            <charset val="1"/>
          </rPr>
          <t>11/06/2025 - NEON DANI</t>
        </r>
      </text>
    </comment>
    <comment ref="B17" authorId="0" shapeId="0" xr:uid="{F83426F7-F1FF-42DB-B776-20E0216FEB56}">
      <text>
        <r>
          <rPr>
            <b/>
            <sz val="9"/>
            <color indexed="81"/>
            <rFont val="Segoe UI"/>
            <family val="2"/>
          </rPr>
          <t>08/01/2024 - NUBANK KELLY</t>
        </r>
      </text>
    </comment>
    <comment ref="C17" authorId="0" shapeId="0" xr:uid="{C769E44B-5354-4CF4-A7A4-C0C08CF44E6F}">
      <text>
        <r>
          <rPr>
            <b/>
            <sz val="9"/>
            <color indexed="81"/>
            <rFont val="Segoe UI"/>
            <charset val="1"/>
          </rPr>
          <t>02/02/2025  - NUBANK KELLY</t>
        </r>
      </text>
    </comment>
    <comment ref="D17" authorId="0" shapeId="0" xr:uid="{5FA2D0BA-2071-47BC-9A0C-6DD098191500}">
      <text>
        <r>
          <rPr>
            <b/>
            <sz val="9"/>
            <color indexed="81"/>
            <rFont val="Segoe UI"/>
            <charset val="1"/>
          </rPr>
          <t>10/03/2025 - NEON KELLY</t>
        </r>
      </text>
    </comment>
    <comment ref="E17" authorId="0" shapeId="0" xr:uid="{CFB849FA-FD26-4C84-9860-44BB7DFECF3C}">
      <text>
        <r>
          <rPr>
            <b/>
            <sz val="9"/>
            <color indexed="81"/>
            <rFont val="Segoe UI"/>
            <charset val="1"/>
          </rPr>
          <t>08/04/2025 - ITAU DANI</t>
        </r>
      </text>
    </comment>
    <comment ref="F17" authorId="0" shapeId="0" xr:uid="{67843185-18C9-432D-80AE-B042EC6B3E13}">
      <text>
        <r>
          <rPr>
            <b/>
            <sz val="9"/>
            <color indexed="81"/>
            <rFont val="Segoe UI"/>
            <charset val="1"/>
          </rPr>
          <t>10/05/2025 - ITAU KEELLY</t>
        </r>
      </text>
    </comment>
    <comment ref="G17" authorId="0" shapeId="0" xr:uid="{4B999845-BCA1-426A-872D-1B32BC721723}">
      <text>
        <r>
          <rPr>
            <b/>
            <sz val="9"/>
            <color indexed="81"/>
            <rFont val="Segoe UI"/>
            <charset val="1"/>
          </rPr>
          <t>12/06/2025 - ITAU KELLY</t>
        </r>
      </text>
    </comment>
    <comment ref="B18" authorId="0" shapeId="0" xr:uid="{BDA9E317-0516-4CB0-94C8-79D7E7F91932}">
      <text>
        <r>
          <rPr>
            <b/>
            <sz val="9"/>
            <color indexed="81"/>
            <rFont val="Segoe UI"/>
            <family val="2"/>
          </rPr>
          <t xml:space="preserve">16/01/2025 – NUBEANK KELLY </t>
        </r>
      </text>
    </comment>
    <comment ref="C18" authorId="0" shapeId="0" xr:uid="{B5CE1BC6-8367-44D9-8CEA-C1E88F773CF5}">
      <text>
        <r>
          <rPr>
            <b/>
            <sz val="9"/>
            <color indexed="81"/>
            <rFont val="Segoe UI"/>
            <family val="2"/>
          </rPr>
          <t>14/02/2025 - NUBANK KELLY</t>
        </r>
      </text>
    </comment>
    <comment ref="D18" authorId="0" shapeId="0" xr:uid="{6FDBB860-1D52-4640-BAE4-FB65253F9C0E}">
      <text>
        <r>
          <rPr>
            <b/>
            <sz val="9"/>
            <color indexed="81"/>
            <rFont val="Segoe UI"/>
            <family val="2"/>
          </rPr>
          <t>16/03/2025 - NUBANK KELLY</t>
        </r>
      </text>
    </comment>
    <comment ref="E18" authorId="0" shapeId="0" xr:uid="{05D015CE-3CB4-4470-979B-21C72FF21CEE}">
      <text>
        <r>
          <rPr>
            <b/>
            <sz val="9"/>
            <color indexed="81"/>
            <rFont val="Segoe UI"/>
            <charset val="1"/>
          </rPr>
          <t>17/04/2025 - NUBANK KELLY</t>
        </r>
      </text>
    </comment>
    <comment ref="F18" authorId="0" shapeId="0" xr:uid="{0A52A28C-3930-4559-9642-435F1F164578}">
      <text>
        <r>
          <rPr>
            <b/>
            <sz val="9"/>
            <color indexed="81"/>
            <rFont val="Segoe UI"/>
            <charset val="1"/>
          </rPr>
          <t>15/05/2025 - NUBANK KELLY</t>
        </r>
      </text>
    </comment>
    <comment ref="G18" authorId="0" shapeId="0" xr:uid="{0599D482-4187-45B1-B774-21C9BBF0CF96}">
      <text>
        <r>
          <rPr>
            <b/>
            <sz val="9"/>
            <color indexed="81"/>
            <rFont val="Segoe UI"/>
            <charset val="1"/>
          </rPr>
          <t>16/06/2025 - NUBANK KELLY</t>
        </r>
      </text>
    </comment>
    <comment ref="F19" authorId="0" shapeId="0" xr:uid="{7D69E698-A310-4446-8D7F-C9083431A69B}">
      <text>
        <r>
          <rPr>
            <b/>
            <sz val="9"/>
            <color indexed="81"/>
            <rFont val="Segoe UI"/>
            <charset val="1"/>
          </rPr>
          <t>15/05/2025 - SANTANDER DANI</t>
        </r>
      </text>
    </comment>
    <comment ref="G19" authorId="0" shapeId="0" xr:uid="{A86EC954-2876-4644-B5BB-88774275D4B1}">
      <text>
        <r>
          <rPr>
            <b/>
            <sz val="9"/>
            <color indexed="81"/>
            <rFont val="Segoe UI"/>
            <charset val="1"/>
          </rPr>
          <t>15/06/2025 - SANTANDER DANI</t>
        </r>
      </text>
    </comment>
    <comment ref="B20" authorId="0" shapeId="0" xr:uid="{EBA2B6CF-AB64-40BB-BA76-589C9034FCC7}">
      <text>
        <r>
          <rPr>
            <b/>
            <sz val="9"/>
            <color indexed="81"/>
            <rFont val="Segoe UI"/>
            <family val="2"/>
          </rPr>
          <t>09/12/2024 - NUBANK DANI</t>
        </r>
      </text>
    </comment>
    <comment ref="D20" authorId="0" shapeId="0" xr:uid="{45C7FF4C-8955-4F66-8B71-2C4DC6430CBA}">
      <text>
        <r>
          <rPr>
            <b/>
            <sz val="9"/>
            <color indexed="81"/>
            <rFont val="Segoe UI"/>
            <charset val="1"/>
          </rPr>
          <t>17/03/2025 - NUBANK DANI</t>
        </r>
      </text>
    </comment>
    <comment ref="F20" authorId="0" shapeId="0" xr:uid="{952163F3-E32A-49A4-8063-45B022B3795F}">
      <text>
        <r>
          <rPr>
            <b/>
            <sz val="9"/>
            <color indexed="81"/>
            <rFont val="Segoe UI"/>
            <charset val="1"/>
          </rPr>
          <t>10/05/2025 - ITAU DANI</t>
        </r>
      </text>
    </comment>
    <comment ref="G20" authorId="0" shapeId="0" xr:uid="{FE7229DA-4626-4F70-89DB-65B4E0D508AA}">
      <text>
        <r>
          <rPr>
            <b/>
            <sz val="9"/>
            <color indexed="81"/>
            <rFont val="Segoe UI"/>
            <charset val="1"/>
          </rPr>
          <t>10/05/2025 - ITAU DANI</t>
        </r>
      </text>
    </comment>
    <comment ref="B21" authorId="0" shapeId="0" xr:uid="{D4AE3983-76C6-4881-9333-DAFD7CBBFB7A}">
      <text>
        <r>
          <rPr>
            <b/>
            <sz val="9"/>
            <color indexed="81"/>
            <rFont val="Segoe UI"/>
            <family val="2"/>
          </rPr>
          <t>17/01/2025 - ITAU DANI</t>
        </r>
      </text>
    </comment>
    <comment ref="C21" authorId="0" shapeId="0" xr:uid="{A26A54F7-25DA-49A4-8261-5918401645D0}">
      <text>
        <r>
          <rPr>
            <b/>
            <sz val="9"/>
            <color indexed="81"/>
            <rFont val="Segoe UI"/>
            <charset val="1"/>
          </rPr>
          <t>18/02/2024 - NUBANK KELLY</t>
        </r>
      </text>
    </comment>
    <comment ref="D21" authorId="0" shapeId="0" xr:uid="{B19EF81D-957E-4CD0-9AA0-600875CFA5D0}">
      <text>
        <r>
          <rPr>
            <b/>
            <sz val="9"/>
            <color indexed="81"/>
            <rFont val="Segoe UI"/>
            <charset val="1"/>
          </rPr>
          <t>16/03/2025 - NUBANK DANI</t>
        </r>
      </text>
    </comment>
    <comment ref="E21" authorId="0" shapeId="0" xr:uid="{967B28C0-A6DE-45E8-8FB2-0BFD8CC4565A}">
      <text>
        <r>
          <rPr>
            <sz val="9"/>
            <color indexed="81"/>
            <rFont val="Segoe UI"/>
            <charset val="1"/>
          </rPr>
          <t>12/04/2025 - ITAU DANI</t>
        </r>
      </text>
    </comment>
    <comment ref="F21" authorId="0" shapeId="0" xr:uid="{8CA71825-E067-4612-B301-2A693DD85CFA}">
      <text>
        <r>
          <rPr>
            <b/>
            <sz val="9"/>
            <color indexed="81"/>
            <rFont val="Segoe UI"/>
            <charset val="1"/>
          </rPr>
          <t>17/05/2025 - NUBANK DANI</t>
        </r>
      </text>
    </comment>
    <comment ref="G21" authorId="0" shapeId="0" xr:uid="{3D1D4768-31BB-4473-B07A-C0C0CF0027F4}">
      <text>
        <r>
          <rPr>
            <b/>
            <sz val="9"/>
            <color indexed="81"/>
            <rFont val="Segoe UI"/>
            <charset val="1"/>
          </rPr>
          <t>15/06/2025 - NUBANK DANI</t>
        </r>
      </text>
    </comment>
    <comment ref="B22" authorId="0" shapeId="0" xr:uid="{102EC9FE-C6B3-4E24-BF54-495EE5A1254F}">
      <text>
        <r>
          <rPr>
            <b/>
            <sz val="9"/>
            <color indexed="81"/>
            <rFont val="Segoe UI"/>
            <family val="2"/>
          </rPr>
          <t>19/01/2024 - ITAU DANI</t>
        </r>
      </text>
    </comment>
    <comment ref="C22" authorId="0" shapeId="0" xr:uid="{898D0856-4D60-4351-AC64-37141AC98A81}">
      <text>
        <r>
          <rPr>
            <b/>
            <sz val="9"/>
            <color indexed="81"/>
            <rFont val="Segoe UI"/>
            <family val="2"/>
          </rPr>
          <t>18/02/2025 - NUBANK DANI</t>
        </r>
      </text>
    </comment>
    <comment ref="D22" authorId="0" shapeId="0" xr:uid="{7245894F-EE34-4910-B7F7-7C26C2A5734C}">
      <text>
        <r>
          <rPr>
            <b/>
            <sz val="9"/>
            <color indexed="81"/>
            <rFont val="Segoe UI"/>
            <charset val="1"/>
          </rPr>
          <t>18/03/2025 - ITAU DANI</t>
        </r>
      </text>
    </comment>
    <comment ref="E22" authorId="0" shapeId="0" xr:uid="{0C45EB9B-4F9D-4E53-88FE-BAF3AAECEE1B}">
      <text>
        <r>
          <rPr>
            <b/>
            <sz val="9"/>
            <color indexed="81"/>
            <rFont val="Segoe UI"/>
            <charset val="1"/>
          </rPr>
          <t>12/04/2025 -–ITAU DANI</t>
        </r>
      </text>
    </comment>
    <comment ref="F22" authorId="0" shapeId="0" xr:uid="{17170BEC-86DB-46EE-BBBE-3A8BCA4732DC}">
      <text>
        <r>
          <rPr>
            <b/>
            <sz val="9"/>
            <color indexed="81"/>
            <rFont val="Segoe UI"/>
            <charset val="1"/>
          </rPr>
          <t>17/05/2025 - NUBANK DANI</t>
        </r>
      </text>
    </comment>
    <comment ref="G22" authorId="0" shapeId="0" xr:uid="{4B7026D2-C0FA-42A4-B240-A4CBE9B89A85}">
      <text>
        <r>
          <rPr>
            <b/>
            <sz val="9"/>
            <color indexed="81"/>
            <rFont val="Segoe UI"/>
            <charset val="1"/>
          </rPr>
          <t>15/06/2025 - NUBANK DANI</t>
        </r>
      </text>
    </comment>
    <comment ref="F23" authorId="0" shapeId="0" xr:uid="{BD4170E5-5FBE-49C8-ABE6-47BFA9EB1204}">
      <text>
        <r>
          <rPr>
            <b/>
            <sz val="9"/>
            <color indexed="81"/>
            <rFont val="Segoe UI"/>
            <charset val="1"/>
          </rPr>
          <t>20/05/2025 - CAIXA DANI</t>
        </r>
      </text>
    </comment>
    <comment ref="G23" authorId="0" shapeId="0" xr:uid="{B139AFC1-9FFB-4C69-ACD4-6A9010FC64B5}">
      <text>
        <r>
          <rPr>
            <b/>
            <sz val="9"/>
            <color indexed="81"/>
            <rFont val="Segoe UI"/>
            <charset val="1"/>
          </rPr>
          <t>21/06/2025 - CAIXA DANI</t>
        </r>
      </text>
    </comment>
    <comment ref="B24" authorId="0" shapeId="0" xr:uid="{C8F8D685-C9F0-44CF-9499-73A066FFF221}">
      <text>
        <r>
          <rPr>
            <b/>
            <sz val="9"/>
            <color indexed="81"/>
            <rFont val="Segoe UI"/>
            <charset val="1"/>
          </rPr>
          <t>24/01/2025 -  ITAU DANI</t>
        </r>
      </text>
    </comment>
    <comment ref="C24" authorId="0" shapeId="0" xr:uid="{6A1E7BFA-DB0F-40E6-BA80-26556CB30F9A}">
      <text>
        <r>
          <rPr>
            <b/>
            <sz val="9"/>
            <color indexed="81"/>
            <rFont val="Segoe UI"/>
            <family val="2"/>
          </rPr>
          <t>18/02/2025 - ITAU DANI</t>
        </r>
      </text>
    </comment>
    <comment ref="D24" authorId="0" shapeId="0" xr:uid="{01223B7B-F317-4F35-BD4C-E03087B397BE}">
      <text>
        <r>
          <rPr>
            <b/>
            <sz val="9"/>
            <color indexed="81"/>
            <rFont val="Segoe UI"/>
            <charset val="1"/>
          </rPr>
          <t xml:space="preserve">18/03/2025 - ITAU  DANI
</t>
        </r>
      </text>
    </comment>
    <comment ref="E24" authorId="0" shapeId="0" xr:uid="{EE7AF513-11E8-419C-873D-D387B66D0A52}">
      <text>
        <r>
          <rPr>
            <b/>
            <sz val="9"/>
            <color indexed="81"/>
            <rFont val="Segoe UI"/>
            <charset val="1"/>
          </rPr>
          <t>16/04/2025 - ITAU DANI</t>
        </r>
      </text>
    </comment>
    <comment ref="F24" authorId="0" shapeId="0" xr:uid="{E4C20491-993F-4120-B8B6-16F57710913A}">
      <text>
        <r>
          <rPr>
            <b/>
            <sz val="9"/>
            <color indexed="81"/>
            <rFont val="Segoe UI"/>
            <charset val="1"/>
          </rPr>
          <t>20/05/2025 - NUBANK DANI</t>
        </r>
      </text>
    </comment>
    <comment ref="B25" authorId="0" shapeId="0" xr:uid="{5BEE6F2B-1A98-4B98-A1D4-E017C21199AD}">
      <text>
        <r>
          <rPr>
            <b/>
            <sz val="9"/>
            <color indexed="81"/>
            <rFont val="Segoe UI"/>
            <charset val="1"/>
          </rPr>
          <t>02/02/2025 - ITAU DANI</t>
        </r>
      </text>
    </comment>
    <comment ref="C25" authorId="0" shapeId="0" xr:uid="{27B88EB0-DD11-410F-AE1D-06ACAD61B582}">
      <text>
        <r>
          <rPr>
            <b/>
            <sz val="9"/>
            <color indexed="81"/>
            <rFont val="Segoe UI"/>
            <charset val="1"/>
          </rPr>
          <t>28/02/2025 - NUBANK KELLY</t>
        </r>
      </text>
    </comment>
    <comment ref="D25" authorId="0" shapeId="0" xr:uid="{27E6E93E-C75C-48CD-B101-6B1FB3C01144}">
      <text>
        <r>
          <rPr>
            <b/>
            <sz val="9"/>
            <color indexed="81"/>
            <rFont val="Segoe UI"/>
            <family val="2"/>
          </rPr>
          <t>20/03/2025 - NUBANK KELLY</t>
        </r>
      </text>
    </comment>
    <comment ref="E25" authorId="0" shapeId="0" xr:uid="{8BBAEE83-E5EF-48DE-AA2A-C127A0C330CA}">
      <text>
        <r>
          <rPr>
            <b/>
            <sz val="9"/>
            <color indexed="81"/>
            <rFont val="Segoe UI"/>
            <charset val="1"/>
          </rPr>
          <t>21/04/2025 - ITAU DANI</t>
        </r>
      </text>
    </comment>
    <comment ref="F25" authorId="0" shapeId="0" xr:uid="{1CED74A0-BD29-4492-A676-C42E9F4A1801}">
      <text>
        <r>
          <rPr>
            <b/>
            <sz val="9"/>
            <color indexed="81"/>
            <rFont val="Segoe UI"/>
            <charset val="1"/>
          </rPr>
          <t>20/05/2025 - ITAU DANI</t>
        </r>
      </text>
    </comment>
    <comment ref="G25" authorId="0" shapeId="0" xr:uid="{659A8992-C2F9-4550-AF74-3B0366322F6F}">
      <text>
        <r>
          <rPr>
            <b/>
            <sz val="9"/>
            <color indexed="81"/>
            <rFont val="Segoe UI"/>
            <charset val="1"/>
          </rPr>
          <t>20/06/2025 - NUBANK KELLY</t>
        </r>
      </text>
    </comment>
    <comment ref="B26" authorId="0" shapeId="0" xr:uid="{B387C8C7-3EBF-41DE-8B5A-E3FB0DBAD1B7}">
      <text>
        <r>
          <rPr>
            <b/>
            <sz val="9"/>
            <color indexed="81"/>
            <rFont val="Segoe UI"/>
            <family val="2"/>
          </rPr>
          <t>20/01/2025 - NUBANK DANI</t>
        </r>
      </text>
    </comment>
    <comment ref="C26" authorId="0" shapeId="0" xr:uid="{94692FC2-4AAD-45C5-9F7F-468360D0DFE3}">
      <text>
        <r>
          <rPr>
            <b/>
            <sz val="9"/>
            <color indexed="81"/>
            <rFont val="Segoe UI"/>
            <family val="2"/>
          </rPr>
          <t>19/02/2025 - ITAU DANI</t>
        </r>
      </text>
    </comment>
    <comment ref="D26" authorId="0" shapeId="0" xr:uid="{93D847A1-783C-4A37-9BEF-C1FC973A5726}">
      <text>
        <r>
          <rPr>
            <b/>
            <sz val="9"/>
            <color indexed="81"/>
            <rFont val="Segoe UI"/>
            <charset val="1"/>
          </rPr>
          <t>20/03/2025 - ITAU DANI</t>
        </r>
      </text>
    </comment>
    <comment ref="E26" authorId="0" shapeId="0" xr:uid="{0348BCCC-AEE1-4E15-8883-C94CA8FA29DD}">
      <text>
        <r>
          <rPr>
            <b/>
            <sz val="9"/>
            <color indexed="81"/>
            <rFont val="Segoe UI"/>
            <charset val="1"/>
          </rPr>
          <t>21/04/2025 - NUBANK DANI (AGENDANDO PARA DIA 22/04/2025)</t>
        </r>
      </text>
    </comment>
    <comment ref="F26" authorId="0" shapeId="0" xr:uid="{B18B5EE8-FD73-4772-84BA-A6F236D3DE2E}">
      <text>
        <r>
          <rPr>
            <b/>
            <sz val="9"/>
            <color indexed="81"/>
            <rFont val="Segoe UI"/>
            <charset val="1"/>
          </rPr>
          <t>20/05/2025 - NUBANK DANI</t>
        </r>
      </text>
    </comment>
    <comment ref="B27" authorId="0" shapeId="0" xr:uid="{552A9D28-5269-4B3F-8BDC-F6A1D85ED2EE}">
      <text>
        <r>
          <rPr>
            <b/>
            <sz val="9"/>
            <color indexed="81"/>
            <rFont val="Segoe UI"/>
            <family val="2"/>
          </rPr>
          <t>20/01/2025 - WillBank</t>
        </r>
      </text>
    </comment>
    <comment ref="C27" authorId="0" shapeId="0" xr:uid="{A16FD257-9A08-408D-BC50-CB83DD853674}">
      <text>
        <r>
          <rPr>
            <b/>
            <sz val="9"/>
            <color indexed="81"/>
            <rFont val="Segoe UI"/>
            <charset val="1"/>
          </rPr>
          <t xml:space="preserve">20/02/2025 - WILL KELLY
</t>
        </r>
      </text>
    </comment>
    <comment ref="D27" authorId="0" shapeId="0" xr:uid="{60ABC232-1E94-47E3-A544-80434E2587BF}">
      <text>
        <r>
          <rPr>
            <b/>
            <sz val="9"/>
            <color indexed="81"/>
            <rFont val="Segoe UI"/>
            <charset val="1"/>
          </rPr>
          <t>20/03/2025 - ITAU DANI</t>
        </r>
      </text>
    </comment>
    <comment ref="E27" authorId="0" shapeId="0" xr:uid="{6A2093FB-E78B-4E18-9D2E-3EFB0451B73F}">
      <text>
        <r>
          <rPr>
            <b/>
            <sz val="9"/>
            <color indexed="81"/>
            <rFont val="Segoe UI"/>
            <family val="2"/>
          </rPr>
          <t>21/04/2025 - WILL KELLY</t>
        </r>
      </text>
    </comment>
    <comment ref="F27" authorId="0" shapeId="0" xr:uid="{D4AB1246-57B7-471F-81BF-2B93E2F2760B}">
      <text>
        <r>
          <rPr>
            <b/>
            <sz val="9"/>
            <color indexed="81"/>
            <rFont val="Segoe UI"/>
            <charset val="1"/>
          </rPr>
          <t xml:space="preserve">20/05/2025 - WILL KELLY
</t>
        </r>
      </text>
    </comment>
    <comment ref="G27" authorId="0" shapeId="0" xr:uid="{EDB0860B-4646-44D9-8680-71546CB0A102}">
      <text>
        <r>
          <rPr>
            <b/>
            <sz val="9"/>
            <color indexed="81"/>
            <rFont val="Segoe UI"/>
            <charset val="1"/>
          </rPr>
          <t>20/06/2025 - WILLBANK KELLY</t>
        </r>
      </text>
    </comment>
    <comment ref="B28" authorId="0" shapeId="0" xr:uid="{239EF647-BE84-4153-A38C-30367D158B84}">
      <text>
        <r>
          <rPr>
            <b/>
            <sz val="9"/>
            <color indexed="81"/>
            <rFont val="Segoe UI"/>
            <charset val="1"/>
          </rPr>
          <t>24/01/2025 - NUBANK KELLY</t>
        </r>
      </text>
    </comment>
    <comment ref="C28" authorId="0" shapeId="0" xr:uid="{E978D09C-8220-410C-8D29-7D1F74FCB405}">
      <text>
        <r>
          <rPr>
            <b/>
            <sz val="9"/>
            <color indexed="81"/>
            <rFont val="Segoe UI"/>
            <charset val="1"/>
          </rPr>
          <t xml:space="preserve">21/02/2025 - NUBANK KELLY </t>
        </r>
      </text>
    </comment>
    <comment ref="D28" authorId="0" shapeId="0" xr:uid="{AC7E4C0A-468E-48CD-8AB0-DCEFF02234A6}">
      <text>
        <r>
          <rPr>
            <b/>
            <sz val="9"/>
            <color indexed="81"/>
            <rFont val="Segoe UI"/>
            <family val="2"/>
          </rPr>
          <t>20/03/2025 - NUBANK KELLY</t>
        </r>
      </text>
    </comment>
    <comment ref="E28" authorId="0" shapeId="0" xr:uid="{02B1E415-5FB1-411C-A9FB-B826122FA872}">
      <text>
        <r>
          <rPr>
            <b/>
            <sz val="9"/>
            <color indexed="81"/>
            <rFont val="Segoe UI"/>
            <family val="2"/>
          </rPr>
          <t>21/04/2025 - NUBANK KELLY</t>
        </r>
      </text>
    </comment>
    <comment ref="F28" authorId="0" shapeId="0" xr:uid="{6FF350A0-DF49-4F7E-8F38-223714EC5980}">
      <text>
        <r>
          <rPr>
            <b/>
            <sz val="9"/>
            <color indexed="81"/>
            <rFont val="Segoe UI"/>
            <charset val="1"/>
          </rPr>
          <t>20/05/2025 - NUBANK KELLY</t>
        </r>
      </text>
    </comment>
    <comment ref="G28" authorId="0" shapeId="0" xr:uid="{0A0268C8-086E-4AF0-A13E-AC1E7884319E}">
      <text>
        <r>
          <rPr>
            <b/>
            <sz val="9"/>
            <color indexed="81"/>
            <rFont val="Segoe UI"/>
            <charset val="1"/>
          </rPr>
          <t>20/06/2025 - NUBAK KELLY</t>
        </r>
      </text>
    </comment>
    <comment ref="B29" authorId="0" shapeId="0" xr:uid="{DE40CBF9-E135-4880-9F18-F4448A1F8375}">
      <text>
        <r>
          <rPr>
            <b/>
            <sz val="9"/>
            <color indexed="81"/>
            <rFont val="Segoe UI"/>
            <charset val="1"/>
          </rPr>
          <t>27/01/2025 - ITAU DANI</t>
        </r>
      </text>
    </comment>
    <comment ref="C29" authorId="0" shapeId="0" xr:uid="{B9494014-22FD-40E4-A8B0-AD66C63B6D0B}">
      <text>
        <r>
          <rPr>
            <b/>
            <sz val="9"/>
            <color indexed="81"/>
            <rFont val="Segoe UI"/>
            <charset val="1"/>
          </rPr>
          <t>01/03/2025 - ITAU DANI</t>
        </r>
      </text>
    </comment>
    <comment ref="D29" authorId="0" shapeId="0" xr:uid="{48CE9839-7F3B-46DB-88BE-3F9F128EBC2D}">
      <text>
        <r>
          <rPr>
            <b/>
            <sz val="9"/>
            <color indexed="81"/>
            <rFont val="Segoe UI"/>
            <charset val="1"/>
          </rPr>
          <t>20/03/2025 - ITAU DANI</t>
        </r>
      </text>
    </comment>
    <comment ref="E29" authorId="0" shapeId="0" xr:uid="{4362A2B2-D7B1-4F02-9A60-98F44C3A70FE}">
      <text>
        <r>
          <rPr>
            <b/>
            <sz val="9"/>
            <color indexed="81"/>
            <rFont val="Segoe UI"/>
            <charset val="1"/>
          </rPr>
          <t>12/04/2025 - ITAU DANI</t>
        </r>
      </text>
    </comment>
    <comment ref="F29" authorId="0" shapeId="0" xr:uid="{71AFBFAB-6B62-4EF0-838E-9AD9451C6B68}">
      <text>
        <r>
          <rPr>
            <b/>
            <sz val="9"/>
            <color indexed="81"/>
            <rFont val="Segoe UI"/>
            <family val="2"/>
          </rPr>
          <t>26/05/2025 - NUBANK DANI</t>
        </r>
      </text>
    </comment>
    <comment ref="G29" authorId="0" shapeId="0" xr:uid="{A5FC7117-914E-48A9-9059-DDF705F45709}">
      <text>
        <r>
          <rPr>
            <b/>
            <sz val="9"/>
            <color indexed="81"/>
            <rFont val="Segoe UI"/>
            <charset val="1"/>
          </rPr>
          <t>24/06/2025 - ITAU DANI</t>
        </r>
      </text>
    </comment>
    <comment ref="B30" authorId="0" shapeId="0" xr:uid="{1531F5AC-5D16-400C-95D4-1087C7810A70}">
      <text>
        <r>
          <rPr>
            <b/>
            <sz val="9"/>
            <color indexed="81"/>
            <rFont val="Segoe UI"/>
            <charset val="1"/>
          </rPr>
          <t>24/01/2025 - NUBANK DANI</t>
        </r>
      </text>
    </comment>
    <comment ref="C30" authorId="0" shapeId="0" xr:uid="{740D5B80-6EF6-4900-B46B-6CC0E3D9DA89}">
      <text>
        <r>
          <rPr>
            <b/>
            <sz val="9"/>
            <color indexed="81"/>
            <rFont val="Segoe UI"/>
            <charset val="1"/>
          </rPr>
          <t>21/02/2025 - ITAU DANI</t>
        </r>
      </text>
    </comment>
    <comment ref="D30" authorId="0" shapeId="0" xr:uid="{00EC2665-B8A8-455E-B2E0-5870DD006F8D}">
      <text>
        <r>
          <rPr>
            <b/>
            <sz val="9"/>
            <color indexed="81"/>
            <rFont val="Segoe UI"/>
            <charset val="1"/>
          </rPr>
          <t>20/03/2025 - ITAU DANI</t>
        </r>
      </text>
    </comment>
    <comment ref="E30" authorId="0" shapeId="0" xr:uid="{FCD04AA7-C7A7-4061-AAE6-1CBDD71F7FEF}">
      <text>
        <r>
          <rPr>
            <b/>
            <sz val="9"/>
            <color indexed="81"/>
            <rFont val="Segoe UI"/>
            <charset val="1"/>
          </rPr>
          <t>25/04/2025 - NUBAK DANI</t>
        </r>
      </text>
    </comment>
    <comment ref="F30" authorId="0" shapeId="0" xr:uid="{8820B879-9D49-40A1-A3C4-26E9ADA2316D}">
      <text>
        <r>
          <rPr>
            <b/>
            <sz val="9"/>
            <color indexed="81"/>
            <rFont val="Segoe UI"/>
            <charset val="1"/>
          </rPr>
          <t>05/05/2025 - NUBANK DANI</t>
        </r>
      </text>
    </comment>
    <comment ref="G30" authorId="0" shapeId="0" xr:uid="{D74B7C93-22CF-4DA7-B02F-2E05ABA05C11}">
      <text>
        <r>
          <rPr>
            <b/>
            <sz val="9"/>
            <color indexed="81"/>
            <rFont val="Segoe UI"/>
            <charset val="1"/>
          </rPr>
          <t>24/06/2025 - ITAU DANI</t>
        </r>
      </text>
    </comment>
    <comment ref="B31" authorId="0" shapeId="0" xr:uid="{C11A454F-B293-45C9-A2E2-7824278FCFD7}">
      <text>
        <r>
          <rPr>
            <b/>
            <sz val="9"/>
            <color indexed="81"/>
            <rFont val="Segoe UI"/>
            <charset val="1"/>
          </rPr>
          <t>01/03/2025 - ITAU DANI</t>
        </r>
      </text>
    </comment>
    <comment ref="C31" authorId="0" shapeId="0" xr:uid="{C23D6359-5CFF-43E1-9EE7-1DCDB608F990}">
      <text>
        <r>
          <rPr>
            <b/>
            <sz val="9"/>
            <color indexed="81"/>
            <rFont val="Segoe UI"/>
            <charset val="1"/>
          </rPr>
          <t>01/03/2025 - ITAU DANI</t>
        </r>
      </text>
    </comment>
    <comment ref="D31" authorId="0" shapeId="0" xr:uid="{DC93C2B1-43F2-4348-90EC-91345B3D58C3}">
      <text>
        <r>
          <rPr>
            <sz val="9"/>
            <color indexed="81"/>
            <rFont val="Segoe UI"/>
            <charset val="1"/>
          </rPr>
          <t xml:space="preserve">25/03/2025 - ITAU DANI
</t>
        </r>
      </text>
    </comment>
    <comment ref="E31" authorId="0" shapeId="0" xr:uid="{755902C1-4AE7-49C8-8CD2-2ED85EB9FC06}">
      <text>
        <r>
          <rPr>
            <b/>
            <sz val="9"/>
            <color indexed="81"/>
            <rFont val="Segoe UI"/>
            <charset val="1"/>
          </rPr>
          <t>20/05/2025 - NUBANK DANI (CREDITO)</t>
        </r>
      </text>
    </comment>
    <comment ref="F31" authorId="0" shapeId="0" xr:uid="{2B8B3436-ECDD-4664-B602-C61F9BF1C7C9}">
      <text>
        <r>
          <rPr>
            <b/>
            <sz val="9"/>
            <color indexed="81"/>
            <rFont val="Segoe UI"/>
            <charset val="1"/>
          </rPr>
          <t>20/05/2025 - NUBANK DANI (CREDITO)</t>
        </r>
      </text>
    </comment>
    <comment ref="G31" authorId="0" shapeId="0" xr:uid="{9A88B6A3-188F-469C-8564-BF9272496CF7}">
      <text>
        <r>
          <rPr>
            <b/>
            <sz val="9"/>
            <color indexed="81"/>
            <rFont val="Segoe UI"/>
            <charset val="1"/>
          </rPr>
          <t>24/06/2025 - ITAU DANI</t>
        </r>
      </text>
    </comment>
    <comment ref="C32" authorId="0" shapeId="0" xr:uid="{35113234-7837-49CC-8EAF-CAFA32364E13}">
      <text>
        <r>
          <rPr>
            <b/>
            <sz val="9"/>
            <color indexed="81"/>
            <rFont val="Segoe UI"/>
            <charset val="1"/>
          </rPr>
          <t>01/03/2025 - ITAU DANI</t>
        </r>
      </text>
    </comment>
    <comment ref="D32" authorId="0" shapeId="0" xr:uid="{7ED16FD6-6BA8-478A-B4B5-485A0247E6E9}">
      <text>
        <r>
          <rPr>
            <b/>
            <sz val="9"/>
            <color indexed="81"/>
            <rFont val="Segoe UI"/>
            <charset val="1"/>
          </rPr>
          <t xml:space="preserve">12/04/2025 - ITAU DANI
</t>
        </r>
      </text>
    </comment>
    <comment ref="E32" authorId="0" shapeId="0" xr:uid="{9B0E1A80-3A9F-4234-95E6-FD320D07F08B}">
      <text>
        <r>
          <rPr>
            <b/>
            <sz val="9"/>
            <color indexed="81"/>
            <rFont val="Segoe UI"/>
            <charset val="1"/>
          </rPr>
          <t>12/04/2025 - ITAU DANI</t>
        </r>
      </text>
    </comment>
    <comment ref="F32" authorId="0" shapeId="0" xr:uid="{40FE9587-B7BD-4D6A-A9BD-147D51F4A4AC}">
      <text>
        <r>
          <rPr>
            <b/>
            <sz val="9"/>
            <color indexed="81"/>
            <rFont val="Segoe UI"/>
            <charset val="1"/>
          </rPr>
          <t>17/05/2025 - NUBANK DANI</t>
        </r>
      </text>
    </comment>
    <comment ref="B34" authorId="0" shapeId="0" xr:uid="{17D8E975-6EA3-400B-BAC9-0D49125F2C15}">
      <text>
        <r>
          <rPr>
            <b/>
            <sz val="9"/>
            <color indexed="81"/>
            <rFont val="Segoe UI"/>
            <charset val="1"/>
          </rPr>
          <t>26/01/2025 - NIBANK DANI</t>
        </r>
      </text>
    </comment>
    <comment ref="C34" authorId="0" shapeId="0" xr:uid="{460A5DE4-B4EB-45D5-84E9-3E921F28D81E}">
      <text>
        <r>
          <rPr>
            <b/>
            <sz val="9"/>
            <color indexed="81"/>
            <rFont val="Segoe UI"/>
            <charset val="1"/>
          </rPr>
          <t>01/03/2025 - WILL DANI</t>
        </r>
      </text>
    </comment>
    <comment ref="D34" authorId="0" shapeId="0" xr:uid="{0E090939-015A-4DF9-B34A-D5118C25E4DC}">
      <text>
        <r>
          <rPr>
            <b/>
            <sz val="9"/>
            <color indexed="81"/>
            <rFont val="Segoe UI"/>
            <charset val="1"/>
          </rPr>
          <t>25/03/2024 - ITAU DANI</t>
        </r>
      </text>
    </comment>
    <comment ref="E34" authorId="0" shapeId="0" xr:uid="{86E6AACB-5845-43B2-86F0-03EBCC8F3D73}">
      <text>
        <r>
          <rPr>
            <b/>
            <sz val="9"/>
            <color indexed="81"/>
            <rFont val="Segoe UI"/>
            <charset val="1"/>
          </rPr>
          <t>12/04/2025 - NUBANK DANI</t>
        </r>
      </text>
    </comment>
    <comment ref="F34" authorId="0" shapeId="0" xr:uid="{8F4F1E12-BE7F-4F1D-BE0C-85E8AC007417}">
      <text>
        <r>
          <rPr>
            <b/>
            <sz val="9"/>
            <color indexed="81"/>
            <rFont val="Segoe UI"/>
            <family val="2"/>
          </rPr>
          <t>25/05/2025 - NUBANK DANI</t>
        </r>
      </text>
    </comment>
    <comment ref="G34" authorId="0" shapeId="0" xr:uid="{58AB2B37-8AF9-4C6D-8EE6-A52C683B9942}">
      <text>
        <r>
          <rPr>
            <b/>
            <sz val="9"/>
            <color indexed="81"/>
            <rFont val="Segoe UI"/>
            <charset val="1"/>
          </rPr>
          <t>05/07/2025 - ITAU DANI</t>
        </r>
      </text>
    </comment>
  </commentList>
</comments>
</file>

<file path=xl/sharedStrings.xml><?xml version="1.0" encoding="utf-8"?>
<sst xmlns="http://schemas.openxmlformats.org/spreadsheetml/2006/main" count="137" uniqueCount="100">
  <si>
    <t>jan/24</t>
  </si>
  <si>
    <t>fev/24</t>
  </si>
  <si>
    <t>mar/24</t>
  </si>
  <si>
    <t>abr/24</t>
  </si>
  <si>
    <t>mai/24</t>
  </si>
  <si>
    <t>jun/24</t>
  </si>
  <si>
    <t>jul/24</t>
  </si>
  <si>
    <t>ago/24</t>
  </si>
  <si>
    <t>set/24</t>
  </si>
  <si>
    <t>out/24</t>
  </si>
  <si>
    <t>nov/24</t>
  </si>
  <si>
    <t>dez/24</t>
  </si>
  <si>
    <t>jan/25</t>
  </si>
  <si>
    <t>fev/25</t>
  </si>
  <si>
    <t>mar/25</t>
  </si>
  <si>
    <t>abr/25</t>
  </si>
  <si>
    <t>mai/25</t>
  </si>
  <si>
    <t>jun/25</t>
  </si>
  <si>
    <t>jul/25</t>
  </si>
  <si>
    <t>ago/25</t>
  </si>
  <si>
    <t>set/25</t>
  </si>
  <si>
    <t>out/25</t>
  </si>
  <si>
    <t>nov/25</t>
  </si>
  <si>
    <t>dez/25</t>
  </si>
  <si>
    <t>jan/26</t>
  </si>
  <si>
    <t>fev/26</t>
  </si>
  <si>
    <t>mar/26</t>
  </si>
  <si>
    <t>abr/26</t>
  </si>
  <si>
    <t>mai/26</t>
  </si>
  <si>
    <t>jun/26</t>
  </si>
  <si>
    <t>jul/26</t>
  </si>
  <si>
    <t>ago/26</t>
  </si>
  <si>
    <t>set/26</t>
  </si>
  <si>
    <t>out/26</t>
  </si>
  <si>
    <t>nov/26</t>
  </si>
  <si>
    <t>dez/26</t>
  </si>
  <si>
    <t>ITEM</t>
  </si>
  <si>
    <t>DANI DIA 15</t>
  </si>
  <si>
    <t>KEL DIA 15</t>
  </si>
  <si>
    <t>LUZ (26)</t>
  </si>
  <si>
    <t>CARRO (24)</t>
  </si>
  <si>
    <t>FLORA ENERGIA (17)</t>
  </si>
  <si>
    <t>INTERNET (5)</t>
  </si>
  <si>
    <t>CLICK ITAU (5)</t>
  </si>
  <si>
    <t>CARREFOUR CHICO (17)</t>
  </si>
  <si>
    <t>HIPERCARD CHICO (25)</t>
  </si>
  <si>
    <t>ENTRADA AP (21)</t>
  </si>
  <si>
    <t>NEON KELLY (5)</t>
  </si>
  <si>
    <t>BESNI (20)</t>
  </si>
  <si>
    <t>HAVAN (10)</t>
  </si>
  <si>
    <t>CARREFOUR DANI (21)</t>
  </si>
  <si>
    <t>NUBANK KELLY (22)</t>
  </si>
  <si>
    <t>MERCADO LIVRE (20)</t>
  </si>
  <si>
    <t>ÁGUA (25)</t>
  </si>
  <si>
    <t>CAEDU (15)</t>
  </si>
  <si>
    <t>CLARO KELLY (12)</t>
  </si>
  <si>
    <t>FACULDADE (26)</t>
  </si>
  <si>
    <t>IPTU (10)</t>
  </si>
  <si>
    <t>EMPRESTIMO FATIMA (15)</t>
  </si>
  <si>
    <t>GÁS (15)</t>
  </si>
  <si>
    <t>CAIXA (10)</t>
  </si>
  <si>
    <t>CHEQUE ESPECIAL ITAU (30)</t>
  </si>
  <si>
    <t>FINANCIAMENTO AP (8)</t>
  </si>
  <si>
    <t>CONDOMINIO (10)</t>
  </si>
  <si>
    <t>TOTAL</t>
  </si>
  <si>
    <t>TOTAL/MÊS</t>
  </si>
  <si>
    <t xml:space="preserve"> SALARIO DANI DIA 30</t>
  </si>
  <si>
    <t>SALDO EM CONTA</t>
  </si>
  <si>
    <t>SALDO RESTANTE/FALTANTE</t>
  </si>
  <si>
    <t>TOTAL FINAL</t>
  </si>
  <si>
    <t>NUBANK DANI (1)</t>
  </si>
  <si>
    <t>PRIMEIRA QUINZENA (MÊS SEGUINTE)</t>
  </si>
  <si>
    <t>SEGUNDA QUINZENA (MÊS ATUAL)</t>
  </si>
  <si>
    <t>SALARIO KEL DIA 05</t>
  </si>
  <si>
    <t>ITAU KELLY (10)</t>
  </si>
  <si>
    <t>PÓS GRADUAÇÃO (10)</t>
  </si>
  <si>
    <t>WILLBANK (21)</t>
  </si>
  <si>
    <t>Dani</t>
  </si>
  <si>
    <t>Kelly</t>
  </si>
  <si>
    <t>SALÁRIO</t>
  </si>
  <si>
    <t>ADIANTADO NAS FÉRIAS</t>
  </si>
  <si>
    <t>13° - 1ª PARCELA</t>
  </si>
  <si>
    <t>13° - 2ª PARCELA</t>
  </si>
  <si>
    <t>LIQUIDO</t>
  </si>
  <si>
    <t>CREA (31)</t>
  </si>
  <si>
    <t>RENEGOCIAÇÃO CARREFOUR (3)</t>
  </si>
  <si>
    <t>ENTRADA AP (20)</t>
  </si>
  <si>
    <t>NEON DANI (11)</t>
  </si>
  <si>
    <t>PAN KELLY (6)</t>
  </si>
  <si>
    <t>WILLBANK DANI (5)</t>
  </si>
  <si>
    <t>CAIXA DANI (20)</t>
  </si>
  <si>
    <t>SANTANDER DANI (15)</t>
  </si>
  <si>
    <t xml:space="preserve">Saldo na Conta </t>
  </si>
  <si>
    <t>DIVIDA ATUAL (JUNHO)</t>
  </si>
  <si>
    <t>ARMARIOS BANHEIROS</t>
  </si>
  <si>
    <t>EVERTON 2ª PARCELA</t>
  </si>
  <si>
    <t>EMPRESTIMO KELLY</t>
  </si>
  <si>
    <t>JUNHO</t>
  </si>
  <si>
    <t>JULHO</t>
  </si>
  <si>
    <t>WILLBANK KELLY (20)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</si>
</sst>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9"/>
      <color indexed="81"/>
      <name val="Segoe UI"/>
      <charset val="1"/>
    </font>
    <font>
      <sz val="9"/>
      <color indexed="81"/>
      <name val="Segoe UI"/>
      <charset val="1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E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8">
    <xf numFmtId="0" fontId="0" fillId="0" borderId="0" xfId="0"/>
    <xf numFmtId="17" fontId="0" fillId="0" borderId="4" xfId="0" applyNumberFormat="1" applyBorder="1" applyAlignment="1">
      <alignment horizontal="center" vertical="center"/>
    </xf>
    <xf numFmtId="44" fontId="2" fillId="2" borderId="4" xfId="1" applyFont="1" applyFill="1" applyBorder="1"/>
    <xf numFmtId="44" fontId="2" fillId="2" borderId="0" xfId="1" applyFont="1" applyFill="1" applyBorder="1"/>
    <xf numFmtId="44" fontId="0" fillId="0" borderId="4" xfId="1" applyFont="1" applyBorder="1"/>
    <xf numFmtId="44" fontId="0" fillId="0" borderId="0" xfId="1" applyFont="1" applyBorder="1"/>
    <xf numFmtId="44" fontId="2" fillId="3" borderId="4" xfId="1" applyFont="1" applyFill="1" applyBorder="1"/>
    <xf numFmtId="44" fontId="2" fillId="3" borderId="5" xfId="1" applyFont="1" applyFill="1" applyBorder="1"/>
    <xf numFmtId="44" fontId="2" fillId="3" borderId="0" xfId="1" applyFont="1" applyFill="1" applyBorder="1"/>
    <xf numFmtId="44" fontId="0" fillId="0" borderId="7" xfId="1" applyFont="1" applyBorder="1"/>
    <xf numFmtId="44" fontId="0" fillId="0" borderId="0" xfId="0" applyNumberFormat="1"/>
    <xf numFmtId="44" fontId="2" fillId="3" borderId="6" xfId="1" applyFont="1" applyFill="1" applyBorder="1"/>
    <xf numFmtId="0" fontId="0" fillId="8" borderId="0" xfId="0" applyFill="1"/>
    <xf numFmtId="0" fontId="0" fillId="9" borderId="0" xfId="0" applyFill="1"/>
    <xf numFmtId="44" fontId="2" fillId="3" borderId="7" xfId="1" applyFont="1" applyFill="1" applyBorder="1"/>
    <xf numFmtId="17" fontId="0" fillId="0" borderId="0" xfId="0" applyNumberFormat="1" applyAlignment="1">
      <alignment horizontal="center" vertical="center"/>
    </xf>
    <xf numFmtId="0" fontId="0" fillId="8" borderId="7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44" fontId="0" fillId="0" borderId="0" xfId="1" applyFont="1" applyFill="1" applyAlignment="1">
      <alignment horizontal="center" vertical="center"/>
    </xf>
    <xf numFmtId="44" fontId="2" fillId="0" borderId="0" xfId="0" applyNumberFormat="1" applyFont="1"/>
    <xf numFmtId="0" fontId="0" fillId="0" borderId="0" xfId="0" applyAlignment="1">
      <alignment horizontal="center"/>
    </xf>
    <xf numFmtId="44" fontId="2" fillId="0" borderId="0" xfId="1" applyFont="1" applyFill="1" applyBorder="1"/>
    <xf numFmtId="44" fontId="0" fillId="0" borderId="0" xfId="1" applyFont="1" applyFill="1" applyBorder="1"/>
    <xf numFmtId="44" fontId="2" fillId="2" borderId="7" xfId="0" applyNumberFormat="1" applyFont="1" applyFill="1" applyBorder="1"/>
    <xf numFmtId="0" fontId="0" fillId="9" borderId="7" xfId="0" applyFill="1" applyBorder="1" applyAlignment="1">
      <alignment horizontal="center" vertical="center"/>
    </xf>
    <xf numFmtId="44" fontId="2" fillId="7" borderId="7" xfId="1" applyFont="1" applyFill="1" applyBorder="1"/>
    <xf numFmtId="0" fontId="7" fillId="7" borderId="7" xfId="0" applyFont="1" applyFill="1" applyBorder="1" applyAlignment="1">
      <alignment horizontal="center"/>
    </xf>
    <xf numFmtId="44" fontId="2" fillId="7" borderId="7" xfId="0" applyNumberFormat="1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44" fontId="2" fillId="2" borderId="7" xfId="1" applyFont="1" applyFill="1" applyBorder="1"/>
    <xf numFmtId="0" fontId="2" fillId="10" borderId="8" xfId="0" applyFont="1" applyFill="1" applyBorder="1" applyAlignment="1">
      <alignment horizontal="center"/>
    </xf>
    <xf numFmtId="44" fontId="2" fillId="7" borderId="10" xfId="1" applyFont="1" applyFill="1" applyBorder="1"/>
    <xf numFmtId="44" fontId="2" fillId="7" borderId="10" xfId="0" applyNumberFormat="1" applyFont="1" applyFill="1" applyBorder="1" applyAlignment="1">
      <alignment horizontal="center" vertical="center"/>
    </xf>
    <xf numFmtId="0" fontId="2" fillId="0" borderId="0" xfId="0" applyFont="1"/>
    <xf numFmtId="44" fontId="2" fillId="10" borderId="8" xfId="1" applyFont="1" applyFill="1" applyBorder="1" applyAlignment="1">
      <alignment horizontal="center"/>
    </xf>
    <xf numFmtId="44" fontId="2" fillId="3" borderId="8" xfId="1" applyFont="1" applyFill="1" applyBorder="1"/>
    <xf numFmtId="44" fontId="2" fillId="3" borderId="9" xfId="1" applyFont="1" applyFill="1" applyBorder="1"/>
    <xf numFmtId="44" fontId="2" fillId="3" borderId="8" xfId="1" applyFont="1" applyFill="1" applyBorder="1" applyAlignment="1">
      <alignment horizontal="center"/>
    </xf>
    <xf numFmtId="44" fontId="2" fillId="3" borderId="9" xfId="1" applyFont="1" applyFill="1" applyBorder="1" applyAlignment="1">
      <alignment horizontal="center"/>
    </xf>
    <xf numFmtId="44" fontId="8" fillId="7" borderId="7" xfId="0" applyNumberFormat="1" applyFont="1" applyFill="1" applyBorder="1" applyAlignment="1">
      <alignment horizontal="center" vertical="center"/>
    </xf>
    <xf numFmtId="44" fontId="8" fillId="7" borderId="10" xfId="0" applyNumberFormat="1" applyFont="1" applyFill="1" applyBorder="1" applyAlignment="1">
      <alignment horizontal="center" vertical="center"/>
    </xf>
    <xf numFmtId="44" fontId="0" fillId="0" borderId="11" xfId="1" applyFont="1" applyBorder="1"/>
    <xf numFmtId="44" fontId="2" fillId="3" borderId="7" xfId="0" applyNumberFormat="1" applyFont="1" applyFill="1" applyBorder="1"/>
    <xf numFmtId="44" fontId="2" fillId="3" borderId="0" xfId="1" applyFont="1" applyFill="1"/>
    <xf numFmtId="44" fontId="2" fillId="0" borderId="4" xfId="1" applyFont="1" applyFill="1" applyBorder="1"/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7" xfId="1" applyFont="1" applyBorder="1" applyAlignment="1">
      <alignment horizontal="center" vertical="center"/>
    </xf>
    <xf numFmtId="44" fontId="0" fillId="0" borderId="7" xfId="0" applyNumberFormat="1" applyBorder="1"/>
    <xf numFmtId="44" fontId="2" fillId="3" borderId="11" xfId="1" applyFont="1" applyFill="1" applyBorder="1"/>
    <xf numFmtId="44" fontId="0" fillId="0" borderId="0" xfId="1" applyFont="1"/>
    <xf numFmtId="44" fontId="2" fillId="2" borderId="11" xfId="1" applyFont="1" applyFill="1" applyBorder="1"/>
    <xf numFmtId="44" fontId="2" fillId="11" borderId="0" xfId="1" applyFont="1" applyFill="1" applyBorder="1"/>
    <xf numFmtId="17" fontId="0" fillId="0" borderId="11" xfId="0" applyNumberFormat="1" applyBorder="1" applyAlignment="1">
      <alignment horizontal="center" vertical="center"/>
    </xf>
    <xf numFmtId="44" fontId="2" fillId="0" borderId="11" xfId="1" applyFont="1" applyFill="1" applyBorder="1"/>
    <xf numFmtId="44" fontId="2" fillId="9" borderId="0" xfId="1" applyFont="1" applyFill="1" applyBorder="1"/>
    <xf numFmtId="44" fontId="2" fillId="2" borderId="6" xfId="1" applyFont="1" applyFill="1" applyBorder="1"/>
    <xf numFmtId="44" fontId="2" fillId="2" borderId="5" xfId="1" applyFont="1" applyFill="1" applyBorder="1"/>
    <xf numFmtId="44" fontId="2" fillId="2" borderId="12" xfId="1" applyFont="1" applyFill="1" applyBorder="1"/>
    <xf numFmtId="0" fontId="6" fillId="4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44" fontId="2" fillId="12" borderId="0" xfId="1" applyFont="1" applyFill="1" applyBorder="1"/>
    <xf numFmtId="44" fontId="2" fillId="12" borderId="4" xfId="1" applyFont="1" applyFill="1" applyBorder="1"/>
  </cellXfs>
  <cellStyles count="2">
    <cellStyle name="Moeda" xfId="1" builtinId="4"/>
    <cellStyle name="Normal" xfId="0" builtinId="0"/>
  </cellStyles>
  <dxfs count="17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auto="1"/>
        </patternFill>
      </fill>
    </dxf>
    <dxf>
      <fill>
        <patternFill patternType="solid">
          <fgColor rgb="FF00B0F0"/>
          <bgColor rgb="FF000000"/>
        </patternFill>
      </fill>
    </dxf>
    <dxf>
      <numFmt numFmtId="22" formatCode="mmm/yy"/>
      <alignment horizontal="center" vertical="center" textRotation="0" wrapText="0" indent="0" justifyLastLine="0" shrinkToFit="0" readingOrder="0"/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>
          <fgColor indexed="64"/>
          <bgColor rgb="FFFF0000"/>
        </patternFill>
      </fill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auto="1"/>
        </patternFill>
      </fill>
    </dxf>
    <dxf>
      <fill>
        <patternFill patternType="solid">
          <fgColor rgb="FF00B0F0"/>
          <bgColor rgb="FF000000"/>
        </patternFill>
      </fill>
    </dxf>
    <dxf>
      <numFmt numFmtId="22" formatCode="mmm/yy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41C568-4081-480F-B3FF-48A63D658E3E}" name="Tabela13" displayName="Tabela13" ref="A2:M31" totalsRowShown="0" headerRowDxfId="16">
  <autoFilter ref="A2:M31" xr:uid="{4A9F9460-E5D8-4180-AA55-87A53F9661B1}"/>
  <sortState xmlns:xlrd2="http://schemas.microsoft.com/office/spreadsheetml/2017/richdata2" ref="A3:M31">
    <sortCondition sortBy="cellColor" ref="A2:A31" dxfId="15"/>
  </sortState>
  <tableColumns count="13">
    <tableColumn id="1" xr3:uid="{F385C90F-2C69-4FB6-B30C-51B358AA2B10}" name="ITEM" dataDxfId="14"/>
    <tableColumn id="4" xr3:uid="{3C177F29-436B-40EE-94D0-1DCBCF93D5F8}" name="jan/24" dataDxfId="13" dataCellStyle="Moeda"/>
    <tableColumn id="5" xr3:uid="{EAA2C0D5-C744-42E9-BEE1-4F6A3870CEF6}" name="fev/24" dataDxfId="12" dataCellStyle="Moeda"/>
    <tableColumn id="6" xr3:uid="{FAA7B6E5-84AD-44BB-B20C-E8479CB900BC}" name="mar/24" dataCellStyle="Moeda"/>
    <tableColumn id="7" xr3:uid="{FA0A8A58-82A0-4F2C-8054-68D8D0B580AD}" name="abr/24" dataCellStyle="Moeda"/>
    <tableColumn id="8" xr3:uid="{01968817-A7F3-47FD-B730-0847565DEC2A}" name="mai/24" dataCellStyle="Moeda"/>
    <tableColumn id="9" xr3:uid="{2B0A4A56-2212-4F4F-836C-5D763E0EE54D}" name="jun/24" dataCellStyle="Moeda"/>
    <tableColumn id="10" xr3:uid="{101C9589-442D-4C9B-8A26-4229D99D2193}" name="jul/24" dataCellStyle="Moeda"/>
    <tableColumn id="11" xr3:uid="{CA44023B-0133-480E-B89C-5912CF88C18C}" name="ago/24" dataCellStyle="Moeda"/>
    <tableColumn id="12" xr3:uid="{16548646-20F1-45F8-A997-B010D67BC256}" name="set/24" dataCellStyle="Moeda"/>
    <tableColumn id="13" xr3:uid="{B54FF249-62BD-4ACC-AE6E-B7B2F0D6324E}" name="out/24" dataCellStyle="Moeda"/>
    <tableColumn id="14" xr3:uid="{FE524CAF-7039-4B26-9348-203057D70A5C}" name="nov/24" dataCellStyle="Moeda"/>
    <tableColumn id="15" xr3:uid="{B8E95B29-5554-49D8-A1BB-F7E53BE2E3C8}" name="dez/24" dataDxfId="11" dataCellStyle="Moeda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9F9460-E5D8-4180-AA55-87A53F9661B1}" name="Tabela1" displayName="Tabela1" ref="A2:Y35" totalsRowShown="0" headerRowDxfId="10">
  <autoFilter ref="A2:Y35" xr:uid="{4A9F9460-E5D8-4180-AA55-87A53F9661B1}"/>
  <sortState xmlns:xlrd2="http://schemas.microsoft.com/office/spreadsheetml/2017/richdata2" ref="A3:Y35">
    <sortCondition sortBy="cellColor" ref="A2:A35" dxfId="9"/>
  </sortState>
  <tableColumns count="25">
    <tableColumn id="1" xr3:uid="{20EAAD58-6F3A-4B8A-938C-90F833C8B62A}" name="ITEM" dataDxfId="8"/>
    <tableColumn id="16" xr3:uid="{BC41425A-B9EB-4396-A215-4AB5DDA0EB0D}" name="jan/25" dataDxfId="7" dataCellStyle="Moeda"/>
    <tableColumn id="17" xr3:uid="{A3871B29-184B-4E2A-B910-99702209D83B}" name="fev/25" dataCellStyle="Moeda"/>
    <tableColumn id="18" xr3:uid="{EF4B6A1B-2B34-44A8-BD44-86458796CE6D}" name="mar/25" dataCellStyle="Moeda"/>
    <tableColumn id="19" xr3:uid="{3E103DD7-863B-4247-8F96-5E29D515EE67}" name="abr/25" dataCellStyle="Moeda"/>
    <tableColumn id="20" xr3:uid="{1A7D0BD2-483F-4E89-8AD4-AAEFB6D9915F}" name="mai/25" dataCellStyle="Moeda"/>
    <tableColumn id="21" xr3:uid="{0823FC2E-6EAB-4A3D-A483-263EA383A15C}" name="jun/25" dataCellStyle="Moeda"/>
    <tableColumn id="22" xr3:uid="{C328CDA7-B0B8-4AF6-9687-B586754F81ED}" name="jul/25" dataCellStyle="Moeda"/>
    <tableColumn id="23" xr3:uid="{2FB13B29-F75D-42C5-B6BD-9D7723C5876B}" name="ago/25" dataCellStyle="Moeda"/>
    <tableColumn id="24" xr3:uid="{6DCD4A1D-0C60-4D03-BE2B-D767D59B8CF3}" name="set/25" dataCellStyle="Moeda"/>
    <tableColumn id="25" xr3:uid="{63BD0D34-1576-4285-9670-DA9672EA6C44}" name="out/25" dataCellStyle="Moeda"/>
    <tableColumn id="26" xr3:uid="{51A1E4E6-CBE5-44A8-A3A4-F406FF0A7D17}" name="nov/25" dataCellStyle="Moeda"/>
    <tableColumn id="27" xr3:uid="{55FEC778-DB28-4E4F-9D1F-ADE9E8E9F977}" name="dez/25" dataDxfId="6" dataCellStyle="Moeda"/>
    <tableColumn id="28" xr3:uid="{DCF462A5-215C-4629-A1CC-7B2397D76EE2}" name="jan/26" dataDxfId="5" dataCellStyle="Moeda"/>
    <tableColumn id="29" xr3:uid="{7E4E8219-3A19-46C5-B9D8-8AE4851C07CE}" name="fev/26" dataCellStyle="Moeda"/>
    <tableColumn id="30" xr3:uid="{C3FE5838-3207-4572-B8ED-FD3B5BEFE590}" name="mar/26" dataCellStyle="Moeda"/>
    <tableColumn id="31" xr3:uid="{6146B97E-0C28-4160-A01B-418478258794}" name="abr/26" dataCellStyle="Moeda"/>
    <tableColumn id="43" xr3:uid="{DE6ACD04-8710-4EA6-9E5D-58261AC6AD85}" name="mai/26" dataCellStyle="Moeda"/>
    <tableColumn id="44" xr3:uid="{E51AE373-0076-4966-9A26-2FC5801568EE}" name="jun/26" dataCellStyle="Moeda"/>
    <tableColumn id="45" xr3:uid="{EDDBE147-FFF6-401E-A463-0F03DBE8E0DF}" name="jul/26" dataCellStyle="Moeda"/>
    <tableColumn id="46" xr3:uid="{ACE27667-1DF0-4B6C-A432-2FB8478B32AB}" name="ago/26" dataCellStyle="Moeda"/>
    <tableColumn id="47" xr3:uid="{27F5DF08-AF0C-499A-AB0E-40353A4D537C}" name="set/26" dataCellStyle="Moeda"/>
    <tableColumn id="48" xr3:uid="{719D1902-D7C4-4C22-B5E1-C499D7DE50E3}" name="out/26" dataCellStyle="Moeda"/>
    <tableColumn id="49" xr3:uid="{44622CD9-8A8A-40C9-B9C2-5A446D2D0830}" name="nov/26" dataCellStyle="Moeda"/>
    <tableColumn id="50" xr3:uid="{480ADA03-C0AA-4994-87F9-8B8C124D671E}" name="dez/26" dataDxfId="4" dataCellStyle="Moeda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B849F-1A72-49B7-929B-1F451C134AD1}">
  <dimension ref="A1:M56"/>
  <sheetViews>
    <sheetView topLeftCell="A5" zoomScaleNormal="100" workbookViewId="0">
      <pane xSplit="1" topLeftCell="B1" activePane="topRight" state="frozen"/>
      <selection pane="topRight" activeCell="D10" sqref="D10:I10"/>
    </sheetView>
  </sheetViews>
  <sheetFormatPr defaultRowHeight="15" x14ac:dyDescent="0.25"/>
  <cols>
    <col min="1" max="1" width="33.5703125" customWidth="1"/>
    <col min="2" max="2" width="12.140625" bestFit="1" customWidth="1"/>
    <col min="3" max="3" width="12.42578125" bestFit="1" customWidth="1"/>
    <col min="4" max="5" width="13.28515625" bestFit="1" customWidth="1"/>
    <col min="6" max="6" width="12.42578125" bestFit="1" customWidth="1"/>
    <col min="7" max="13" width="12.140625" bestFit="1" customWidth="1"/>
  </cols>
  <sheetData>
    <row r="1" spans="1:13" x14ac:dyDescent="0.25">
      <c r="B1" s="59">
        <v>2024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x14ac:dyDescent="0.25">
      <c r="A2" t="s">
        <v>36</v>
      </c>
      <c r="B2" s="1" t="s">
        <v>0</v>
      </c>
      <c r="C2" s="15" t="s">
        <v>1</v>
      </c>
      <c r="D2" s="15" t="s">
        <v>2</v>
      </c>
      <c r="E2" s="15" t="s">
        <v>3</v>
      </c>
      <c r="F2" s="15" t="s">
        <v>4</v>
      </c>
      <c r="G2" s="15" t="s">
        <v>5</v>
      </c>
      <c r="H2" s="15" t="s">
        <v>6</v>
      </c>
      <c r="I2" s="15" t="s">
        <v>7</v>
      </c>
      <c r="J2" s="15" t="s">
        <v>8</v>
      </c>
      <c r="K2" s="15" t="s">
        <v>9</v>
      </c>
      <c r="L2" s="15" t="s">
        <v>10</v>
      </c>
      <c r="M2" s="15" t="s">
        <v>11</v>
      </c>
    </row>
    <row r="3" spans="1:13" x14ac:dyDescent="0.25">
      <c r="A3" s="13" t="s">
        <v>70</v>
      </c>
      <c r="B3" s="6">
        <v>549.04</v>
      </c>
      <c r="C3" s="8">
        <v>26.19</v>
      </c>
      <c r="D3" s="8">
        <v>85.98</v>
      </c>
      <c r="E3" s="8">
        <v>1253.58</v>
      </c>
      <c r="F3" s="8">
        <f>452.76+205.29+8.73</f>
        <v>666.78</v>
      </c>
      <c r="G3" s="8">
        <v>0</v>
      </c>
      <c r="H3" s="8">
        <v>0</v>
      </c>
      <c r="I3" s="8">
        <v>1198.3800000000001</v>
      </c>
      <c r="J3" s="8">
        <v>531.70000000000005</v>
      </c>
      <c r="K3" s="8">
        <v>368.4</v>
      </c>
      <c r="L3" s="8">
        <v>768.78</v>
      </c>
      <c r="M3" s="8">
        <v>440.62</v>
      </c>
    </row>
    <row r="4" spans="1:13" x14ac:dyDescent="0.25">
      <c r="A4" s="13" t="s">
        <v>42</v>
      </c>
      <c r="B4" s="6">
        <v>105.34</v>
      </c>
      <c r="C4" s="8">
        <v>102.94</v>
      </c>
      <c r="D4" s="8">
        <v>102.94</v>
      </c>
      <c r="E4" s="8">
        <v>102.94</v>
      </c>
      <c r="F4" s="8">
        <v>102.94</v>
      </c>
      <c r="G4" s="8">
        <v>118.52</v>
      </c>
      <c r="H4" s="8">
        <v>118.69</v>
      </c>
      <c r="I4" s="8">
        <v>116.32</v>
      </c>
      <c r="J4" s="8">
        <v>116.32</v>
      </c>
      <c r="K4" s="8">
        <v>116.32</v>
      </c>
      <c r="L4" s="8">
        <v>116.32</v>
      </c>
      <c r="M4" s="8">
        <v>116.32</v>
      </c>
    </row>
    <row r="5" spans="1:13" x14ac:dyDescent="0.25">
      <c r="A5" s="13" t="s">
        <v>43</v>
      </c>
      <c r="B5" s="6">
        <v>934.63</v>
      </c>
      <c r="C5" s="8">
        <v>941.54</v>
      </c>
      <c r="D5" s="8">
        <v>734.3</v>
      </c>
      <c r="E5" s="8">
        <v>749.15</v>
      </c>
      <c r="F5" s="8">
        <v>808.56</v>
      </c>
      <c r="G5" s="8">
        <v>838.23</v>
      </c>
      <c r="H5" s="8">
        <v>665.66</v>
      </c>
      <c r="I5" s="8">
        <v>501.5</v>
      </c>
      <c r="J5" s="8">
        <v>261.52999999999997</v>
      </c>
      <c r="K5" s="8">
        <v>240.09</v>
      </c>
      <c r="L5" s="8">
        <v>59.47</v>
      </c>
      <c r="M5" s="8">
        <v>32.630000000000003</v>
      </c>
    </row>
    <row r="6" spans="1:13" x14ac:dyDescent="0.25">
      <c r="A6" s="13" t="s">
        <v>47</v>
      </c>
      <c r="B6" s="6">
        <v>492.66</v>
      </c>
      <c r="C6" s="8">
        <v>640.76</v>
      </c>
      <c r="D6" s="8">
        <v>344.59</v>
      </c>
      <c r="E6" s="8">
        <v>616.71</v>
      </c>
      <c r="F6" s="8">
        <v>660.37</v>
      </c>
      <c r="G6" s="8">
        <v>813.22</v>
      </c>
      <c r="H6" s="8">
        <v>866.51</v>
      </c>
      <c r="I6" s="8">
        <v>702.15</v>
      </c>
      <c r="J6" s="8">
        <v>669.36</v>
      </c>
      <c r="K6" s="8">
        <v>466.72</v>
      </c>
      <c r="L6" s="8">
        <v>351.72</v>
      </c>
      <c r="M6" s="8">
        <v>643.88</v>
      </c>
    </row>
    <row r="7" spans="1:13" x14ac:dyDescent="0.25">
      <c r="A7" s="13" t="s">
        <v>62</v>
      </c>
      <c r="B7" s="6">
        <v>750</v>
      </c>
      <c r="C7" s="8">
        <v>0</v>
      </c>
      <c r="D7" s="8">
        <v>0</v>
      </c>
      <c r="E7" s="8">
        <v>2232.98</v>
      </c>
      <c r="F7" s="8">
        <v>2233.96</v>
      </c>
      <c r="G7" s="8">
        <v>2225.79</v>
      </c>
      <c r="H7" s="8">
        <v>2221.7800000000002</v>
      </c>
      <c r="I7" s="8">
        <f>2222.58</f>
        <v>2222.58</v>
      </c>
      <c r="J7" s="8">
        <v>2220.09</v>
      </c>
      <c r="K7" s="8">
        <v>2217.44</v>
      </c>
      <c r="L7" s="8">
        <v>2215.81</v>
      </c>
      <c r="M7" s="8">
        <v>2213.2399999999998</v>
      </c>
    </row>
    <row r="8" spans="1:13" x14ac:dyDescent="0.25">
      <c r="A8" s="13" t="s">
        <v>63</v>
      </c>
      <c r="B8" s="6">
        <v>464.47</v>
      </c>
      <c r="C8" s="8">
        <v>464.47</v>
      </c>
      <c r="D8" s="8">
        <v>464.47</v>
      </c>
      <c r="E8" s="8">
        <v>464.47</v>
      </c>
      <c r="F8" s="8">
        <v>464.47</v>
      </c>
      <c r="G8" s="8">
        <f>464.47</f>
        <v>464.47</v>
      </c>
      <c r="H8" s="8">
        <v>464.47</v>
      </c>
      <c r="I8" s="8">
        <v>464.47</v>
      </c>
      <c r="J8" s="8">
        <v>464.47</v>
      </c>
      <c r="K8" s="8">
        <v>464.47</v>
      </c>
      <c r="L8" s="8">
        <v>464.47</v>
      </c>
      <c r="M8" s="8">
        <v>516.45000000000005</v>
      </c>
    </row>
    <row r="9" spans="1:13" x14ac:dyDescent="0.25">
      <c r="A9" s="13" t="s">
        <v>49</v>
      </c>
      <c r="B9" s="6">
        <v>132.65</v>
      </c>
      <c r="C9" s="8">
        <v>185.11</v>
      </c>
      <c r="D9" s="8">
        <v>185.11</v>
      </c>
      <c r="E9" s="8">
        <f>185.11+32.9</f>
        <v>218.01000000000002</v>
      </c>
      <c r="F9" s="8">
        <f>49.98+32.9+67.98+9.99</f>
        <v>160.85000000000002</v>
      </c>
      <c r="G9" s="8">
        <v>191</v>
      </c>
      <c r="H9" s="8">
        <v>180.95</v>
      </c>
      <c r="I9" s="8">
        <v>223.93</v>
      </c>
      <c r="J9" s="8">
        <v>208.92</v>
      </c>
      <c r="K9" s="8">
        <v>90.97</v>
      </c>
      <c r="L9" s="8">
        <v>90.97</v>
      </c>
      <c r="M9" s="8">
        <v>130.94999999999999</v>
      </c>
    </row>
    <row r="10" spans="1:13" x14ac:dyDescent="0.25">
      <c r="A10" s="13" t="s">
        <v>57</v>
      </c>
      <c r="B10" s="6">
        <v>0</v>
      </c>
      <c r="C10" s="8">
        <v>0</v>
      </c>
      <c r="D10" s="8">
        <v>96.38</v>
      </c>
      <c r="E10" s="8">
        <v>96.38</v>
      </c>
      <c r="F10" s="8">
        <v>96.38</v>
      </c>
      <c r="G10" s="8">
        <v>96.38</v>
      </c>
      <c r="H10" s="8">
        <v>96.38</v>
      </c>
      <c r="I10" s="8">
        <v>96.38</v>
      </c>
      <c r="J10" s="8">
        <v>0</v>
      </c>
      <c r="K10" s="8">
        <v>0</v>
      </c>
      <c r="L10" s="8">
        <v>0</v>
      </c>
      <c r="M10" s="8">
        <v>0</v>
      </c>
    </row>
    <row r="11" spans="1:13" x14ac:dyDescent="0.25">
      <c r="A11" s="13" t="s">
        <v>60</v>
      </c>
      <c r="B11" s="6">
        <v>0</v>
      </c>
      <c r="C11" s="8">
        <v>0</v>
      </c>
      <c r="D11" s="8">
        <v>2737.59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</row>
    <row r="12" spans="1:13" x14ac:dyDescent="0.25">
      <c r="A12" s="13" t="s">
        <v>74</v>
      </c>
      <c r="B12" s="6">
        <v>0</v>
      </c>
      <c r="C12" s="8">
        <v>0</v>
      </c>
      <c r="D12" s="8">
        <v>0</v>
      </c>
      <c r="E12" s="8">
        <v>0</v>
      </c>
      <c r="F12" s="8">
        <v>0</v>
      </c>
      <c r="G12" s="8">
        <v>2059</v>
      </c>
      <c r="H12" s="8">
        <v>3870</v>
      </c>
      <c r="I12" s="8">
        <v>1483.39</v>
      </c>
      <c r="J12" s="8">
        <f>2092.8-2092.8+1139.62</f>
        <v>1139.6199999999999</v>
      </c>
      <c r="K12" s="8">
        <v>2724.54</v>
      </c>
      <c r="L12" s="8">
        <v>2992.33</v>
      </c>
      <c r="M12" s="49">
        <v>2938.79</v>
      </c>
    </row>
    <row r="13" spans="1:13" x14ac:dyDescent="0.25">
      <c r="A13" s="13" t="s">
        <v>75</v>
      </c>
      <c r="B13" s="6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9.58</v>
      </c>
      <c r="I13" s="8">
        <v>0</v>
      </c>
      <c r="J13" s="8">
        <v>142.51</v>
      </c>
      <c r="K13" s="8">
        <v>142.51</v>
      </c>
      <c r="L13" s="8">
        <v>142.51</v>
      </c>
      <c r="M13" s="8">
        <v>142.51</v>
      </c>
    </row>
    <row r="14" spans="1:13" x14ac:dyDescent="0.25">
      <c r="A14" s="13" t="s">
        <v>55</v>
      </c>
      <c r="B14" s="6">
        <v>0</v>
      </c>
      <c r="C14" s="8">
        <v>62</v>
      </c>
      <c r="D14" s="8">
        <v>61.29</v>
      </c>
      <c r="E14" s="8">
        <v>66.98</v>
      </c>
      <c r="F14" s="8">
        <v>66.98</v>
      </c>
      <c r="G14" s="8">
        <v>62</v>
      </c>
      <c r="H14" s="8">
        <v>66.98</v>
      </c>
      <c r="I14" s="8">
        <v>66.98</v>
      </c>
      <c r="J14" s="8">
        <v>66.98</v>
      </c>
      <c r="K14" s="8">
        <v>66.98</v>
      </c>
      <c r="L14" s="8">
        <v>66.98</v>
      </c>
      <c r="M14" s="8">
        <v>66.98</v>
      </c>
    </row>
    <row r="15" spans="1:13" x14ac:dyDescent="0.25">
      <c r="A15" s="13" t="s">
        <v>58</v>
      </c>
      <c r="B15" s="6">
        <v>0</v>
      </c>
      <c r="C15" s="8">
        <v>0</v>
      </c>
      <c r="D15" s="8">
        <v>700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</row>
    <row r="16" spans="1:13" x14ac:dyDescent="0.25">
      <c r="A16" s="13" t="s">
        <v>54</v>
      </c>
      <c r="B16" s="6">
        <v>0</v>
      </c>
      <c r="C16" s="8">
        <v>46.49</v>
      </c>
      <c r="D16" s="8">
        <v>46.49</v>
      </c>
      <c r="E16" s="8">
        <v>46.49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126.6</v>
      </c>
      <c r="M16" s="8">
        <v>130.37</v>
      </c>
    </row>
    <row r="17" spans="1:13" x14ac:dyDescent="0.25">
      <c r="A17" s="13" t="s">
        <v>59</v>
      </c>
      <c r="B17" s="6">
        <v>18.12</v>
      </c>
      <c r="C17" s="8">
        <v>18.52</v>
      </c>
      <c r="D17" s="8">
        <v>10.28</v>
      </c>
      <c r="E17" s="8">
        <v>19.600000000000001</v>
      </c>
      <c r="F17" s="8">
        <v>17.57</v>
      </c>
      <c r="G17" s="8">
        <v>19.14</v>
      </c>
      <c r="H17" s="8">
        <v>15.41</v>
      </c>
      <c r="I17" s="8">
        <v>20.13</v>
      </c>
      <c r="J17" s="8">
        <v>21.64</v>
      </c>
      <c r="K17" s="8">
        <v>15.59</v>
      </c>
      <c r="L17" s="3">
        <v>20</v>
      </c>
      <c r="M17" s="8">
        <v>17.420000000000002</v>
      </c>
    </row>
    <row r="18" spans="1:13" x14ac:dyDescent="0.25">
      <c r="A18" s="12" t="s">
        <v>44</v>
      </c>
      <c r="B18" s="6">
        <v>295</v>
      </c>
      <c r="C18" s="8">
        <f>295+350</f>
        <v>645</v>
      </c>
      <c r="D18" s="8">
        <f>295+350-116</f>
        <v>529</v>
      </c>
      <c r="E18" s="8">
        <f>295+350-116</f>
        <v>529</v>
      </c>
      <c r="F18" s="8">
        <f>295+350-116</f>
        <v>529</v>
      </c>
      <c r="G18" s="8">
        <f>295+350</f>
        <v>645</v>
      </c>
      <c r="H18" s="8">
        <f>295+260</f>
        <v>555</v>
      </c>
      <c r="I18" s="8">
        <v>260</v>
      </c>
      <c r="J18" s="8">
        <v>260</v>
      </c>
      <c r="K18" s="8">
        <v>260</v>
      </c>
      <c r="L18" s="8">
        <f>260+492</f>
        <v>752</v>
      </c>
      <c r="M18" s="8">
        <v>752</v>
      </c>
    </row>
    <row r="19" spans="1:13" x14ac:dyDescent="0.25">
      <c r="A19" s="12" t="s">
        <v>41</v>
      </c>
      <c r="B19" s="6">
        <v>149.46</v>
      </c>
      <c r="C19" s="8">
        <f>102.64+76</f>
        <v>178.64</v>
      </c>
      <c r="D19" s="8">
        <v>54.55</v>
      </c>
      <c r="E19" s="8">
        <v>69.760000000000005</v>
      </c>
      <c r="F19" s="8">
        <v>85.16</v>
      </c>
      <c r="G19" s="8">
        <v>71.95</v>
      </c>
      <c r="H19" s="8">
        <v>75</v>
      </c>
      <c r="I19" s="8">
        <v>120.02</v>
      </c>
      <c r="J19" s="8">
        <v>116.42</v>
      </c>
      <c r="K19" s="8">
        <v>145.62</v>
      </c>
      <c r="L19" s="8">
        <v>92</v>
      </c>
      <c r="M19" s="8">
        <v>115.59</v>
      </c>
    </row>
    <row r="20" spans="1:13" x14ac:dyDescent="0.25">
      <c r="A20" s="12" t="s">
        <v>52</v>
      </c>
      <c r="B20" s="6">
        <v>42.04</v>
      </c>
      <c r="C20" s="8">
        <v>115.44</v>
      </c>
      <c r="D20" s="8">
        <v>307.05</v>
      </c>
      <c r="E20" s="8">
        <f>394.44</f>
        <v>394.44</v>
      </c>
      <c r="F20" s="8">
        <v>105.43</v>
      </c>
      <c r="G20" s="8">
        <v>436.37</v>
      </c>
      <c r="H20" s="8">
        <v>485.19</v>
      </c>
      <c r="I20" s="8">
        <f>(227.3+321.58)-227.3</f>
        <v>321.58</v>
      </c>
      <c r="J20" s="8">
        <v>387.76</v>
      </c>
      <c r="K20" s="8">
        <v>554.98</v>
      </c>
      <c r="L20" s="8">
        <v>526.62</v>
      </c>
      <c r="M20" s="8">
        <v>118</v>
      </c>
    </row>
    <row r="21" spans="1:13" x14ac:dyDescent="0.25">
      <c r="A21" s="12" t="s">
        <v>48</v>
      </c>
      <c r="B21" s="6">
        <v>117</v>
      </c>
      <c r="C21" s="8">
        <v>122.16</v>
      </c>
      <c r="D21" s="8">
        <v>195.67</v>
      </c>
      <c r="E21" s="8">
        <v>145.68</v>
      </c>
      <c r="F21" s="8">
        <v>233.99</v>
      </c>
      <c r="G21" s="8">
        <v>194.53</v>
      </c>
      <c r="H21" s="8">
        <v>189.51</v>
      </c>
      <c r="I21" s="8">
        <v>162.09</v>
      </c>
      <c r="J21" s="8">
        <v>162.09</v>
      </c>
      <c r="K21" s="8">
        <v>255.56</v>
      </c>
      <c r="L21" s="8">
        <v>153.52000000000001</v>
      </c>
      <c r="M21" s="8">
        <v>183.8</v>
      </c>
    </row>
    <row r="22" spans="1:13" x14ac:dyDescent="0.25">
      <c r="A22" s="12" t="s">
        <v>46</v>
      </c>
      <c r="B22" s="6">
        <v>1740.47</v>
      </c>
      <c r="C22" s="8">
        <v>1740.47</v>
      </c>
      <c r="D22" s="8">
        <f>1807.62-500.02</f>
        <v>1307.5999999999999</v>
      </c>
      <c r="E22" s="8">
        <v>1807.62</v>
      </c>
      <c r="F22" s="8">
        <v>1807.62</v>
      </c>
      <c r="G22" s="8">
        <v>1926.24</v>
      </c>
      <c r="H22" s="8">
        <v>1916.84</v>
      </c>
      <c r="I22" s="8">
        <v>1916.84</v>
      </c>
      <c r="J22" s="8">
        <v>1916.84</v>
      </c>
      <c r="K22" s="8">
        <v>1971.5</v>
      </c>
      <c r="L22" s="8">
        <v>2050.14</v>
      </c>
      <c r="M22" s="8">
        <v>2094</v>
      </c>
    </row>
    <row r="23" spans="1:13" x14ac:dyDescent="0.25">
      <c r="A23" s="12" t="s">
        <v>50</v>
      </c>
      <c r="B23" s="6">
        <v>254.01</v>
      </c>
      <c r="C23" s="8">
        <v>20.84</v>
      </c>
      <c r="D23" s="8">
        <v>471.49</v>
      </c>
      <c r="E23" s="8">
        <v>0</v>
      </c>
      <c r="F23" s="3">
        <v>506.02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</row>
    <row r="24" spans="1:13" x14ac:dyDescent="0.25">
      <c r="A24" s="12" t="s">
        <v>76</v>
      </c>
      <c r="B24" s="6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416.26</v>
      </c>
      <c r="L24" s="8">
        <v>1853.42</v>
      </c>
      <c r="M24" s="49">
        <v>1872.95</v>
      </c>
    </row>
    <row r="25" spans="1:13" x14ac:dyDescent="0.25">
      <c r="A25" s="12" t="s">
        <v>51</v>
      </c>
      <c r="B25" s="6">
        <v>496.35</v>
      </c>
      <c r="C25" s="8">
        <v>435</v>
      </c>
      <c r="D25" s="8">
        <f>787.71+313.54</f>
        <v>1101.25</v>
      </c>
      <c r="E25" s="8">
        <v>672.45</v>
      </c>
      <c r="F25" s="8">
        <v>417.65</v>
      </c>
      <c r="G25" s="8">
        <v>124.55</v>
      </c>
      <c r="H25" s="8">
        <v>566.30999999999995</v>
      </c>
      <c r="I25" s="8">
        <v>333.05</v>
      </c>
      <c r="J25" s="8">
        <v>456.75</v>
      </c>
      <c r="K25" s="8">
        <v>792.91</v>
      </c>
      <c r="L25" s="8">
        <v>474.05</v>
      </c>
      <c r="M25" s="8">
        <v>605.1</v>
      </c>
    </row>
    <row r="26" spans="1:13" x14ac:dyDescent="0.25">
      <c r="A26" s="12" t="s">
        <v>40</v>
      </c>
      <c r="B26" s="6">
        <v>896.4</v>
      </c>
      <c r="C26" s="8">
        <v>896.4</v>
      </c>
      <c r="D26" s="8">
        <v>896.4</v>
      </c>
      <c r="E26" s="8">
        <f>896.4</f>
        <v>896.4</v>
      </c>
      <c r="F26" s="8">
        <v>930.31</v>
      </c>
      <c r="G26" s="8">
        <f>896.4</f>
        <v>896.4</v>
      </c>
      <c r="H26" s="8">
        <v>896.4</v>
      </c>
      <c r="I26" s="8">
        <v>888.17</v>
      </c>
      <c r="J26" s="8">
        <v>891.06</v>
      </c>
      <c r="K26" s="8">
        <f>896.4</f>
        <v>896.4</v>
      </c>
      <c r="L26" s="8">
        <v>896.4</v>
      </c>
      <c r="M26" s="8">
        <v>895.91</v>
      </c>
    </row>
    <row r="27" spans="1:13" x14ac:dyDescent="0.25">
      <c r="A27" s="12" t="s">
        <v>45</v>
      </c>
      <c r="B27" s="6">
        <v>1818.87</v>
      </c>
      <c r="C27" s="8">
        <f>1724.16</f>
        <v>1724.16</v>
      </c>
      <c r="D27" s="8">
        <f>931.92+2587.25</f>
        <v>3519.17</v>
      </c>
      <c r="E27" s="8">
        <v>1420.26</v>
      </c>
      <c r="F27" s="8">
        <v>1310</v>
      </c>
      <c r="G27" s="8">
        <v>1418.46</v>
      </c>
      <c r="H27" s="8">
        <v>733.23</v>
      </c>
      <c r="I27" s="8">
        <f>814.11</f>
        <v>814.11</v>
      </c>
      <c r="J27" s="8">
        <v>838.24</v>
      </c>
      <c r="K27" s="8">
        <f>1886.17-130</f>
        <v>1756.17</v>
      </c>
      <c r="L27" s="8">
        <f>709.17</f>
        <v>709.17</v>
      </c>
      <c r="M27" s="8">
        <f>512.17+613</f>
        <v>1125.17</v>
      </c>
    </row>
    <row r="28" spans="1:13" x14ac:dyDescent="0.25">
      <c r="A28" s="12" t="s">
        <v>53</v>
      </c>
      <c r="B28" s="6">
        <v>70.89</v>
      </c>
      <c r="C28" s="8">
        <v>84.51</v>
      </c>
      <c r="D28" s="8">
        <v>75.599999999999994</v>
      </c>
      <c r="E28" s="8">
        <v>64.92</v>
      </c>
      <c r="F28" s="8">
        <v>86.31</v>
      </c>
      <c r="G28" s="8">
        <v>69.430000000000007</v>
      </c>
      <c r="H28" s="8">
        <v>70.88</v>
      </c>
      <c r="I28" s="8">
        <v>68.86</v>
      </c>
      <c r="J28" s="8">
        <v>68.739999999999995</v>
      </c>
      <c r="K28" s="8">
        <v>89.14</v>
      </c>
      <c r="L28" s="8">
        <f>68.74</f>
        <v>68.739999999999995</v>
      </c>
      <c r="M28" s="8">
        <v>68.739999999999995</v>
      </c>
    </row>
    <row r="29" spans="1:13" x14ac:dyDescent="0.25">
      <c r="A29" s="12" t="s">
        <v>39</v>
      </c>
      <c r="B29" s="6">
        <v>238.17</v>
      </c>
      <c r="C29" s="8">
        <f>145.13+179.19</f>
        <v>324.32</v>
      </c>
      <c r="D29" s="8">
        <v>264.87</v>
      </c>
      <c r="E29" s="8">
        <v>146.43</v>
      </c>
      <c r="F29" s="8">
        <v>139.66999999999999</v>
      </c>
      <c r="G29" s="8">
        <v>176.26</v>
      </c>
      <c r="H29" s="8">
        <v>158.21</v>
      </c>
      <c r="I29" s="8">
        <v>84.07</v>
      </c>
      <c r="J29" s="8">
        <v>83.12</v>
      </c>
      <c r="K29" s="8">
        <v>89.14</v>
      </c>
      <c r="L29" s="8">
        <v>68.38</v>
      </c>
      <c r="M29" s="8">
        <v>82.77</v>
      </c>
    </row>
    <row r="30" spans="1:13" x14ac:dyDescent="0.25">
      <c r="A30" s="12" t="s">
        <v>56</v>
      </c>
      <c r="B30" s="6">
        <v>358</v>
      </c>
      <c r="C30" s="8">
        <v>485.19</v>
      </c>
      <c r="D30" s="8">
        <v>1458.15</v>
      </c>
      <c r="E30" s="8">
        <v>490.61</v>
      </c>
      <c r="F30" s="8">
        <v>485.51</v>
      </c>
      <c r="G30" s="8">
        <v>406.05</v>
      </c>
      <c r="H30" s="43">
        <v>0</v>
      </c>
      <c r="I30" s="8">
        <v>0</v>
      </c>
      <c r="J30" s="43">
        <v>0</v>
      </c>
      <c r="K30" s="8">
        <v>0</v>
      </c>
      <c r="L30" s="8">
        <v>0</v>
      </c>
      <c r="M30" s="8">
        <v>0</v>
      </c>
    </row>
    <row r="31" spans="1:13" ht="15.75" thickBot="1" x14ac:dyDescent="0.3">
      <c r="A31" s="13" t="s">
        <v>61</v>
      </c>
      <c r="B31" s="7">
        <v>0</v>
      </c>
      <c r="C31" s="11">
        <v>0</v>
      </c>
      <c r="D31" s="11">
        <v>1120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</row>
    <row r="32" spans="1:13" ht="2.1" customHeight="1" x14ac:dyDescent="0.25">
      <c r="D32" s="10"/>
    </row>
    <row r="33" spans="1:13" x14ac:dyDescent="0.25">
      <c r="A33" s="26" t="s">
        <v>65</v>
      </c>
      <c r="B33" s="39">
        <f>SUM(Tabela13[jan/24])</f>
        <v>9923.57</v>
      </c>
      <c r="C33" s="39">
        <f>SUM(Tabela13[fev/24])</f>
        <v>9260.15</v>
      </c>
      <c r="D33" s="39">
        <f>SUM(Tabela13[mar/24])</f>
        <v>16870.22</v>
      </c>
      <c r="E33" s="39">
        <f>SUM(Tabela13[abr/24])</f>
        <v>12504.860000000002</v>
      </c>
      <c r="F33" s="39">
        <f>SUM(Tabela13[mai/24])</f>
        <v>11915.529999999999</v>
      </c>
      <c r="G33" s="39">
        <f>SUM(Tabela13[jun/24])</f>
        <v>13252.99</v>
      </c>
      <c r="H33" s="39">
        <f>SUM(Tabela13[jul/24])</f>
        <v>14222.979999999998</v>
      </c>
      <c r="I33" s="39">
        <f>SUM(Tabela13[ago/24])</f>
        <v>12065.000000000002</v>
      </c>
      <c r="J33" s="39">
        <f>SUM(Tabela13[set/24])</f>
        <v>11024.16</v>
      </c>
      <c r="K33" s="39">
        <f>SUM(Tabela13[out/24])</f>
        <v>14141.710000000001</v>
      </c>
      <c r="L33" s="39">
        <f>SUM(Tabela13[nov/24])</f>
        <v>15060.399999999998</v>
      </c>
      <c r="M33" s="39">
        <f>SUM(Tabela13[dez/24])</f>
        <v>15304.189999999999</v>
      </c>
    </row>
    <row r="34" spans="1:13" ht="2.1" customHeight="1" x14ac:dyDescent="0.25"/>
    <row r="35" spans="1:13" x14ac:dyDescent="0.25">
      <c r="A35" s="24" t="s">
        <v>71</v>
      </c>
      <c r="B35" s="42">
        <f t="shared" ref="B35:H35" si="0">SUM(C4:C14,C31)</f>
        <v>2396.8200000000002</v>
      </c>
      <c r="C35" s="42">
        <f t="shared" si="0"/>
        <v>5846.67</v>
      </c>
      <c r="D35" s="42">
        <f t="shared" si="0"/>
        <v>4547.62</v>
      </c>
      <c r="E35" s="42">
        <f t="shared" si="0"/>
        <v>4594.51</v>
      </c>
      <c r="F35" s="42">
        <f t="shared" si="0"/>
        <v>6868.6100000000006</v>
      </c>
      <c r="G35" s="42">
        <f t="shared" si="0"/>
        <v>8561</v>
      </c>
      <c r="H35" s="42">
        <f t="shared" si="0"/>
        <v>5877.7</v>
      </c>
      <c r="I35" s="42">
        <f>SUM(J3:J14,J31)</f>
        <v>5821.5</v>
      </c>
      <c r="J35" s="42">
        <f>SUM(K3:K14,K31)</f>
        <v>6898.4400000000005</v>
      </c>
      <c r="K35" s="42">
        <f>SUM(L3:L16)</f>
        <v>7395.9599999999991</v>
      </c>
      <c r="L35" s="42">
        <f>SUM(M3:M16)</f>
        <v>7372.7399999999989</v>
      </c>
      <c r="M35" s="23" t="e">
        <f>SUM(#REF!)</f>
        <v>#REF!</v>
      </c>
    </row>
    <row r="36" spans="1:13" x14ac:dyDescent="0.25">
      <c r="A36" s="17" t="s">
        <v>66</v>
      </c>
      <c r="B36" s="14">
        <v>2331.23</v>
      </c>
      <c r="C36" s="14">
        <v>2331.23</v>
      </c>
      <c r="D36" s="14">
        <f>1474.7+719.18</f>
        <v>2193.88</v>
      </c>
      <c r="E36" s="14">
        <v>2260.63</v>
      </c>
      <c r="F36" s="14">
        <v>2331.23</v>
      </c>
      <c r="G36" s="14">
        <f>2331.23+934.28+1666+60+1412</f>
        <v>6403.51</v>
      </c>
      <c r="H36" s="14">
        <f>2331.23+4235.83</f>
        <v>6567.0599999999995</v>
      </c>
      <c r="I36" s="14">
        <v>1916.68</v>
      </c>
      <c r="J36" s="14">
        <v>2412.59</v>
      </c>
      <c r="K36" s="14">
        <v>2186.6</v>
      </c>
      <c r="L36" s="14">
        <v>2258.46</v>
      </c>
      <c r="M36" s="9">
        <v>2412.59</v>
      </c>
    </row>
    <row r="37" spans="1:13" x14ac:dyDescent="0.25">
      <c r="A37" s="17" t="s">
        <v>73</v>
      </c>
      <c r="B37" s="14">
        <v>1200</v>
      </c>
      <c r="C37" s="14">
        <v>1200</v>
      </c>
      <c r="D37" s="14">
        <v>1308.5999999999999</v>
      </c>
      <c r="E37" s="14">
        <v>1486.86</v>
      </c>
      <c r="F37" s="14">
        <v>3600</v>
      </c>
      <c r="G37" s="14">
        <f>1100+4500+2115.86</f>
        <v>7715.8600000000006</v>
      </c>
      <c r="H37" s="14">
        <v>4300</v>
      </c>
      <c r="I37" s="14">
        <v>4375.74</v>
      </c>
      <c r="J37" s="14">
        <v>4300</v>
      </c>
      <c r="K37" s="14">
        <v>4564.91</v>
      </c>
      <c r="L37" s="14">
        <v>4500</v>
      </c>
      <c r="M37" s="9">
        <v>4800</v>
      </c>
    </row>
    <row r="38" spans="1:13" x14ac:dyDescent="0.25">
      <c r="A38" s="26" t="s">
        <v>64</v>
      </c>
      <c r="B38" s="25">
        <f>SUM(B36:B37)-B35</f>
        <v>1134.4099999999999</v>
      </c>
      <c r="C38" s="25">
        <f t="shared" ref="C38:M38" si="1">SUM(C36:C37)-C35</f>
        <v>-2315.44</v>
      </c>
      <c r="D38" s="25">
        <f t="shared" si="1"/>
        <v>-1045.1399999999999</v>
      </c>
      <c r="E38" s="25">
        <f>SUM(E36:E37)-E35</f>
        <v>-847.02000000000044</v>
      </c>
      <c r="F38" s="25">
        <f t="shared" si="1"/>
        <v>-937.38000000000102</v>
      </c>
      <c r="G38" s="25">
        <f t="shared" si="1"/>
        <v>5558.3700000000008</v>
      </c>
      <c r="H38" s="25">
        <f t="shared" si="1"/>
        <v>4989.3599999999997</v>
      </c>
      <c r="I38" s="25">
        <f t="shared" si="1"/>
        <v>470.92000000000007</v>
      </c>
      <c r="J38" s="25">
        <f t="shared" si="1"/>
        <v>-185.85000000000036</v>
      </c>
      <c r="K38" s="25">
        <f t="shared" si="1"/>
        <v>-644.44999999999891</v>
      </c>
      <c r="L38" s="25">
        <f t="shared" si="1"/>
        <v>-614.27999999999884</v>
      </c>
      <c r="M38" s="25" t="e">
        <f t="shared" si="1"/>
        <v>#REF!</v>
      </c>
    </row>
    <row r="39" spans="1:13" ht="2.1" customHeight="1" x14ac:dyDescent="0.25">
      <c r="A39" s="20"/>
      <c r="B39" s="21"/>
      <c r="C39" s="21"/>
      <c r="D39" s="21"/>
      <c r="E39" s="22"/>
      <c r="F39" s="22"/>
      <c r="G39" s="22"/>
      <c r="H39" s="22"/>
      <c r="I39" s="22"/>
      <c r="J39" s="22"/>
      <c r="K39" s="22"/>
      <c r="L39" s="22"/>
      <c r="M39" s="22"/>
    </row>
    <row r="40" spans="1:13" x14ac:dyDescent="0.25">
      <c r="A40" s="16" t="s">
        <v>72</v>
      </c>
      <c r="B40" s="14">
        <f>SUM(B15:B30)</f>
        <v>6494.7800000000007</v>
      </c>
      <c r="C40" s="14">
        <f>SUM(C15:C30)</f>
        <v>6837.1399999999994</v>
      </c>
      <c r="D40" s="14">
        <f>SUM(D15:D30)</f>
        <v>10937.570000000002</v>
      </c>
      <c r="E40" s="14">
        <f>SUM(E18:E30)</f>
        <v>6637.57</v>
      </c>
      <c r="F40" s="14">
        <f>SUM(F15:F30)</f>
        <v>6654.2400000000007</v>
      </c>
      <c r="G40" s="14">
        <f>SUM(G15:G30)</f>
        <v>6384.380000000001</v>
      </c>
      <c r="H40" s="14">
        <f>SUM(H15:H30)</f>
        <v>5661.98</v>
      </c>
      <c r="I40" s="14">
        <f>SUM(I15:I30)</f>
        <v>4988.9199999999992</v>
      </c>
      <c r="J40" s="14">
        <f>SUM(J15:J30)</f>
        <v>5202.6599999999989</v>
      </c>
      <c r="K40" s="14">
        <f>SUM(K18:K31)</f>
        <v>7227.68</v>
      </c>
      <c r="L40" s="14">
        <f>SUM(L18:L31)</f>
        <v>7644.44</v>
      </c>
      <c r="M40" s="14">
        <f>SUM(M18:M31)</f>
        <v>7914.0300000000007</v>
      </c>
    </row>
    <row r="41" spans="1:13" x14ac:dyDescent="0.25">
      <c r="A41" s="16" t="s">
        <v>37</v>
      </c>
      <c r="B41" s="14">
        <v>2607</v>
      </c>
      <c r="C41" s="14">
        <v>2607</v>
      </c>
      <c r="D41" s="14">
        <f>6969.55+1390.4</f>
        <v>8359.9500000000007</v>
      </c>
      <c r="E41" s="14">
        <v>2520.1</v>
      </c>
      <c r="F41" s="14">
        <v>2607</v>
      </c>
      <c r="G41" s="14">
        <v>2607</v>
      </c>
      <c r="H41" s="14">
        <v>2607</v>
      </c>
      <c r="I41" s="14">
        <v>2172.5</v>
      </c>
      <c r="J41" s="14">
        <v>2698.75</v>
      </c>
      <c r="K41" s="14">
        <v>2698.75</v>
      </c>
      <c r="L41" s="14">
        <v>2698.75</v>
      </c>
      <c r="M41" s="14">
        <f>2698.24+'13º SALARIO'!G2+620</f>
        <v>5292.3499999999995</v>
      </c>
    </row>
    <row r="42" spans="1:13" x14ac:dyDescent="0.25">
      <c r="A42" s="16" t="s">
        <v>38</v>
      </c>
      <c r="B42" s="14">
        <v>1550</v>
      </c>
      <c r="C42" s="14">
        <v>1550</v>
      </c>
      <c r="D42" s="14">
        <f>826.67+4887.72</f>
        <v>5714.39</v>
      </c>
      <c r="E42" s="14">
        <v>1498</v>
      </c>
      <c r="F42" s="14">
        <v>2290.29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f>2989.61-1667.67+2300</f>
        <v>3621.94</v>
      </c>
    </row>
    <row r="43" spans="1:13" x14ac:dyDescent="0.25">
      <c r="A43" s="28" t="s">
        <v>64</v>
      </c>
      <c r="B43" s="27">
        <f>SUM(B41:B42)-B40</f>
        <v>-2337.7800000000007</v>
      </c>
      <c r="C43" s="27">
        <f t="shared" ref="C43:L43" si="2">SUM(C41:C42)-C40</f>
        <v>-2680.1399999999994</v>
      </c>
      <c r="D43" s="27">
        <f t="shared" si="2"/>
        <v>3136.7699999999986</v>
      </c>
      <c r="E43" s="27">
        <f>SUM(E41:E42)-E40</f>
        <v>-2619.4699999999998</v>
      </c>
      <c r="F43" s="27">
        <f>SUM(F41:F42)-F40</f>
        <v>-1756.9500000000007</v>
      </c>
      <c r="G43" s="27">
        <f t="shared" si="2"/>
        <v>-3777.380000000001</v>
      </c>
      <c r="H43" s="27">
        <f t="shared" si="2"/>
        <v>-3054.9799999999996</v>
      </c>
      <c r="I43" s="27">
        <f t="shared" si="2"/>
        <v>-2816.4199999999992</v>
      </c>
      <c r="J43" s="27">
        <f t="shared" si="2"/>
        <v>-2503.9099999999989</v>
      </c>
      <c r="K43" s="27">
        <f t="shared" si="2"/>
        <v>-4528.93</v>
      </c>
      <c r="L43" s="27">
        <f t="shared" si="2"/>
        <v>-4945.6899999999996</v>
      </c>
      <c r="M43" s="27">
        <f>SUM(M41:M42)-M40</f>
        <v>1000.2599999999984</v>
      </c>
    </row>
    <row r="44" spans="1:13" ht="2.1" customHeight="1" x14ac:dyDescent="0.25"/>
    <row r="45" spans="1:13" s="33" customFormat="1" x14ac:dyDescent="0.25">
      <c r="A45" s="30" t="s">
        <v>67</v>
      </c>
      <c r="B45" s="35"/>
      <c r="C45" s="35"/>
      <c r="D45" s="35"/>
      <c r="E45" s="35">
        <f>514+114.08+330</f>
        <v>958.08</v>
      </c>
      <c r="F45" s="35"/>
      <c r="G45" s="35"/>
      <c r="H45" s="35"/>
      <c r="I45" s="35"/>
      <c r="J45" s="35"/>
      <c r="K45" s="35"/>
      <c r="L45" s="35"/>
      <c r="M45" s="35"/>
    </row>
    <row r="46" spans="1:13" s="33" customFormat="1" x14ac:dyDescent="0.25">
      <c r="A46" s="30" t="s">
        <v>68</v>
      </c>
      <c r="B46" s="37">
        <f>SUM(B41:B44)</f>
        <v>1819.2199999999993</v>
      </c>
      <c r="C46" s="37">
        <f>SUM(C43,B38)</f>
        <v>-1545.7299999999996</v>
      </c>
      <c r="D46" s="37">
        <f t="shared" ref="D46:M46" si="3">SUM(D43,C38)</f>
        <v>821.32999999999856</v>
      </c>
      <c r="E46" s="37">
        <f>SUM(E41:E42,E45)-E40</f>
        <v>-1661.3899999999994</v>
      </c>
      <c r="F46" s="37">
        <f>SUM(F43,E38)</f>
        <v>-2603.9700000000012</v>
      </c>
      <c r="G46" s="37">
        <f t="shared" si="3"/>
        <v>-4714.760000000002</v>
      </c>
      <c r="H46" s="37">
        <f t="shared" si="3"/>
        <v>2503.3900000000012</v>
      </c>
      <c r="I46" s="37">
        <f t="shared" si="3"/>
        <v>2172.9400000000005</v>
      </c>
      <c r="J46" s="37">
        <f t="shared" si="3"/>
        <v>-2032.9899999999989</v>
      </c>
      <c r="K46" s="37">
        <f t="shared" si="3"/>
        <v>-4714.7800000000007</v>
      </c>
      <c r="L46" s="37">
        <f t="shared" si="3"/>
        <v>-5590.1399999999985</v>
      </c>
      <c r="M46" s="37">
        <f t="shared" si="3"/>
        <v>385.97999999999956</v>
      </c>
    </row>
    <row r="47" spans="1:13" x14ac:dyDescent="0.25">
      <c r="A47" s="30" t="s">
        <v>69</v>
      </c>
      <c r="B47" s="34">
        <f>B46+B45</f>
        <v>1819.2199999999993</v>
      </c>
      <c r="C47" s="34">
        <f t="shared" ref="C47:M47" si="4">C46+C45</f>
        <v>-1545.7299999999996</v>
      </c>
      <c r="D47" s="34">
        <f t="shared" si="4"/>
        <v>821.32999999999856</v>
      </c>
      <c r="E47" s="34">
        <f>E46</f>
        <v>-1661.3899999999994</v>
      </c>
      <c r="F47" s="34">
        <f>F46+F45</f>
        <v>-2603.9700000000012</v>
      </c>
      <c r="G47" s="34">
        <f t="shared" si="4"/>
        <v>-4714.760000000002</v>
      </c>
      <c r="H47" s="34">
        <f t="shared" si="4"/>
        <v>2503.3900000000012</v>
      </c>
      <c r="I47" s="34">
        <f t="shared" si="4"/>
        <v>2172.9400000000005</v>
      </c>
      <c r="J47" s="34">
        <f t="shared" si="4"/>
        <v>-2032.9899999999989</v>
      </c>
      <c r="K47" s="34">
        <f t="shared" si="4"/>
        <v>-4714.7800000000007</v>
      </c>
      <c r="L47" s="34">
        <f t="shared" si="4"/>
        <v>-5590.1399999999985</v>
      </c>
      <c r="M47" s="34">
        <f t="shared" si="4"/>
        <v>385.97999999999956</v>
      </c>
    </row>
    <row r="48" spans="1:13" x14ac:dyDescent="0.25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</row>
    <row r="50" spans="4:8" x14ac:dyDescent="0.25">
      <c r="D50" s="19"/>
    </row>
    <row r="51" spans="4:8" x14ac:dyDescent="0.25">
      <c r="D51" s="19"/>
    </row>
    <row r="52" spans="4:8" x14ac:dyDescent="0.25">
      <c r="D52" s="10"/>
      <c r="F52" s="10"/>
      <c r="H52" s="10"/>
    </row>
    <row r="53" spans="4:8" x14ac:dyDescent="0.25">
      <c r="D53" s="10"/>
      <c r="E53" s="10"/>
    </row>
    <row r="54" spans="4:8" x14ac:dyDescent="0.25">
      <c r="F54" s="10"/>
      <c r="G54" s="10"/>
    </row>
    <row r="55" spans="4:8" x14ac:dyDescent="0.25">
      <c r="G55" s="10"/>
    </row>
    <row r="56" spans="4:8" x14ac:dyDescent="0.25">
      <c r="F56" s="10"/>
      <c r="G56" s="18"/>
    </row>
  </sheetData>
  <mergeCells count="1">
    <mergeCell ref="B1:M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5457B463-059D-4CD7-993E-B6ADB2F0AF98}">
            <xm:f>NOT(ISERROR(SEARCH("+",B45)))</xm:f>
            <xm:f>"+"</xm:f>
            <x14:dxf>
              <font>
                <b/>
                <i val="0"/>
                <color theme="0"/>
              </font>
              <fill>
                <patternFill>
                  <bgColor rgb="FF00B050"/>
                </patternFill>
              </fill>
            </x14:dxf>
          </x14:cfRule>
          <x14:cfRule type="containsText" priority="2" operator="containsText" id="{78BADD54-9021-4802-92B0-0AAB03164DC1}">
            <xm:f>NOT(ISERROR(SEARCH("-",B45)))</xm:f>
            <xm:f>"-"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B45:M46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1FBD3-6A34-44F2-92D6-8CA1DDCD3DAC}">
  <dimension ref="A1:Y52"/>
  <sheetViews>
    <sheetView tabSelected="1" zoomScaleNormal="100" workbookViewId="0">
      <pane xSplit="1" topLeftCell="B1" activePane="topRight" state="frozen"/>
      <selection pane="topRight" activeCell="K8" sqref="K8"/>
    </sheetView>
  </sheetViews>
  <sheetFormatPr defaultRowHeight="15" x14ac:dyDescent="0.25"/>
  <cols>
    <col min="1" max="1" width="33.5703125" customWidth="1"/>
    <col min="2" max="6" width="12.140625" bestFit="1" customWidth="1"/>
    <col min="7" max="7" width="14.28515625" bestFit="1" customWidth="1"/>
    <col min="8" max="25" width="12.140625" bestFit="1" customWidth="1"/>
  </cols>
  <sheetData>
    <row r="1" spans="1:25" x14ac:dyDescent="0.25">
      <c r="B1" s="61">
        <v>2025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3">
        <v>2026</v>
      </c>
      <c r="O1" s="64"/>
      <c r="P1" s="64"/>
      <c r="Q1" s="64"/>
      <c r="R1" s="64"/>
      <c r="S1" s="64"/>
      <c r="T1" s="64"/>
      <c r="U1" s="64"/>
      <c r="V1" s="64"/>
      <c r="W1" s="64"/>
      <c r="X1" s="64"/>
      <c r="Y1" s="65"/>
    </row>
    <row r="2" spans="1:25" x14ac:dyDescent="0.25">
      <c r="A2" t="s">
        <v>36</v>
      </c>
      <c r="B2" s="1" t="s">
        <v>12</v>
      </c>
      <c r="C2" s="15" t="s">
        <v>13</v>
      </c>
      <c r="D2" s="15" t="s">
        <v>14</v>
      </c>
      <c r="E2" s="15" t="s">
        <v>15</v>
      </c>
      <c r="F2" s="15" t="s">
        <v>16</v>
      </c>
      <c r="G2" s="15" t="s">
        <v>17</v>
      </c>
      <c r="H2" s="15" t="s">
        <v>18</v>
      </c>
      <c r="I2" s="15" t="s">
        <v>19</v>
      </c>
      <c r="J2" s="15" t="s">
        <v>20</v>
      </c>
      <c r="K2" s="15" t="s">
        <v>21</v>
      </c>
      <c r="L2" s="15" t="s">
        <v>22</v>
      </c>
      <c r="M2" s="15" t="s">
        <v>23</v>
      </c>
      <c r="N2" s="1" t="s">
        <v>24</v>
      </c>
      <c r="O2" s="15" t="s">
        <v>25</v>
      </c>
      <c r="P2" s="15" t="s">
        <v>26</v>
      </c>
      <c r="Q2" s="15" t="s">
        <v>27</v>
      </c>
      <c r="R2" s="15" t="s">
        <v>28</v>
      </c>
      <c r="S2" s="15" t="s">
        <v>29</v>
      </c>
      <c r="T2" s="15" t="s">
        <v>30</v>
      </c>
      <c r="U2" s="15" t="s">
        <v>31</v>
      </c>
      <c r="V2" s="15" t="s">
        <v>32</v>
      </c>
      <c r="W2" s="15" t="s">
        <v>33</v>
      </c>
      <c r="X2" s="15" t="s">
        <v>34</v>
      </c>
      <c r="Y2" s="53" t="s">
        <v>35</v>
      </c>
    </row>
    <row r="3" spans="1:25" x14ac:dyDescent="0.25">
      <c r="A3" s="13" t="s">
        <v>70</v>
      </c>
      <c r="B3" s="6">
        <f>188+44.56</f>
        <v>232.56</v>
      </c>
      <c r="C3" s="8">
        <v>568.07000000000005</v>
      </c>
      <c r="D3" s="8">
        <v>55.99</v>
      </c>
      <c r="E3" s="8">
        <v>55.99</v>
      </c>
      <c r="F3" s="8">
        <v>638.01</v>
      </c>
      <c r="G3" s="8">
        <v>342.55</v>
      </c>
      <c r="H3" s="8">
        <v>77.5</v>
      </c>
      <c r="I3" s="3">
        <v>320.99</v>
      </c>
      <c r="J3" s="3">
        <v>323.14999999999998</v>
      </c>
      <c r="K3" s="66">
        <v>265.18</v>
      </c>
      <c r="L3" s="66">
        <v>67.989999999999995</v>
      </c>
      <c r="M3" s="66">
        <v>67.989999999999995</v>
      </c>
      <c r="N3" s="67">
        <v>67.989999999999995</v>
      </c>
      <c r="O3" s="5"/>
      <c r="P3" s="5"/>
      <c r="Q3" s="5"/>
      <c r="R3" s="5"/>
      <c r="S3" s="5"/>
      <c r="T3" s="5"/>
      <c r="U3" s="5"/>
      <c r="V3" s="5"/>
      <c r="W3" s="5"/>
      <c r="X3" s="5"/>
      <c r="Y3" s="41"/>
    </row>
    <row r="4" spans="1:25" x14ac:dyDescent="0.25">
      <c r="A4" s="13" t="s">
        <v>85</v>
      </c>
      <c r="B4" s="6">
        <v>95.27</v>
      </c>
      <c r="C4" s="8">
        <v>95.27</v>
      </c>
      <c r="D4" s="8">
        <v>95.27</v>
      </c>
      <c r="E4" s="8">
        <v>95.27</v>
      </c>
      <c r="F4" s="8">
        <v>95.33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4"/>
      <c r="O4" s="5"/>
      <c r="P4" s="5"/>
      <c r="Q4" s="5"/>
      <c r="R4" s="5"/>
      <c r="S4" s="5"/>
      <c r="T4" s="5"/>
      <c r="U4" s="5"/>
      <c r="V4" s="5"/>
      <c r="W4" s="5"/>
      <c r="X4" s="5"/>
      <c r="Y4" s="41"/>
    </row>
    <row r="5" spans="1:25" x14ac:dyDescent="0.25">
      <c r="A5" s="13" t="s">
        <v>42</v>
      </c>
      <c r="B5" s="6">
        <v>116.32</v>
      </c>
      <c r="C5" s="8">
        <v>116.32</v>
      </c>
      <c r="D5" s="8">
        <v>116.32</v>
      </c>
      <c r="E5" s="8">
        <v>116.32</v>
      </c>
      <c r="F5" s="8">
        <v>127.84</v>
      </c>
      <c r="G5" s="8">
        <v>127.84</v>
      </c>
      <c r="H5" s="8">
        <v>127.84</v>
      </c>
      <c r="I5" s="3">
        <v>127.84</v>
      </c>
      <c r="J5" s="3">
        <v>127.84</v>
      </c>
      <c r="K5" s="3">
        <v>127.84</v>
      </c>
      <c r="L5" s="3">
        <v>127.84</v>
      </c>
      <c r="M5" s="3">
        <v>127.84</v>
      </c>
      <c r="N5" s="2">
        <v>116.32</v>
      </c>
      <c r="O5" s="3">
        <v>116.32</v>
      </c>
      <c r="P5" s="3">
        <v>116.32</v>
      </c>
      <c r="Q5" s="3">
        <v>116.32</v>
      </c>
      <c r="R5" s="3">
        <v>116.32</v>
      </c>
      <c r="S5" s="3">
        <v>116.32</v>
      </c>
      <c r="T5" s="3">
        <v>116.32</v>
      </c>
      <c r="U5" s="3">
        <v>116.32</v>
      </c>
      <c r="V5" s="3">
        <v>116.32</v>
      </c>
      <c r="W5" s="3">
        <v>116.32</v>
      </c>
      <c r="X5" s="3">
        <v>116.32</v>
      </c>
      <c r="Y5" s="51">
        <v>116.32</v>
      </c>
    </row>
    <row r="6" spans="1:25" x14ac:dyDescent="0.25">
      <c r="A6" s="13" t="s">
        <v>43</v>
      </c>
      <c r="B6" s="6">
        <v>36.130000000000003</v>
      </c>
      <c r="C6" s="8">
        <v>117.31</v>
      </c>
      <c r="D6" s="8">
        <v>37.409999999999997</v>
      </c>
      <c r="E6" s="8">
        <v>157.66999999999999</v>
      </c>
      <c r="F6" s="8">
        <v>37.409999999999997</v>
      </c>
      <c r="G6" s="8">
        <v>102.64</v>
      </c>
      <c r="H6" s="8">
        <v>158.72</v>
      </c>
      <c r="I6" s="66">
        <f>30.32+29.92</f>
        <v>60.24</v>
      </c>
      <c r="J6" s="66">
        <v>29.92</v>
      </c>
      <c r="K6" s="66">
        <v>29.92</v>
      </c>
      <c r="L6" s="66">
        <v>29.92</v>
      </c>
      <c r="M6" s="5"/>
      <c r="N6" s="4"/>
      <c r="O6" s="5"/>
      <c r="P6" s="5"/>
      <c r="Q6" s="5"/>
      <c r="R6" s="5"/>
      <c r="S6" s="5"/>
      <c r="T6" s="5"/>
      <c r="U6" s="5"/>
      <c r="V6" s="5"/>
      <c r="W6" s="5"/>
      <c r="X6" s="5"/>
      <c r="Y6" s="41"/>
    </row>
    <row r="7" spans="1:25" x14ac:dyDescent="0.25">
      <c r="A7" s="13" t="s">
        <v>47</v>
      </c>
      <c r="B7" s="6">
        <v>765.63</v>
      </c>
      <c r="C7" s="8">
        <v>704.03</v>
      </c>
      <c r="D7" s="8">
        <v>751.64</v>
      </c>
      <c r="E7" s="8">
        <f>862.9+86</f>
        <v>948.9</v>
      </c>
      <c r="F7" s="8">
        <v>726.11</v>
      </c>
      <c r="G7" s="8">
        <v>355.34</v>
      </c>
      <c r="H7" s="3">
        <v>342.85</v>
      </c>
      <c r="I7" s="3">
        <v>118.38</v>
      </c>
      <c r="J7" s="3">
        <v>44.85</v>
      </c>
      <c r="K7" s="3">
        <v>44.85</v>
      </c>
      <c r="L7" s="3">
        <v>44.85</v>
      </c>
      <c r="M7" s="3">
        <v>44.85</v>
      </c>
      <c r="N7" s="2">
        <v>44.85</v>
      </c>
      <c r="O7" s="3">
        <v>44.85</v>
      </c>
      <c r="P7" s="3">
        <v>44.85</v>
      </c>
      <c r="Q7" s="3">
        <v>44.85</v>
      </c>
      <c r="R7" s="3">
        <v>44.85</v>
      </c>
      <c r="S7" s="5"/>
      <c r="T7" s="5"/>
      <c r="U7" s="5"/>
      <c r="V7" s="5"/>
      <c r="W7" s="5"/>
      <c r="X7" s="5"/>
      <c r="Y7" s="41"/>
    </row>
    <row r="8" spans="1:25" x14ac:dyDescent="0.25">
      <c r="A8" s="13" t="s">
        <v>89</v>
      </c>
      <c r="B8" s="6">
        <v>0</v>
      </c>
      <c r="C8" s="8">
        <v>0</v>
      </c>
      <c r="D8" s="8">
        <v>0</v>
      </c>
      <c r="E8" s="8">
        <v>0</v>
      </c>
      <c r="F8" s="8">
        <v>109.49</v>
      </c>
      <c r="G8" s="8">
        <v>0</v>
      </c>
      <c r="H8" s="8">
        <v>254.57</v>
      </c>
      <c r="I8" s="3">
        <v>134.54</v>
      </c>
      <c r="J8" s="5"/>
      <c r="K8" s="5"/>
      <c r="L8" s="5"/>
      <c r="M8" s="41"/>
      <c r="N8" s="4"/>
      <c r="O8" s="5"/>
      <c r="P8" s="5"/>
      <c r="Q8" s="5"/>
      <c r="R8" s="5"/>
      <c r="S8" s="5"/>
      <c r="T8" s="5"/>
      <c r="U8" s="5"/>
      <c r="V8" s="5"/>
      <c r="W8" s="5"/>
      <c r="X8" s="5"/>
      <c r="Y8" s="41"/>
    </row>
    <row r="9" spans="1:25" x14ac:dyDescent="0.25">
      <c r="A9" s="13" t="s">
        <v>88</v>
      </c>
      <c r="B9" s="6"/>
      <c r="C9" s="8">
        <v>0</v>
      </c>
      <c r="D9" s="8">
        <v>0</v>
      </c>
      <c r="E9" s="8">
        <v>566.62</v>
      </c>
      <c r="F9" s="8">
        <v>811.43</v>
      </c>
      <c r="G9" s="8">
        <v>84.95</v>
      </c>
      <c r="H9" s="3">
        <f>140.7+81.11+39.98</f>
        <v>261.79000000000002</v>
      </c>
      <c r="I9" s="3">
        <f>140.71+53.55</f>
        <v>194.26</v>
      </c>
      <c r="J9" s="3">
        <v>53.55</v>
      </c>
      <c r="K9" s="3">
        <v>53.55</v>
      </c>
      <c r="L9" s="3">
        <v>53.55</v>
      </c>
      <c r="M9" s="41"/>
      <c r="N9" s="4"/>
      <c r="O9" s="5"/>
      <c r="P9" s="5"/>
      <c r="Q9" s="5"/>
      <c r="R9" s="5"/>
      <c r="S9" s="5"/>
      <c r="T9" s="5"/>
      <c r="U9" s="5"/>
      <c r="V9" s="5"/>
      <c r="W9" s="5"/>
      <c r="X9" s="5"/>
      <c r="Y9" s="41"/>
    </row>
    <row r="10" spans="1:25" x14ac:dyDescent="0.25">
      <c r="A10" s="13" t="s">
        <v>62</v>
      </c>
      <c r="B10" s="6">
        <v>2210.7199999999998</v>
      </c>
      <c r="C10" s="8">
        <v>2208.0700000000002</v>
      </c>
      <c r="D10" s="8">
        <v>2208.04</v>
      </c>
      <c r="E10" s="8">
        <v>2208</v>
      </c>
      <c r="F10" s="8">
        <v>2208</v>
      </c>
      <c r="G10" s="8">
        <v>2208.0300000000002</v>
      </c>
      <c r="H10" s="3">
        <v>2208</v>
      </c>
      <c r="I10" s="3">
        <v>2208</v>
      </c>
      <c r="J10" s="3">
        <v>2208</v>
      </c>
      <c r="K10" s="3">
        <v>2208</v>
      </c>
      <c r="L10" s="3">
        <v>2208</v>
      </c>
      <c r="M10" s="3">
        <v>2208</v>
      </c>
      <c r="N10" s="2">
        <v>2208</v>
      </c>
      <c r="O10" s="3">
        <v>2208</v>
      </c>
      <c r="P10" s="3">
        <v>2208</v>
      </c>
      <c r="Q10" s="3">
        <v>2208</v>
      </c>
      <c r="R10" s="3">
        <v>2208</v>
      </c>
      <c r="S10" s="3">
        <v>2208</v>
      </c>
      <c r="T10" s="3">
        <v>2208</v>
      </c>
      <c r="U10" s="3">
        <v>2208</v>
      </c>
      <c r="V10" s="3">
        <v>2208</v>
      </c>
      <c r="W10" s="3">
        <v>2208</v>
      </c>
      <c r="X10" s="3">
        <v>2208</v>
      </c>
      <c r="Y10" s="51">
        <v>2208</v>
      </c>
    </row>
    <row r="11" spans="1:25" x14ac:dyDescent="0.25">
      <c r="A11" s="13" t="s">
        <v>63</v>
      </c>
      <c r="B11" s="6">
        <v>516.45000000000005</v>
      </c>
      <c r="C11" s="8">
        <v>516.45000000000005</v>
      </c>
      <c r="D11" s="8">
        <v>483.71</v>
      </c>
      <c r="E11" s="8">
        <v>483.71</v>
      </c>
      <c r="F11" s="8">
        <v>483.71</v>
      </c>
      <c r="G11" s="8">
        <v>483.71</v>
      </c>
      <c r="H11" s="3">
        <v>483.71</v>
      </c>
      <c r="I11" s="3">
        <v>483.71</v>
      </c>
      <c r="J11" s="3">
        <v>483.71</v>
      </c>
      <c r="K11" s="3">
        <v>483.71</v>
      </c>
      <c r="L11" s="3">
        <v>483.71</v>
      </c>
      <c r="M11" s="3">
        <v>483.71</v>
      </c>
      <c r="N11" s="2">
        <v>483.71</v>
      </c>
      <c r="O11" s="3">
        <v>483.71</v>
      </c>
      <c r="P11" s="3">
        <v>483.71</v>
      </c>
      <c r="Q11" s="3">
        <v>483.71</v>
      </c>
      <c r="R11" s="3">
        <v>483.71</v>
      </c>
      <c r="S11" s="3">
        <v>483.71</v>
      </c>
      <c r="T11" s="3">
        <v>483.71</v>
      </c>
      <c r="U11" s="3">
        <v>483.71</v>
      </c>
      <c r="V11" s="3">
        <v>483.71</v>
      </c>
      <c r="W11" s="3">
        <v>483.71</v>
      </c>
      <c r="X11" s="3">
        <v>483.71</v>
      </c>
      <c r="Y11" s="51">
        <v>483.71</v>
      </c>
    </row>
    <row r="12" spans="1:25" x14ac:dyDescent="0.25">
      <c r="A12" s="13" t="s">
        <v>49</v>
      </c>
      <c r="B12" s="6">
        <v>130.94999999999999</v>
      </c>
      <c r="C12" s="8">
        <v>97.96</v>
      </c>
      <c r="D12" s="8">
        <v>131.96</v>
      </c>
      <c r="E12" s="8">
        <v>155.94999999999999</v>
      </c>
      <c r="F12" s="8">
        <v>351.69</v>
      </c>
      <c r="G12" s="8">
        <v>220.7</v>
      </c>
      <c r="H12" s="3">
        <v>192.72</v>
      </c>
      <c r="I12" s="3">
        <v>158.75</v>
      </c>
      <c r="J12" s="3">
        <v>134.75</v>
      </c>
      <c r="K12" s="5"/>
      <c r="L12" s="5"/>
      <c r="M12" s="5"/>
      <c r="N12" s="4"/>
      <c r="O12" s="5"/>
      <c r="P12" s="5"/>
      <c r="Q12" s="5"/>
      <c r="R12" s="5"/>
      <c r="S12" s="5"/>
      <c r="T12" s="5"/>
      <c r="U12" s="5"/>
      <c r="V12" s="5"/>
      <c r="W12" s="5"/>
      <c r="X12" s="5"/>
      <c r="Y12" s="41"/>
    </row>
    <row r="13" spans="1:25" x14ac:dyDescent="0.25">
      <c r="A13" s="13" t="s">
        <v>74</v>
      </c>
      <c r="B13" s="6">
        <v>3174.09</v>
      </c>
      <c r="C13" s="8">
        <v>3550.75</v>
      </c>
      <c r="D13" s="8">
        <v>2179.2600000000002</v>
      </c>
      <c r="E13" s="8">
        <v>2131.6</v>
      </c>
      <c r="F13" s="8">
        <v>1302.5</v>
      </c>
      <c r="G13" s="8">
        <v>1878.96</v>
      </c>
      <c r="H13" s="3">
        <f>258.26+356.85</f>
        <v>615.11</v>
      </c>
      <c r="I13" s="3">
        <f t="shared" ref="I13:J13" si="0">258.26+356.85</f>
        <v>615.11</v>
      </c>
      <c r="J13" s="3">
        <f t="shared" si="0"/>
        <v>615.11</v>
      </c>
      <c r="K13" s="5"/>
      <c r="L13" s="5"/>
      <c r="M13" s="41"/>
      <c r="N13" s="4"/>
      <c r="O13" s="5"/>
      <c r="P13" s="5"/>
      <c r="Q13" s="5"/>
      <c r="R13" s="5"/>
      <c r="S13" s="5"/>
      <c r="T13" s="5"/>
      <c r="U13" s="5"/>
      <c r="V13" s="5"/>
      <c r="W13" s="5"/>
      <c r="X13" s="5"/>
      <c r="Y13" s="41"/>
    </row>
    <row r="14" spans="1:25" x14ac:dyDescent="0.25">
      <c r="A14" s="13" t="s">
        <v>75</v>
      </c>
      <c r="B14" s="6">
        <v>142.51</v>
      </c>
      <c r="C14" s="8">
        <v>142.51</v>
      </c>
      <c r="D14" s="8">
        <v>142.51</v>
      </c>
      <c r="E14" s="8">
        <v>142.51</v>
      </c>
      <c r="F14" s="8">
        <v>142.51</v>
      </c>
      <c r="G14" s="8">
        <v>142.51</v>
      </c>
      <c r="H14" s="3">
        <v>142.51</v>
      </c>
      <c r="I14" s="3">
        <v>142.51</v>
      </c>
      <c r="J14" s="3">
        <v>142.51</v>
      </c>
      <c r="K14" s="3">
        <v>142.51</v>
      </c>
      <c r="L14" s="3">
        <v>142.51</v>
      </c>
      <c r="M14" s="3">
        <v>142.51</v>
      </c>
      <c r="N14" s="2">
        <v>142.51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41"/>
    </row>
    <row r="15" spans="1:25" x14ac:dyDescent="0.25">
      <c r="A15" s="13" t="s">
        <v>57</v>
      </c>
      <c r="B15" s="6">
        <v>0</v>
      </c>
      <c r="C15" s="8">
        <v>0</v>
      </c>
      <c r="D15" s="8">
        <v>97.58</v>
      </c>
      <c r="E15" s="8">
        <v>100.02</v>
      </c>
      <c r="F15" s="8">
        <v>97.58</v>
      </c>
      <c r="G15" s="8">
        <v>97.58</v>
      </c>
      <c r="H15" s="3">
        <v>97.58</v>
      </c>
      <c r="I15" s="3">
        <v>97.58</v>
      </c>
      <c r="J15" s="3">
        <v>97.58</v>
      </c>
      <c r="K15" s="5"/>
      <c r="L15" s="5"/>
      <c r="M15" s="5"/>
      <c r="N15" s="4"/>
      <c r="O15" s="5"/>
      <c r="P15" s="5"/>
      <c r="Q15" s="5"/>
      <c r="R15" s="5"/>
      <c r="S15" s="5"/>
      <c r="T15" s="5"/>
      <c r="U15" s="5"/>
      <c r="V15" s="5"/>
      <c r="W15" s="5"/>
      <c r="X15" s="5"/>
      <c r="Y15" s="41"/>
    </row>
    <row r="16" spans="1:25" x14ac:dyDescent="0.25">
      <c r="A16" s="13" t="s">
        <v>87</v>
      </c>
      <c r="B16" s="6">
        <v>0</v>
      </c>
      <c r="C16" s="8">
        <v>0</v>
      </c>
      <c r="D16" s="8">
        <v>159.58000000000001</v>
      </c>
      <c r="E16" s="8">
        <f>319.62+71.73</f>
        <v>391.35</v>
      </c>
      <c r="F16" s="8">
        <v>246.22</v>
      </c>
      <c r="G16" s="8">
        <v>369.45</v>
      </c>
      <c r="H16" s="3">
        <v>351.45</v>
      </c>
      <c r="I16" s="3">
        <v>311.66000000000003</v>
      </c>
      <c r="J16" s="3">
        <v>257.82</v>
      </c>
      <c r="K16" s="3">
        <v>142.97999999999999</v>
      </c>
      <c r="L16" s="3">
        <v>142.97999999999999</v>
      </c>
      <c r="M16" s="51">
        <v>142.97999999999999</v>
      </c>
      <c r="N16" s="2">
        <v>142.97999999999999</v>
      </c>
      <c r="O16" s="3">
        <v>142.97999999999999</v>
      </c>
      <c r="P16" s="5"/>
      <c r="Q16" s="5"/>
      <c r="R16" s="5"/>
      <c r="S16" s="5"/>
      <c r="T16" s="5"/>
      <c r="U16" s="5"/>
      <c r="V16" s="5"/>
      <c r="W16" s="5"/>
      <c r="X16" s="5"/>
      <c r="Y16" s="41"/>
    </row>
    <row r="17" spans="1:25" x14ac:dyDescent="0.25">
      <c r="A17" s="13" t="s">
        <v>55</v>
      </c>
      <c r="B17" s="6">
        <v>62</v>
      </c>
      <c r="C17" s="8">
        <v>66.98</v>
      </c>
      <c r="D17" s="8">
        <v>62</v>
      </c>
      <c r="E17" s="8">
        <v>73.180000000000007</v>
      </c>
      <c r="F17" s="8">
        <v>73</v>
      </c>
      <c r="G17" s="8">
        <v>73</v>
      </c>
      <c r="H17" s="3">
        <v>73</v>
      </c>
      <c r="I17" s="3">
        <v>73</v>
      </c>
      <c r="J17" s="3">
        <v>73</v>
      </c>
      <c r="K17" s="3">
        <v>73</v>
      </c>
      <c r="L17" s="3">
        <v>73</v>
      </c>
      <c r="M17" s="3">
        <v>73</v>
      </c>
      <c r="N17" s="2">
        <v>73</v>
      </c>
      <c r="O17" s="3">
        <v>73</v>
      </c>
      <c r="P17" s="3">
        <v>73</v>
      </c>
      <c r="Q17" s="3">
        <v>73</v>
      </c>
      <c r="R17" s="3">
        <v>73</v>
      </c>
      <c r="S17" s="3">
        <v>73</v>
      </c>
      <c r="T17" s="3">
        <v>73</v>
      </c>
      <c r="U17" s="3">
        <v>73</v>
      </c>
      <c r="V17" s="3">
        <v>73</v>
      </c>
      <c r="W17" s="3">
        <v>73</v>
      </c>
      <c r="X17" s="3">
        <v>73</v>
      </c>
      <c r="Y17" s="51">
        <v>73</v>
      </c>
    </row>
    <row r="18" spans="1:25" x14ac:dyDescent="0.25">
      <c r="A18" s="13" t="s">
        <v>54</v>
      </c>
      <c r="B18" s="6">
        <v>125.63</v>
      </c>
      <c r="C18" s="8">
        <v>23.99</v>
      </c>
      <c r="D18" s="8">
        <v>68.97</v>
      </c>
      <c r="E18" s="8">
        <v>70.97</v>
      </c>
      <c r="F18" s="8">
        <v>135.35</v>
      </c>
      <c r="G18" s="8">
        <v>132.94</v>
      </c>
      <c r="H18" s="5"/>
      <c r="I18" s="5"/>
      <c r="J18" s="5"/>
      <c r="K18" s="5"/>
      <c r="L18" s="5"/>
      <c r="M18" s="5"/>
      <c r="N18" s="4"/>
      <c r="O18" s="5"/>
      <c r="P18" s="5"/>
      <c r="Q18" s="5"/>
      <c r="R18" s="5"/>
      <c r="S18" s="5"/>
      <c r="T18" s="5"/>
      <c r="U18" s="5"/>
      <c r="V18" s="5"/>
      <c r="W18" s="5"/>
      <c r="X18" s="5"/>
      <c r="Y18" s="41"/>
    </row>
    <row r="19" spans="1:25" x14ac:dyDescent="0.25">
      <c r="A19" s="13" t="s">
        <v>91</v>
      </c>
      <c r="B19" s="6">
        <v>0</v>
      </c>
      <c r="C19" s="8">
        <v>0</v>
      </c>
      <c r="D19" s="8">
        <v>0</v>
      </c>
      <c r="E19" s="8">
        <v>0</v>
      </c>
      <c r="F19" s="8">
        <v>1299.05</v>
      </c>
      <c r="G19" s="8">
        <v>2062.89</v>
      </c>
      <c r="H19" s="3">
        <v>441.97</v>
      </c>
      <c r="I19" s="3">
        <v>441.97</v>
      </c>
      <c r="J19" s="3">
        <v>441.97</v>
      </c>
      <c r="K19" s="3">
        <v>441.97</v>
      </c>
      <c r="L19" s="3">
        <v>441.97</v>
      </c>
      <c r="M19" s="3">
        <v>441.97</v>
      </c>
      <c r="N19" s="3">
        <v>441.97</v>
      </c>
      <c r="O19" s="3">
        <v>441.97</v>
      </c>
      <c r="P19" s="5"/>
      <c r="Q19" s="5"/>
      <c r="R19" s="5"/>
      <c r="S19" s="5"/>
      <c r="T19" s="5"/>
      <c r="U19" s="5"/>
      <c r="V19" s="5"/>
      <c r="W19" s="5"/>
      <c r="X19" s="5"/>
      <c r="Y19" s="41"/>
    </row>
    <row r="20" spans="1:25" x14ac:dyDescent="0.25">
      <c r="A20" s="13" t="s">
        <v>59</v>
      </c>
      <c r="B20" s="6">
        <v>16.75</v>
      </c>
      <c r="C20" s="3">
        <v>20</v>
      </c>
      <c r="D20" s="8">
        <v>25.75</v>
      </c>
      <c r="E20" s="3">
        <v>20</v>
      </c>
      <c r="F20" s="8">
        <v>16.75</v>
      </c>
      <c r="G20" s="8">
        <v>16.89</v>
      </c>
      <c r="H20" s="3">
        <v>20</v>
      </c>
      <c r="I20" s="3">
        <v>20</v>
      </c>
      <c r="J20" s="3">
        <v>20</v>
      </c>
      <c r="K20" s="3">
        <v>20</v>
      </c>
      <c r="L20" s="3">
        <v>20</v>
      </c>
      <c r="M20" s="3">
        <v>20</v>
      </c>
      <c r="N20" s="2">
        <v>20</v>
      </c>
      <c r="O20" s="3">
        <v>20</v>
      </c>
      <c r="P20" s="3">
        <v>20</v>
      </c>
      <c r="Q20" s="3">
        <v>20</v>
      </c>
      <c r="R20" s="3">
        <v>20</v>
      </c>
      <c r="S20" s="3">
        <v>20</v>
      </c>
      <c r="T20" s="3">
        <v>20</v>
      </c>
      <c r="U20" s="3">
        <v>20</v>
      </c>
      <c r="V20" s="3">
        <v>20</v>
      </c>
      <c r="W20" s="3">
        <v>20</v>
      </c>
      <c r="X20" s="3">
        <v>20</v>
      </c>
      <c r="Y20" s="51">
        <v>20</v>
      </c>
    </row>
    <row r="21" spans="1:25" x14ac:dyDescent="0.25">
      <c r="A21" s="12" t="s">
        <v>44</v>
      </c>
      <c r="B21" s="6">
        <v>752</v>
      </c>
      <c r="C21" s="8">
        <v>752</v>
      </c>
      <c r="D21" s="8">
        <v>752</v>
      </c>
      <c r="E21" s="8">
        <v>752</v>
      </c>
      <c r="F21" s="8">
        <f>752-51.32</f>
        <v>700.68</v>
      </c>
      <c r="G21" s="8">
        <f>752-51.32</f>
        <v>700.68</v>
      </c>
      <c r="H21" s="3">
        <f>752-51.32</f>
        <v>700.68</v>
      </c>
      <c r="I21" s="3">
        <f>752-51.32</f>
        <v>700.68</v>
      </c>
      <c r="J21" s="3">
        <f>260-51.32</f>
        <v>208.68</v>
      </c>
      <c r="K21" s="3">
        <v>260</v>
      </c>
      <c r="L21" s="3">
        <v>260</v>
      </c>
      <c r="M21" s="3">
        <v>260</v>
      </c>
      <c r="N21" s="2">
        <v>260</v>
      </c>
      <c r="O21" s="3">
        <v>260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49">
        <v>0</v>
      </c>
    </row>
    <row r="22" spans="1:25" x14ac:dyDescent="0.25">
      <c r="A22" s="12" t="s">
        <v>41</v>
      </c>
      <c r="B22" s="6">
        <v>75.42</v>
      </c>
      <c r="C22" s="8">
        <v>87.21</v>
      </c>
      <c r="D22" s="8">
        <v>219.96</v>
      </c>
      <c r="E22" s="8">
        <v>101.7</v>
      </c>
      <c r="F22" s="8">
        <v>125.35</v>
      </c>
      <c r="G22" s="8">
        <v>97.35</v>
      </c>
      <c r="H22" s="3">
        <v>145</v>
      </c>
      <c r="I22" s="3">
        <v>145</v>
      </c>
      <c r="J22" s="3">
        <v>145</v>
      </c>
      <c r="K22" s="3">
        <v>145</v>
      </c>
      <c r="L22" s="3">
        <v>145</v>
      </c>
      <c r="M22" s="3">
        <v>145</v>
      </c>
      <c r="N22" s="2">
        <v>145</v>
      </c>
      <c r="O22" s="3">
        <v>145</v>
      </c>
      <c r="P22" s="3">
        <v>145</v>
      </c>
      <c r="Q22" s="3">
        <v>145</v>
      </c>
      <c r="R22" s="3">
        <v>145</v>
      </c>
      <c r="S22" s="3">
        <v>145</v>
      </c>
      <c r="T22" s="3">
        <v>145</v>
      </c>
      <c r="U22" s="3">
        <v>145</v>
      </c>
      <c r="V22" s="3">
        <v>145</v>
      </c>
      <c r="W22" s="3">
        <v>145</v>
      </c>
      <c r="X22" s="3">
        <v>145</v>
      </c>
      <c r="Y22" s="51">
        <v>145</v>
      </c>
    </row>
    <row r="23" spans="1:25" x14ac:dyDescent="0.25">
      <c r="A23" s="12" t="s">
        <v>90</v>
      </c>
      <c r="B23" s="6">
        <v>0</v>
      </c>
      <c r="C23" s="8">
        <v>0</v>
      </c>
      <c r="D23" s="8">
        <v>0</v>
      </c>
      <c r="E23" s="8">
        <v>0</v>
      </c>
      <c r="F23" s="8">
        <v>493.09</v>
      </c>
      <c r="G23" s="8">
        <v>493.09</v>
      </c>
      <c r="H23" s="3">
        <v>333.87</v>
      </c>
      <c r="I23" s="3">
        <v>333.87</v>
      </c>
      <c r="J23" s="3">
        <v>333.87</v>
      </c>
      <c r="K23" s="3">
        <v>333.87</v>
      </c>
      <c r="L23" s="3">
        <v>333.87</v>
      </c>
      <c r="M23" s="51">
        <v>333.87</v>
      </c>
      <c r="N23" s="2"/>
      <c r="O23" s="3"/>
      <c r="P23" s="3"/>
      <c r="Q23" s="3"/>
      <c r="R23" s="3"/>
      <c r="S23" s="3"/>
      <c r="T23" s="3"/>
      <c r="U23" s="3"/>
      <c r="V23" s="3"/>
      <c r="W23" s="3"/>
      <c r="X23" s="3"/>
      <c r="Y23" s="51"/>
    </row>
    <row r="24" spans="1:25" x14ac:dyDescent="0.25">
      <c r="A24" s="12" t="s">
        <v>52</v>
      </c>
      <c r="B24" s="6">
        <v>552.09</v>
      </c>
      <c r="C24" s="8">
        <v>203.01</v>
      </c>
      <c r="D24" s="8">
        <v>333.14</v>
      </c>
      <c r="E24" s="8">
        <v>556.71</v>
      </c>
      <c r="F24" s="8">
        <v>322.02</v>
      </c>
      <c r="G24" s="8">
        <v>0</v>
      </c>
      <c r="H24" s="3">
        <v>294.55</v>
      </c>
      <c r="I24" s="3">
        <v>180.38</v>
      </c>
      <c r="J24" s="3">
        <v>180.38</v>
      </c>
      <c r="K24" s="3">
        <v>121.04</v>
      </c>
      <c r="L24" s="3">
        <v>102.72</v>
      </c>
      <c r="M24" s="3">
        <v>81.010000000000005</v>
      </c>
      <c r="N24" s="2">
        <v>66.62</v>
      </c>
      <c r="O24" s="3">
        <v>66.62</v>
      </c>
      <c r="P24" s="3">
        <v>66.62</v>
      </c>
      <c r="Q24" s="3">
        <v>66.62</v>
      </c>
      <c r="R24" s="3">
        <v>62.74</v>
      </c>
      <c r="S24" s="5"/>
      <c r="T24" s="5"/>
      <c r="U24" s="5"/>
      <c r="V24" s="5"/>
      <c r="W24" s="5"/>
      <c r="X24" s="5"/>
      <c r="Y24" s="41"/>
    </row>
    <row r="25" spans="1:25" x14ac:dyDescent="0.25">
      <c r="A25" s="12" t="s">
        <v>48</v>
      </c>
      <c r="B25" s="6">
        <v>219.29</v>
      </c>
      <c r="C25" s="8">
        <v>219.29</v>
      </c>
      <c r="D25" s="8">
        <v>306.12</v>
      </c>
      <c r="E25" s="8">
        <v>327.95</v>
      </c>
      <c r="F25" s="8">
        <v>250.95</v>
      </c>
      <c r="G25" s="8">
        <v>247</v>
      </c>
      <c r="H25" s="3">
        <v>137.63999999999999</v>
      </c>
      <c r="I25" s="3">
        <v>137.63999999999999</v>
      </c>
      <c r="J25" s="50"/>
      <c r="K25" s="5"/>
      <c r="L25" s="5"/>
      <c r="M25" s="5"/>
      <c r="N25" s="4"/>
      <c r="O25" s="5"/>
      <c r="P25" s="5"/>
      <c r="Q25" s="5"/>
      <c r="R25" s="5"/>
      <c r="S25" s="5"/>
      <c r="T25" s="5"/>
      <c r="U25" s="5"/>
      <c r="V25" s="5"/>
      <c r="W25" s="5"/>
      <c r="X25" s="5"/>
      <c r="Y25" s="41"/>
    </row>
    <row r="26" spans="1:25" x14ac:dyDescent="0.25">
      <c r="A26" s="12" t="s">
        <v>86</v>
      </c>
      <c r="B26" s="6">
        <v>2133.0100000000002</v>
      </c>
      <c r="C26" s="8">
        <v>2159.4</v>
      </c>
      <c r="D26" s="8">
        <f>Tabela1[[#This Row],[fev/25]]+(Tabela1[[#This Row],[fev/25]]-Tabela1[[#This Row],[jan/25]])</f>
        <v>2185.79</v>
      </c>
      <c r="E26" s="8">
        <v>2223.2800000000002</v>
      </c>
      <c r="F26" s="8">
        <v>2249.83</v>
      </c>
      <c r="G26" s="8">
        <v>0</v>
      </c>
      <c r="H26" s="8">
        <v>0</v>
      </c>
      <c r="I26" s="8">
        <v>0</v>
      </c>
      <c r="J26" s="52">
        <v>122.55</v>
      </c>
      <c r="K26" s="8">
        <v>0</v>
      </c>
      <c r="L26" s="8">
        <v>0</v>
      </c>
      <c r="M26" s="8">
        <v>0</v>
      </c>
      <c r="N26" s="6">
        <v>0</v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41"/>
    </row>
    <row r="27" spans="1:25" x14ac:dyDescent="0.25">
      <c r="A27" s="12" t="s">
        <v>99</v>
      </c>
      <c r="B27" s="6">
        <v>2257.2600000000002</v>
      </c>
      <c r="C27" s="8">
        <v>1041.02</v>
      </c>
      <c r="D27" s="8">
        <v>1814.89</v>
      </c>
      <c r="E27" s="8">
        <v>1521.96</v>
      </c>
      <c r="F27" s="8">
        <v>450.3</v>
      </c>
      <c r="G27" s="8">
        <v>1344.15</v>
      </c>
      <c r="H27" s="3">
        <v>582.55999999999995</v>
      </c>
      <c r="I27" s="3">
        <v>293.17</v>
      </c>
      <c r="J27" s="3">
        <v>155.22999999999999</v>
      </c>
      <c r="K27" s="3">
        <v>145.63</v>
      </c>
      <c r="L27" s="50"/>
      <c r="M27" s="41"/>
      <c r="N27" s="4"/>
      <c r="O27" s="5"/>
      <c r="P27" s="5"/>
      <c r="Q27" s="5"/>
      <c r="R27" s="5"/>
      <c r="S27" s="5"/>
      <c r="T27" s="5"/>
      <c r="U27" s="5"/>
      <c r="V27" s="5"/>
      <c r="W27" s="5"/>
      <c r="X27" s="5"/>
      <c r="Y27" s="41"/>
    </row>
    <row r="28" spans="1:25" x14ac:dyDescent="0.25">
      <c r="A28" s="12" t="s">
        <v>51</v>
      </c>
      <c r="B28" s="6">
        <v>424.78</v>
      </c>
      <c r="C28" s="8">
        <v>697.63</v>
      </c>
      <c r="D28" s="8">
        <v>649.57000000000005</v>
      </c>
      <c r="E28" s="8">
        <v>663.79</v>
      </c>
      <c r="F28" s="8">
        <v>756.49</v>
      </c>
      <c r="G28" s="8">
        <v>632.17999999999995</v>
      </c>
      <c r="H28" s="3">
        <v>158.38</v>
      </c>
      <c r="I28" s="3">
        <v>30.36</v>
      </c>
      <c r="J28" s="3">
        <v>30.36</v>
      </c>
      <c r="K28" s="5"/>
      <c r="L28" s="5"/>
      <c r="M28" s="5"/>
      <c r="N28" s="4"/>
      <c r="O28" s="5"/>
      <c r="P28" s="5"/>
      <c r="Q28" s="5"/>
      <c r="R28" s="5"/>
      <c r="S28" s="5"/>
      <c r="T28" s="5"/>
      <c r="U28" s="5"/>
      <c r="V28" s="5"/>
      <c r="W28" s="5"/>
      <c r="X28" s="5"/>
      <c r="Y28" s="41"/>
    </row>
    <row r="29" spans="1:25" x14ac:dyDescent="0.25">
      <c r="A29" s="12" t="s">
        <v>40</v>
      </c>
      <c r="B29" s="6">
        <v>921.31</v>
      </c>
      <c r="C29" s="8">
        <v>925.74</v>
      </c>
      <c r="D29" s="8">
        <v>896.4</v>
      </c>
      <c r="E29" s="8">
        <v>981.55</v>
      </c>
      <c r="F29" s="8">
        <v>896.4</v>
      </c>
      <c r="G29" s="8">
        <v>896.4</v>
      </c>
      <c r="H29" s="3">
        <v>896.4</v>
      </c>
      <c r="I29" s="3">
        <v>896.4</v>
      </c>
      <c r="J29" s="3">
        <v>896.4</v>
      </c>
      <c r="K29" s="3">
        <v>896.4</v>
      </c>
      <c r="L29" s="3">
        <v>896.4</v>
      </c>
      <c r="M29" s="3">
        <v>896.4</v>
      </c>
      <c r="N29" s="2">
        <v>896.4</v>
      </c>
      <c r="O29" s="3">
        <v>896.4</v>
      </c>
      <c r="P29" s="3">
        <v>896.4</v>
      </c>
      <c r="Q29" s="3">
        <v>896.4</v>
      </c>
      <c r="R29" s="3">
        <v>896.4</v>
      </c>
      <c r="S29" s="3">
        <v>896.4</v>
      </c>
      <c r="T29" s="3">
        <v>896.4</v>
      </c>
      <c r="U29" s="3">
        <v>896.4</v>
      </c>
      <c r="V29" s="3">
        <v>896.4</v>
      </c>
      <c r="W29" s="3">
        <v>896.4</v>
      </c>
      <c r="X29" s="5"/>
      <c r="Y29" s="41"/>
    </row>
    <row r="30" spans="1:25" x14ac:dyDescent="0.25">
      <c r="A30" s="12" t="s">
        <v>45</v>
      </c>
      <c r="B30" s="6">
        <v>965.32</v>
      </c>
      <c r="C30" s="8">
        <v>1043.8699999999999</v>
      </c>
      <c r="D30" s="8">
        <v>998</v>
      </c>
      <c r="E30" s="8">
        <v>1020.86</v>
      </c>
      <c r="F30" s="8">
        <v>1036</v>
      </c>
      <c r="G30" s="8">
        <v>892.83</v>
      </c>
      <c r="H30" s="55">
        <v>553.19000000000005</v>
      </c>
      <c r="I30" s="55">
        <v>445.37</v>
      </c>
      <c r="J30" s="21"/>
      <c r="K30" s="21"/>
      <c r="L30" s="21"/>
      <c r="M30" s="21"/>
      <c r="N30" s="44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54"/>
    </row>
    <row r="31" spans="1:25" x14ac:dyDescent="0.25">
      <c r="A31" s="12" t="s">
        <v>53</v>
      </c>
      <c r="B31" s="8">
        <v>71.63</v>
      </c>
      <c r="C31" s="8">
        <v>78.349999999999994</v>
      </c>
      <c r="D31" s="8">
        <v>78.349999999999994</v>
      </c>
      <c r="E31" s="8">
        <v>68.739999999999995</v>
      </c>
      <c r="F31" s="8">
        <v>68.739999999999995</v>
      </c>
      <c r="G31" s="8">
        <v>80.19</v>
      </c>
      <c r="H31" s="3">
        <v>68.739999999999995</v>
      </c>
      <c r="I31" s="3">
        <v>68.739999999999995</v>
      </c>
      <c r="J31" s="3">
        <v>68.739999999999995</v>
      </c>
      <c r="K31" s="3">
        <v>68.739999999999995</v>
      </c>
      <c r="L31" s="3">
        <v>68.739999999999995</v>
      </c>
      <c r="M31" s="3">
        <v>68.739999999999995</v>
      </c>
      <c r="N31" s="4"/>
      <c r="O31" s="5"/>
      <c r="P31" s="5"/>
      <c r="Q31" s="5"/>
      <c r="R31" s="5"/>
      <c r="S31" s="5"/>
      <c r="T31" s="5"/>
      <c r="U31" s="5"/>
      <c r="V31" s="5"/>
      <c r="W31" s="5"/>
      <c r="X31" s="5"/>
      <c r="Y31" s="41"/>
    </row>
    <row r="32" spans="1:25" x14ac:dyDescent="0.25">
      <c r="A32" s="12" t="s">
        <v>39</v>
      </c>
      <c r="B32" s="6">
        <v>0</v>
      </c>
      <c r="C32" s="8">
        <v>101.02</v>
      </c>
      <c r="D32" s="8">
        <f>100.34</f>
        <v>100.34</v>
      </c>
      <c r="E32" s="8">
        <v>65.31</v>
      </c>
      <c r="F32" s="8">
        <v>89.01</v>
      </c>
      <c r="G32" s="8">
        <v>0</v>
      </c>
      <c r="H32" s="3">
        <v>90</v>
      </c>
      <c r="I32" s="3">
        <v>90</v>
      </c>
      <c r="J32" s="3">
        <v>90</v>
      </c>
      <c r="K32" s="3">
        <v>90</v>
      </c>
      <c r="L32" s="3">
        <v>90</v>
      </c>
      <c r="M32" s="3">
        <v>90</v>
      </c>
      <c r="N32" s="2">
        <v>90</v>
      </c>
      <c r="O32" s="3">
        <v>90</v>
      </c>
      <c r="P32" s="3">
        <v>90</v>
      </c>
      <c r="Q32" s="3">
        <v>90</v>
      </c>
      <c r="R32" s="3">
        <v>90</v>
      </c>
      <c r="S32" s="3">
        <v>90</v>
      </c>
      <c r="T32" s="3">
        <v>90</v>
      </c>
      <c r="U32" s="3">
        <v>90</v>
      </c>
      <c r="V32" s="3">
        <v>90</v>
      </c>
      <c r="W32" s="3">
        <v>90</v>
      </c>
      <c r="X32" s="3">
        <v>90</v>
      </c>
      <c r="Y32" s="51">
        <v>90</v>
      </c>
    </row>
    <row r="33" spans="1:25" x14ac:dyDescent="0.25">
      <c r="A33" s="13" t="s">
        <v>61</v>
      </c>
      <c r="B33" s="6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49">
        <v>0</v>
      </c>
      <c r="N33" s="6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49">
        <v>0</v>
      </c>
    </row>
    <row r="34" spans="1:25" x14ac:dyDescent="0.25">
      <c r="A34" s="13" t="s">
        <v>84</v>
      </c>
      <c r="B34" s="6">
        <v>111.61</v>
      </c>
      <c r="C34" s="8">
        <v>111.61</v>
      </c>
      <c r="D34" s="8">
        <v>111.61</v>
      </c>
      <c r="E34" s="8">
        <v>111.61</v>
      </c>
      <c r="F34" s="8">
        <v>111.61</v>
      </c>
      <c r="G34" s="8">
        <v>135.43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49">
        <v>0</v>
      </c>
      <c r="N34" s="6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49">
        <v>0</v>
      </c>
    </row>
    <row r="35" spans="1:25" ht="15.75" thickBot="1" x14ac:dyDescent="0.3">
      <c r="A35" s="13" t="s">
        <v>96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56">
        <v>726.25</v>
      </c>
      <c r="J35" s="56">
        <v>726.25</v>
      </c>
      <c r="K35" s="56">
        <v>726.25</v>
      </c>
      <c r="L35" s="56">
        <v>726.25</v>
      </c>
      <c r="M35" s="56">
        <v>726.25</v>
      </c>
      <c r="N35" s="57">
        <v>726.25</v>
      </c>
      <c r="O35" s="56">
        <v>726.25</v>
      </c>
      <c r="P35" s="56">
        <v>726.25</v>
      </c>
      <c r="Q35" s="56">
        <v>726.25</v>
      </c>
      <c r="R35" s="56">
        <v>726.25</v>
      </c>
      <c r="S35" s="56">
        <v>726.25</v>
      </c>
      <c r="T35" s="56">
        <v>726.25</v>
      </c>
      <c r="U35" s="56">
        <v>726.25</v>
      </c>
      <c r="V35" s="56">
        <v>726.25</v>
      </c>
      <c r="W35" s="56">
        <v>726.25</v>
      </c>
      <c r="X35" s="56">
        <v>726.25</v>
      </c>
      <c r="Y35" s="58">
        <v>726.25</v>
      </c>
    </row>
    <row r="36" spans="1:25" ht="2.1" customHeight="1" x14ac:dyDescent="0.25"/>
    <row r="37" spans="1:25" x14ac:dyDescent="0.25">
      <c r="A37" s="26" t="s">
        <v>65</v>
      </c>
      <c r="B37" s="39">
        <f>SUM(Tabela1[jan/25])</f>
        <v>16108.730000000001</v>
      </c>
      <c r="C37" s="39">
        <f>SUM(Tabela1[fev/25])</f>
        <v>15647.860000000002</v>
      </c>
      <c r="D37" s="39">
        <f>SUM(Tabela1[mar/25])</f>
        <v>15062.16</v>
      </c>
      <c r="E37" s="39">
        <f>SUM(Tabela1[abr/25])</f>
        <v>16113.520000000004</v>
      </c>
      <c r="F37" s="39">
        <f>SUM(Tabela1[mai/25])</f>
        <v>16452.45</v>
      </c>
      <c r="G37" s="39">
        <f>SUM(Tabela1[jun/25])</f>
        <v>14219.28</v>
      </c>
      <c r="H37" s="39">
        <f>SUM(Tabela1[jul/25])</f>
        <v>9810.33</v>
      </c>
      <c r="I37" s="39">
        <f>SUM(Tabela1[ago/25])</f>
        <v>9556.4000000000015</v>
      </c>
      <c r="J37" s="39">
        <f>SUM(Tabela1[set/25])</f>
        <v>8011.2199999999993</v>
      </c>
      <c r="K37" s="39">
        <f>SUM(Tabela1[out/25])</f>
        <v>6820.44</v>
      </c>
      <c r="L37" s="39">
        <f>SUM(Tabela1[nov/25])</f>
        <v>6459.2999999999993</v>
      </c>
      <c r="M37" s="39">
        <f>SUM(Tabela1[dez/25])</f>
        <v>6354.119999999999</v>
      </c>
      <c r="N37" s="39">
        <f>SUM(Tabela1[jan/26])</f>
        <v>5925.5999999999995</v>
      </c>
      <c r="O37" s="39">
        <f>SUM(Tabela1[fev/26])</f>
        <v>5715.0999999999995</v>
      </c>
      <c r="P37" s="39">
        <f>SUM(Tabela1[mar/26])</f>
        <v>4870.1499999999996</v>
      </c>
      <c r="Q37" s="39">
        <f>SUM(Tabela1[abr/26])</f>
        <v>4870.1499999999996</v>
      </c>
      <c r="R37" s="39">
        <f>SUM(Tabela1[mai/26])</f>
        <v>4866.2700000000004</v>
      </c>
      <c r="S37" s="39">
        <f>SUM(Tabela1[jun/26])</f>
        <v>4758.68</v>
      </c>
      <c r="T37" s="39">
        <f>SUM(Tabela1[jul/26])</f>
        <v>4758.68</v>
      </c>
      <c r="U37" s="39">
        <f>SUM(Tabela1[ago/26])</f>
        <v>4758.68</v>
      </c>
      <c r="V37" s="39">
        <f>SUM(Tabela1[set/26])</f>
        <v>4758.68</v>
      </c>
      <c r="W37" s="39">
        <f>SUM(Tabela1[out/26])</f>
        <v>4758.68</v>
      </c>
      <c r="X37" s="39">
        <f>SUM(Tabela1[nov/26])</f>
        <v>3862.28</v>
      </c>
      <c r="Y37" s="40">
        <f>SUM(Tabela1[dez/26])</f>
        <v>3862.28</v>
      </c>
    </row>
    <row r="38" spans="1:25" ht="2.1" customHeight="1" x14ac:dyDescent="0.25"/>
    <row r="39" spans="1:25" x14ac:dyDescent="0.25">
      <c r="A39" s="24" t="s">
        <v>71</v>
      </c>
      <c r="B39" s="23">
        <f t="shared" ref="B39:X39" si="1">SUM(C3:C18)</f>
        <v>8207.7100000000009</v>
      </c>
      <c r="C39" s="23">
        <f t="shared" si="1"/>
        <v>6590.2400000000007</v>
      </c>
      <c r="D39" s="23">
        <f t="shared" si="1"/>
        <v>7698.0600000000022</v>
      </c>
      <c r="E39" s="23">
        <f t="shared" si="1"/>
        <v>7586.18</v>
      </c>
      <c r="F39" s="23">
        <f t="shared" si="1"/>
        <v>6620.2</v>
      </c>
      <c r="G39" s="23">
        <f t="shared" si="1"/>
        <v>5387.3499999999995</v>
      </c>
      <c r="H39" s="23">
        <f t="shared" si="1"/>
        <v>5046.57</v>
      </c>
      <c r="I39" s="23">
        <f t="shared" si="1"/>
        <v>4591.79</v>
      </c>
      <c r="J39" s="23">
        <f t="shared" si="1"/>
        <v>3571.5400000000004</v>
      </c>
      <c r="K39" s="23">
        <f t="shared" si="1"/>
        <v>3374.35</v>
      </c>
      <c r="L39" s="23">
        <f t="shared" si="1"/>
        <v>3290.8799999999997</v>
      </c>
      <c r="M39" s="23">
        <f t="shared" si="1"/>
        <v>3279.36</v>
      </c>
      <c r="N39" s="23">
        <f t="shared" si="1"/>
        <v>3068.86</v>
      </c>
      <c r="O39" s="23">
        <f t="shared" si="1"/>
        <v>2925.88</v>
      </c>
      <c r="P39" s="23">
        <f t="shared" si="1"/>
        <v>2925.88</v>
      </c>
      <c r="Q39" s="23">
        <f t="shared" si="1"/>
        <v>2925.88</v>
      </c>
      <c r="R39" s="23">
        <f t="shared" si="1"/>
        <v>2881.03</v>
      </c>
      <c r="S39" s="23">
        <f t="shared" si="1"/>
        <v>2881.03</v>
      </c>
      <c r="T39" s="23">
        <f t="shared" si="1"/>
        <v>2881.03</v>
      </c>
      <c r="U39" s="23">
        <f t="shared" si="1"/>
        <v>2881.03</v>
      </c>
      <c r="V39" s="23">
        <f t="shared" si="1"/>
        <v>2881.03</v>
      </c>
      <c r="W39" s="23">
        <f t="shared" si="1"/>
        <v>2881.03</v>
      </c>
      <c r="X39" s="23">
        <f t="shared" si="1"/>
        <v>2881.03</v>
      </c>
      <c r="Y39" s="23" t="e">
        <f>SUM(#REF!)</f>
        <v>#REF!</v>
      </c>
    </row>
    <row r="40" spans="1:25" x14ac:dyDescent="0.25">
      <c r="A40" s="17" t="s">
        <v>66</v>
      </c>
      <c r="B40" s="14">
        <v>2412.59</v>
      </c>
      <c r="C40" s="14">
        <v>2412.59</v>
      </c>
      <c r="D40" s="14">
        <v>2412.59</v>
      </c>
      <c r="E40" s="14">
        <v>2412.59</v>
      </c>
      <c r="F40" s="14">
        <v>2412.59</v>
      </c>
      <c r="G40" s="9">
        <v>2412.59</v>
      </c>
      <c r="H40" s="9">
        <v>2412.59</v>
      </c>
      <c r="I40" s="9">
        <v>2412.59</v>
      </c>
      <c r="J40" s="9">
        <v>2412.59</v>
      </c>
      <c r="K40" s="9">
        <v>2412.59</v>
      </c>
      <c r="L40" s="9">
        <v>2412.59</v>
      </c>
      <c r="M40" s="9">
        <v>2412.59</v>
      </c>
      <c r="N40" s="9">
        <v>2412.59</v>
      </c>
      <c r="O40" s="9">
        <v>2412.59</v>
      </c>
      <c r="P40" s="9">
        <v>2412.59</v>
      </c>
      <c r="Q40" s="9">
        <v>2412.59</v>
      </c>
      <c r="R40" s="9">
        <v>2412.59</v>
      </c>
      <c r="S40" s="9">
        <v>2412.59</v>
      </c>
      <c r="T40" s="9">
        <v>2412.59</v>
      </c>
      <c r="U40" s="9">
        <v>2412.59</v>
      </c>
      <c r="V40" s="9">
        <v>2412.59</v>
      </c>
      <c r="W40" s="9">
        <v>2412.59</v>
      </c>
      <c r="X40" s="9">
        <v>2412.59</v>
      </c>
      <c r="Y40" s="9">
        <v>2412.59</v>
      </c>
    </row>
    <row r="41" spans="1:25" x14ac:dyDescent="0.25">
      <c r="A41" s="17" t="s">
        <v>73</v>
      </c>
      <c r="B41" s="14">
        <v>4800</v>
      </c>
      <c r="C41" s="14">
        <v>4800</v>
      </c>
      <c r="D41" s="14">
        <v>4800</v>
      </c>
      <c r="E41" s="14">
        <v>4800</v>
      </c>
      <c r="F41" s="14">
        <v>4800</v>
      </c>
      <c r="G41" s="9">
        <v>4800</v>
      </c>
      <c r="H41" s="9">
        <v>4800</v>
      </c>
      <c r="I41" s="9">
        <v>4800</v>
      </c>
      <c r="J41" s="9">
        <v>4800</v>
      </c>
      <c r="K41" s="9">
        <v>4800</v>
      </c>
      <c r="L41" s="9">
        <v>4800</v>
      </c>
      <c r="M41" s="9">
        <v>4800</v>
      </c>
      <c r="N41" s="9">
        <v>4800</v>
      </c>
      <c r="O41" s="9">
        <v>4800</v>
      </c>
      <c r="P41" s="9">
        <v>4800</v>
      </c>
      <c r="Q41" s="9">
        <v>4800</v>
      </c>
      <c r="R41" s="9">
        <v>4800</v>
      </c>
      <c r="S41" s="9">
        <v>4800</v>
      </c>
      <c r="T41" s="9">
        <v>4800</v>
      </c>
      <c r="U41" s="9">
        <v>4800</v>
      </c>
      <c r="V41" s="9">
        <v>4800</v>
      </c>
      <c r="W41" s="9">
        <v>4800</v>
      </c>
      <c r="X41" s="9">
        <v>4800</v>
      </c>
      <c r="Y41" s="9">
        <v>4800</v>
      </c>
    </row>
    <row r="42" spans="1:25" x14ac:dyDescent="0.25">
      <c r="A42" s="26" t="s">
        <v>64</v>
      </c>
      <c r="B42" s="25">
        <f t="shared" ref="B42:X42" si="2">SUM(B40:B41)-B39</f>
        <v>-995.1200000000008</v>
      </c>
      <c r="C42" s="25">
        <f t="shared" si="2"/>
        <v>622.34999999999945</v>
      </c>
      <c r="D42" s="25">
        <f t="shared" si="2"/>
        <v>-485.47000000000207</v>
      </c>
      <c r="E42" s="25">
        <f t="shared" si="2"/>
        <v>-373.59000000000015</v>
      </c>
      <c r="F42" s="25">
        <f t="shared" si="2"/>
        <v>592.39000000000033</v>
      </c>
      <c r="G42" s="25">
        <f t="shared" si="2"/>
        <v>1825.2400000000007</v>
      </c>
      <c r="H42" s="25">
        <f t="shared" si="2"/>
        <v>2166.0200000000004</v>
      </c>
      <c r="I42" s="25">
        <f t="shared" si="2"/>
        <v>2620.8000000000002</v>
      </c>
      <c r="J42" s="25">
        <f t="shared" si="2"/>
        <v>3641.0499999999997</v>
      </c>
      <c r="K42" s="25">
        <f t="shared" si="2"/>
        <v>3838.2400000000002</v>
      </c>
      <c r="L42" s="25">
        <f t="shared" si="2"/>
        <v>3921.7100000000005</v>
      </c>
      <c r="M42" s="25">
        <f t="shared" si="2"/>
        <v>3933.23</v>
      </c>
      <c r="N42" s="25">
        <f t="shared" si="2"/>
        <v>4143.7299999999996</v>
      </c>
      <c r="O42" s="25">
        <f t="shared" si="2"/>
        <v>4286.71</v>
      </c>
      <c r="P42" s="25">
        <f t="shared" si="2"/>
        <v>4286.71</v>
      </c>
      <c r="Q42" s="25">
        <f t="shared" si="2"/>
        <v>4286.71</v>
      </c>
      <c r="R42" s="25">
        <f t="shared" si="2"/>
        <v>4331.5599999999995</v>
      </c>
      <c r="S42" s="25">
        <f t="shared" si="2"/>
        <v>4331.5599999999995</v>
      </c>
      <c r="T42" s="25">
        <f t="shared" si="2"/>
        <v>4331.5599999999995</v>
      </c>
      <c r="U42" s="25">
        <f t="shared" si="2"/>
        <v>4331.5599999999995</v>
      </c>
      <c r="V42" s="25">
        <f t="shared" si="2"/>
        <v>4331.5599999999995</v>
      </c>
      <c r="W42" s="25">
        <f t="shared" si="2"/>
        <v>4331.5599999999995</v>
      </c>
      <c r="X42" s="25">
        <f t="shared" si="2"/>
        <v>4331.5599999999995</v>
      </c>
      <c r="Y42" s="31" t="e">
        <f>SUM(Y40:Y41)-Y39</f>
        <v>#REF!</v>
      </c>
    </row>
    <row r="43" spans="1:25" ht="2.1" customHeight="1" x14ac:dyDescent="0.25">
      <c r="A43" s="20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 spans="1:25" x14ac:dyDescent="0.25">
      <c r="A44" s="16" t="s">
        <v>72</v>
      </c>
      <c r="B44" s="29">
        <f t="shared" ref="B44:Y44" si="3">SUM(B21:B35)</f>
        <v>8483.7199999999993</v>
      </c>
      <c r="C44" s="29">
        <f t="shared" si="3"/>
        <v>7420.1500000000005</v>
      </c>
      <c r="D44" s="29">
        <f t="shared" si="3"/>
        <v>8446.17</v>
      </c>
      <c r="E44" s="29">
        <f t="shared" si="3"/>
        <v>8395.4600000000009</v>
      </c>
      <c r="F44" s="29">
        <f t="shared" si="3"/>
        <v>7550.4699999999993</v>
      </c>
      <c r="G44" s="29">
        <f t="shared" si="3"/>
        <v>5519.2999999999993</v>
      </c>
      <c r="H44" s="29">
        <f t="shared" si="3"/>
        <v>3961.0099999999998</v>
      </c>
      <c r="I44" s="29">
        <f t="shared" si="3"/>
        <v>4047.8599999999992</v>
      </c>
      <c r="J44" s="29">
        <f t="shared" si="3"/>
        <v>2957.4599999999996</v>
      </c>
      <c r="K44" s="29">
        <f t="shared" si="3"/>
        <v>2786.9300000000003</v>
      </c>
      <c r="L44" s="29">
        <f t="shared" si="3"/>
        <v>2622.98</v>
      </c>
      <c r="M44" s="29">
        <f t="shared" si="3"/>
        <v>2601.27</v>
      </c>
      <c r="N44" s="29">
        <f t="shared" si="3"/>
        <v>2184.27</v>
      </c>
      <c r="O44" s="29">
        <f t="shared" si="3"/>
        <v>2184.27</v>
      </c>
      <c r="P44" s="29">
        <f t="shared" si="3"/>
        <v>1924.27</v>
      </c>
      <c r="Q44" s="29">
        <f t="shared" si="3"/>
        <v>1924.27</v>
      </c>
      <c r="R44" s="29">
        <f t="shared" si="3"/>
        <v>1920.3899999999999</v>
      </c>
      <c r="S44" s="29">
        <f t="shared" si="3"/>
        <v>1857.65</v>
      </c>
      <c r="T44" s="29">
        <f t="shared" si="3"/>
        <v>1857.65</v>
      </c>
      <c r="U44" s="29">
        <f t="shared" si="3"/>
        <v>1857.65</v>
      </c>
      <c r="V44" s="29">
        <f t="shared" si="3"/>
        <v>1857.65</v>
      </c>
      <c r="W44" s="29">
        <f t="shared" si="3"/>
        <v>1857.65</v>
      </c>
      <c r="X44" s="29">
        <f t="shared" si="3"/>
        <v>961.25</v>
      </c>
      <c r="Y44" s="29">
        <f t="shared" si="3"/>
        <v>961.25</v>
      </c>
    </row>
    <row r="45" spans="1:25" x14ac:dyDescent="0.25">
      <c r="A45" s="16" t="s">
        <v>37</v>
      </c>
      <c r="B45" s="14">
        <v>2698.75</v>
      </c>
      <c r="C45" s="14">
        <v>2698.75</v>
      </c>
      <c r="D45" s="14">
        <v>2698.75</v>
      </c>
      <c r="E45" s="14">
        <v>2698.75</v>
      </c>
      <c r="F45" s="14">
        <v>2698.75</v>
      </c>
      <c r="G45" s="14">
        <v>2698.75</v>
      </c>
      <c r="H45" s="9">
        <v>2698.75</v>
      </c>
      <c r="I45" s="9">
        <v>2698.75</v>
      </c>
      <c r="J45" s="9">
        <v>2698.75</v>
      </c>
      <c r="K45" s="9">
        <v>2698.75</v>
      </c>
      <c r="L45" s="9">
        <v>2698.75</v>
      </c>
      <c r="M45" s="9">
        <v>2698.75</v>
      </c>
      <c r="N45" s="9">
        <v>2698.75</v>
      </c>
      <c r="O45" s="9">
        <v>2698.75</v>
      </c>
      <c r="P45" s="9">
        <v>2698.75</v>
      </c>
      <c r="Q45" s="9">
        <v>2698.75</v>
      </c>
      <c r="R45" s="9">
        <v>2698.75</v>
      </c>
      <c r="S45" s="9">
        <v>2698.75</v>
      </c>
      <c r="T45" s="9">
        <v>2698.75</v>
      </c>
      <c r="U45" s="9">
        <v>2698.75</v>
      </c>
      <c r="V45" s="9">
        <v>2698.75</v>
      </c>
      <c r="W45" s="9">
        <v>2698.75</v>
      </c>
      <c r="X45" s="9">
        <v>2698.75</v>
      </c>
      <c r="Y45" s="9">
        <v>2698.75</v>
      </c>
    </row>
    <row r="46" spans="1:25" x14ac:dyDescent="0.25">
      <c r="A46" s="16" t="s">
        <v>38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</row>
    <row r="47" spans="1:25" x14ac:dyDescent="0.25">
      <c r="A47" s="28" t="s">
        <v>64</v>
      </c>
      <c r="B47" s="27">
        <f t="shared" ref="B47:Y47" si="4">SUM(B45:B46)-B44</f>
        <v>-5784.9699999999993</v>
      </c>
      <c r="C47" s="27">
        <f t="shared" si="4"/>
        <v>-4721.4000000000005</v>
      </c>
      <c r="D47" s="27">
        <f t="shared" si="4"/>
        <v>-5747.42</v>
      </c>
      <c r="E47" s="27">
        <f t="shared" si="4"/>
        <v>-5696.7100000000009</v>
      </c>
      <c r="F47" s="27">
        <f t="shared" si="4"/>
        <v>-4851.7199999999993</v>
      </c>
      <c r="G47" s="27">
        <f t="shared" si="4"/>
        <v>-2820.5499999999993</v>
      </c>
      <c r="H47" s="27">
        <f t="shared" si="4"/>
        <v>-1262.2599999999998</v>
      </c>
      <c r="I47" s="27">
        <f t="shared" si="4"/>
        <v>-1349.1099999999992</v>
      </c>
      <c r="J47" s="27">
        <f t="shared" si="4"/>
        <v>-258.70999999999958</v>
      </c>
      <c r="K47" s="27">
        <f t="shared" si="4"/>
        <v>-88.180000000000291</v>
      </c>
      <c r="L47" s="27">
        <f t="shared" si="4"/>
        <v>75.769999999999982</v>
      </c>
      <c r="M47" s="27">
        <f t="shared" si="4"/>
        <v>97.480000000000018</v>
      </c>
      <c r="N47" s="27">
        <f t="shared" si="4"/>
        <v>514.48</v>
      </c>
      <c r="O47" s="27">
        <f t="shared" si="4"/>
        <v>514.48</v>
      </c>
      <c r="P47" s="27">
        <f t="shared" si="4"/>
        <v>774.48</v>
      </c>
      <c r="Q47" s="27">
        <f t="shared" si="4"/>
        <v>774.48</v>
      </c>
      <c r="R47" s="27">
        <f t="shared" si="4"/>
        <v>778.36000000000013</v>
      </c>
      <c r="S47" s="27">
        <f t="shared" si="4"/>
        <v>841.09999999999991</v>
      </c>
      <c r="T47" s="27">
        <f t="shared" si="4"/>
        <v>841.09999999999991</v>
      </c>
      <c r="U47" s="27">
        <f t="shared" si="4"/>
        <v>841.09999999999991</v>
      </c>
      <c r="V47" s="27">
        <f t="shared" si="4"/>
        <v>841.09999999999991</v>
      </c>
      <c r="W47" s="27">
        <f t="shared" si="4"/>
        <v>841.09999999999991</v>
      </c>
      <c r="X47" s="27">
        <f t="shared" si="4"/>
        <v>1737.5</v>
      </c>
      <c r="Y47" s="32">
        <f t="shared" si="4"/>
        <v>1737.5</v>
      </c>
    </row>
    <row r="48" spans="1:25" ht="2.1" customHeight="1" x14ac:dyDescent="0.25"/>
    <row r="49" spans="1:25" s="33" customFormat="1" x14ac:dyDescent="0.25">
      <c r="A49" s="30" t="s">
        <v>67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6"/>
    </row>
    <row r="50" spans="1:25" s="33" customFormat="1" x14ac:dyDescent="0.25">
      <c r="A50" s="30" t="s">
        <v>68</v>
      </c>
      <c r="B50" s="37" t="e">
        <f>SUM(B47,#REF!)</f>
        <v>#REF!</v>
      </c>
      <c r="C50" s="37">
        <f t="shared" ref="C50:Y50" si="5">SUM(C47,B42)</f>
        <v>-5716.5200000000013</v>
      </c>
      <c r="D50" s="37">
        <f t="shared" si="5"/>
        <v>-5125.0700000000006</v>
      </c>
      <c r="E50" s="37">
        <f t="shared" si="5"/>
        <v>-6182.180000000003</v>
      </c>
      <c r="F50" s="37">
        <f t="shared" si="5"/>
        <v>-5225.3099999999995</v>
      </c>
      <c r="G50" s="37">
        <f t="shared" si="5"/>
        <v>-2228.1599999999989</v>
      </c>
      <c r="H50" s="37">
        <f t="shared" si="5"/>
        <v>562.98000000000093</v>
      </c>
      <c r="I50" s="37">
        <f t="shared" si="5"/>
        <v>816.91000000000122</v>
      </c>
      <c r="J50" s="37">
        <f t="shared" si="5"/>
        <v>2362.0900000000006</v>
      </c>
      <c r="K50" s="37">
        <f t="shared" si="5"/>
        <v>3552.8699999999994</v>
      </c>
      <c r="L50" s="37">
        <f t="shared" si="5"/>
        <v>3914.01</v>
      </c>
      <c r="M50" s="37">
        <f t="shared" si="5"/>
        <v>4019.1900000000005</v>
      </c>
      <c r="N50" s="37">
        <f t="shared" si="5"/>
        <v>4447.71</v>
      </c>
      <c r="O50" s="37">
        <f t="shared" si="5"/>
        <v>4658.2099999999991</v>
      </c>
      <c r="P50" s="37">
        <f t="shared" si="5"/>
        <v>5061.1900000000005</v>
      </c>
      <c r="Q50" s="37">
        <f t="shared" si="5"/>
        <v>5061.1900000000005</v>
      </c>
      <c r="R50" s="37">
        <f t="shared" si="5"/>
        <v>5065.07</v>
      </c>
      <c r="S50" s="37">
        <f t="shared" si="5"/>
        <v>5172.66</v>
      </c>
      <c r="T50" s="37">
        <f t="shared" si="5"/>
        <v>5172.66</v>
      </c>
      <c r="U50" s="37">
        <f t="shared" si="5"/>
        <v>5172.66</v>
      </c>
      <c r="V50" s="37">
        <f t="shared" si="5"/>
        <v>5172.66</v>
      </c>
      <c r="W50" s="37">
        <f t="shared" si="5"/>
        <v>5172.66</v>
      </c>
      <c r="X50" s="37">
        <f t="shared" si="5"/>
        <v>6069.0599999999995</v>
      </c>
      <c r="Y50" s="38">
        <f t="shared" si="5"/>
        <v>6069.0599999999995</v>
      </c>
    </row>
    <row r="51" spans="1:25" x14ac:dyDescent="0.25">
      <c r="A51" s="30" t="s">
        <v>69</v>
      </c>
      <c r="B51" s="34" t="e">
        <f t="shared" ref="B51:Y51" si="6">B50+B49</f>
        <v>#REF!</v>
      </c>
      <c r="C51" s="34">
        <f t="shared" si="6"/>
        <v>-5716.5200000000013</v>
      </c>
      <c r="D51" s="34">
        <f t="shared" si="6"/>
        <v>-5125.0700000000006</v>
      </c>
      <c r="E51" s="34">
        <f t="shared" si="6"/>
        <v>-6182.180000000003</v>
      </c>
      <c r="F51" s="34">
        <f t="shared" si="6"/>
        <v>-5225.3099999999995</v>
      </c>
      <c r="G51" s="34">
        <f t="shared" si="6"/>
        <v>-2228.1599999999989</v>
      </c>
      <c r="H51" s="34">
        <f t="shared" si="6"/>
        <v>562.98000000000093</v>
      </c>
      <c r="I51" s="34">
        <f t="shared" si="6"/>
        <v>816.91000000000122</v>
      </c>
      <c r="J51" s="34">
        <f t="shared" si="6"/>
        <v>2362.0900000000006</v>
      </c>
      <c r="K51" s="34">
        <f t="shared" si="6"/>
        <v>3552.8699999999994</v>
      </c>
      <c r="L51" s="34">
        <f t="shared" si="6"/>
        <v>3914.01</v>
      </c>
      <c r="M51" s="34">
        <f t="shared" si="6"/>
        <v>4019.1900000000005</v>
      </c>
      <c r="N51" s="34">
        <f t="shared" si="6"/>
        <v>4447.71</v>
      </c>
      <c r="O51" s="34">
        <f t="shared" si="6"/>
        <v>4658.2099999999991</v>
      </c>
      <c r="P51" s="34">
        <f t="shared" si="6"/>
        <v>5061.1900000000005</v>
      </c>
      <c r="Q51" s="34">
        <f t="shared" si="6"/>
        <v>5061.1900000000005</v>
      </c>
      <c r="R51" s="34">
        <f t="shared" si="6"/>
        <v>5065.07</v>
      </c>
      <c r="S51" s="34">
        <f t="shared" si="6"/>
        <v>5172.66</v>
      </c>
      <c r="T51" s="34">
        <f t="shared" si="6"/>
        <v>5172.66</v>
      </c>
      <c r="U51" s="34">
        <f t="shared" si="6"/>
        <v>5172.66</v>
      </c>
      <c r="V51" s="34">
        <f t="shared" si="6"/>
        <v>5172.66</v>
      </c>
      <c r="W51" s="34">
        <f t="shared" si="6"/>
        <v>5172.66</v>
      </c>
      <c r="X51" s="34">
        <f t="shared" si="6"/>
        <v>6069.0599999999995</v>
      </c>
      <c r="Y51" s="34">
        <f t="shared" si="6"/>
        <v>6069.0599999999995</v>
      </c>
    </row>
    <row r="52" spans="1:25" x14ac:dyDescent="0.25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</sheetData>
  <mergeCells count="2">
    <mergeCell ref="B1:M1"/>
    <mergeCell ref="N1:Y1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141735CC-DA05-4FE2-8771-C7FA2716BE69}">
            <xm:f>NOT(ISERROR(SEARCH("+",B49)))</xm:f>
            <xm:f>"+"</xm:f>
            <x14:dxf>
              <font>
                <b/>
                <i val="0"/>
                <color theme="0"/>
              </font>
              <fill>
                <patternFill>
                  <bgColor rgb="FF00B050"/>
                </patternFill>
              </fill>
            </x14:dxf>
          </x14:cfRule>
          <x14:cfRule type="containsText" priority="3" operator="containsText" id="{A8062704-8FCB-4057-B8FC-CABF97183CB6}">
            <xm:f>NOT(ISERROR(SEARCH("-",B49)))</xm:f>
            <xm:f>"-"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B49:Y50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5961C-A3BE-4A80-A685-65F0F11EE970}">
  <dimension ref="A1:G18"/>
  <sheetViews>
    <sheetView workbookViewId="0">
      <selection activeCell="C18" sqref="C18"/>
    </sheetView>
  </sheetViews>
  <sheetFormatPr defaultRowHeight="15" x14ac:dyDescent="0.25"/>
  <cols>
    <col min="1" max="1" width="14.5703125" style="46" customWidth="1"/>
    <col min="2" max="5" width="23.7109375" style="46" customWidth="1"/>
    <col min="6" max="6" width="10.5703125" bestFit="1" customWidth="1"/>
    <col min="7" max="7" width="23.7109375" customWidth="1"/>
  </cols>
  <sheetData>
    <row r="1" spans="1:7" x14ac:dyDescent="0.25">
      <c r="A1" s="45"/>
      <c r="B1" s="45" t="s">
        <v>79</v>
      </c>
      <c r="C1" s="45" t="s">
        <v>80</v>
      </c>
      <c r="D1" s="45" t="s">
        <v>81</v>
      </c>
      <c r="E1" s="45" t="s">
        <v>82</v>
      </c>
      <c r="G1" s="45" t="s">
        <v>83</v>
      </c>
    </row>
    <row r="2" spans="1:7" x14ac:dyDescent="0.25">
      <c r="A2" s="45" t="s">
        <v>77</v>
      </c>
      <c r="B2" s="47">
        <v>6745</v>
      </c>
      <c r="C2" s="47">
        <v>3258.75</v>
      </c>
      <c r="D2" s="47">
        <v>3372.5</v>
      </c>
      <c r="E2" s="47">
        <v>1860.36</v>
      </c>
      <c r="G2" s="48">
        <f>SUM(D2:E2)-C2</f>
        <v>1974.1099999999997</v>
      </c>
    </row>
    <row r="3" spans="1:7" x14ac:dyDescent="0.25">
      <c r="A3" s="45" t="s">
        <v>78</v>
      </c>
      <c r="B3" s="47">
        <v>5700</v>
      </c>
      <c r="C3" s="47">
        <v>1669</v>
      </c>
      <c r="D3" s="47">
        <v>1900</v>
      </c>
      <c r="E3" s="47">
        <v>1441.34</v>
      </c>
      <c r="G3" s="48">
        <f>SUM(D3:E3)-C3</f>
        <v>1672.3400000000001</v>
      </c>
    </row>
    <row r="5" spans="1:7" x14ac:dyDescent="0.25">
      <c r="G5" s="10">
        <f>SUM(G2:G3)</f>
        <v>3646.45</v>
      </c>
    </row>
    <row r="6" spans="1:7" x14ac:dyDescent="0.25">
      <c r="G6">
        <v>2300</v>
      </c>
    </row>
    <row r="7" spans="1:7" x14ac:dyDescent="0.25">
      <c r="G7" s="10">
        <f>SUM(G5:G6)</f>
        <v>5946.45</v>
      </c>
    </row>
    <row r="15" spans="1:7" x14ac:dyDescent="0.25">
      <c r="F15" s="10"/>
    </row>
    <row r="16" spans="1:7" x14ac:dyDescent="0.25">
      <c r="G16">
        <v>4569</v>
      </c>
    </row>
    <row r="18" spans="7:7" x14ac:dyDescent="0.25">
      <c r="G18" s="10">
        <f>G7-G16</f>
        <v>1377.4499999999998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355D2-BDB8-44D9-BD92-0748B9333658}">
  <dimension ref="A1:C14"/>
  <sheetViews>
    <sheetView workbookViewId="0">
      <selection activeCell="H13" sqref="H13"/>
    </sheetView>
  </sheetViews>
  <sheetFormatPr defaultRowHeight="15" x14ac:dyDescent="0.25"/>
  <cols>
    <col min="1" max="1" width="13.28515625" bestFit="1" customWidth="1"/>
    <col min="2" max="2" width="27.140625" customWidth="1"/>
    <col min="3" max="3" width="12.140625" bestFit="1" customWidth="1"/>
  </cols>
  <sheetData>
    <row r="1" spans="1:3" x14ac:dyDescent="0.25">
      <c r="A1" t="s">
        <v>97</v>
      </c>
      <c r="C1" t="s">
        <v>98</v>
      </c>
    </row>
    <row r="2" spans="1:3" x14ac:dyDescent="0.25">
      <c r="A2" s="50">
        <v>-111.61</v>
      </c>
      <c r="B2" t="s">
        <v>93</v>
      </c>
      <c r="C2" s="50"/>
    </row>
    <row r="3" spans="1:3" x14ac:dyDescent="0.25">
      <c r="A3" s="50">
        <v>2158.56</v>
      </c>
      <c r="B3" t="s">
        <v>92</v>
      </c>
      <c r="C3" s="50"/>
    </row>
    <row r="4" spans="1:3" x14ac:dyDescent="0.25">
      <c r="A4" s="50">
        <v>0</v>
      </c>
      <c r="B4" t="s">
        <v>94</v>
      </c>
      <c r="C4" s="50">
        <v>-1948.5</v>
      </c>
    </row>
    <row r="5" spans="1:3" x14ac:dyDescent="0.25">
      <c r="A5" s="50">
        <v>0</v>
      </c>
      <c r="B5" t="s">
        <v>95</v>
      </c>
      <c r="C5" s="50">
        <f>-3200-44-80-40+13.37+16.15+10.79+30+24+22+24</f>
        <v>-3223.69</v>
      </c>
    </row>
    <row r="6" spans="1:3" x14ac:dyDescent="0.25">
      <c r="A6" s="50"/>
      <c r="C6" s="50"/>
    </row>
    <row r="7" spans="1:3" x14ac:dyDescent="0.25">
      <c r="A7" s="50"/>
    </row>
    <row r="8" spans="1:3" x14ac:dyDescent="0.25">
      <c r="C8" s="50"/>
    </row>
    <row r="9" spans="1:3" x14ac:dyDescent="0.25">
      <c r="A9" s="10">
        <f>SUM(A2:A6)</f>
        <v>2046.95</v>
      </c>
      <c r="C9" s="10">
        <f>SUM(C2:C6)</f>
        <v>-5172.1900000000005</v>
      </c>
    </row>
    <row r="14" spans="1:3" x14ac:dyDescent="0.25">
      <c r="C14" s="1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2024</vt:lpstr>
      <vt:lpstr>2025</vt:lpstr>
      <vt:lpstr>13º SALARIO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Santos</dc:creator>
  <cp:lastModifiedBy>Daniel Santos</cp:lastModifiedBy>
  <dcterms:created xsi:type="dcterms:W3CDTF">2023-11-21T01:59:32Z</dcterms:created>
  <dcterms:modified xsi:type="dcterms:W3CDTF">2025-07-05T15:48:43Z</dcterms:modified>
</cp:coreProperties>
</file>