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rthenergy-my.sharepoint.com/personal/c_borkowski_energiekosten360_de/Documents/Bachelor/Evaluation/"/>
    </mc:Choice>
  </mc:AlternateContent>
  <xr:revisionPtr revIDLastSave="1402" documentId="8_{5B22FC44-8C47-476E-A26D-04892B069E34}" xr6:coauthVersionLast="47" xr6:coauthVersionMax="47" xr10:uidLastSave="{1C098AA1-C997-40C9-A6B5-6B41B3AABD20}"/>
  <bookViews>
    <workbookView xWindow="38280" yWindow="-120" windowWidth="29040" windowHeight="15840" activeTab="1" xr2:uid="{00000000-000D-0000-FFFF-FFFF00000000}"/>
  </bookViews>
  <sheets>
    <sheet name="Feedback" sheetId="1" r:id="rId1"/>
    <sheet name="Daten" sheetId="2" r:id="rId2"/>
  </sheets>
  <definedNames>
    <definedName name="_xlchart.v1.0" hidden="1">Daten!$M$1</definedName>
    <definedName name="_xlchart.v1.1" hidden="1">Daten!$M$2:$M$20</definedName>
    <definedName name="_xlchart.v1.2" hidden="1">Feedback!$E$1:$I$1</definedName>
    <definedName name="UMUX">Feedback!$S$20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2" l="1"/>
  <c r="M4" i="2"/>
  <c r="M2" i="2"/>
  <c r="M3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G3" i="1"/>
  <c r="G2" i="1"/>
  <c r="F3" i="1"/>
  <c r="F2" i="1"/>
  <c r="V25" i="1"/>
  <c r="U25" i="1"/>
  <c r="T25" i="1"/>
  <c r="S25" i="1"/>
  <c r="R25" i="1"/>
  <c r="V30" i="1"/>
  <c r="U30" i="1"/>
  <c r="T30" i="1"/>
  <c r="S30" i="1"/>
  <c r="R30" i="1"/>
  <c r="V29" i="1"/>
  <c r="U29" i="1"/>
  <c r="T29" i="1"/>
  <c r="S29" i="1"/>
  <c r="R29" i="1"/>
  <c r="V28" i="1"/>
  <c r="U28" i="1"/>
  <c r="T28" i="1"/>
  <c r="S28" i="1"/>
  <c r="R28" i="1"/>
  <c r="V27" i="1"/>
  <c r="U27" i="1"/>
  <c r="T27" i="1"/>
  <c r="S27" i="1"/>
  <c r="R27" i="1"/>
  <c r="V26" i="1"/>
  <c r="U26" i="1"/>
  <c r="T26" i="1"/>
  <c r="S26" i="1"/>
  <c r="R26" i="1"/>
  <c r="T6" i="1"/>
  <c r="T5" i="1"/>
  <c r="S6" i="1"/>
  <c r="S5" i="1"/>
  <c r="R6" i="1"/>
  <c r="Q6" i="1"/>
  <c r="R5" i="1"/>
  <c r="Q5" i="1"/>
  <c r="V6" i="1"/>
  <c r="V5" i="1"/>
  <c r="V4" i="1"/>
  <c r="V3" i="1"/>
  <c r="V2" i="1"/>
  <c r="P6" i="1"/>
  <c r="P5" i="1"/>
  <c r="L3" i="1"/>
  <c r="L2" i="1"/>
  <c r="T4" i="1"/>
  <c r="S4" i="1"/>
  <c r="R4" i="1"/>
  <c r="Q4" i="1"/>
  <c r="P4" i="1"/>
  <c r="T3" i="1"/>
  <c r="S3" i="1"/>
  <c r="R3" i="1"/>
  <c r="Q3" i="1"/>
  <c r="P3" i="1"/>
  <c r="T2" i="1"/>
  <c r="U22" i="1" s="1"/>
  <c r="S2" i="1"/>
  <c r="T22" i="1" s="1"/>
  <c r="R2" i="1"/>
  <c r="S22" i="1" s="1"/>
  <c r="Q2" i="1"/>
  <c r="R22" i="1" s="1"/>
  <c r="P2" i="1"/>
  <c r="M2" i="1"/>
  <c r="N2" i="1"/>
  <c r="O2" i="1"/>
  <c r="I3" i="1"/>
  <c r="I2" i="1"/>
  <c r="H3" i="1"/>
  <c r="H2" i="1"/>
  <c r="E3" i="1"/>
  <c r="E2" i="1"/>
  <c r="B2" i="1" a="1"/>
  <c r="B2" i="1" s="1"/>
  <c r="Q4" i="2"/>
  <c r="Q5" i="2"/>
  <c r="Q3" i="2"/>
  <c r="Q2" i="2"/>
  <c r="Q6" i="2"/>
  <c r="Q7" i="2"/>
  <c r="V32" i="1" l="1" a="1"/>
  <c r="V32" i="1" s="1"/>
  <c r="W3" i="1" a="1"/>
  <c r="W3" i="1" s="1"/>
  <c r="R31" i="1"/>
  <c r="W5" i="1" a="1"/>
  <c r="W5" i="1" s="1"/>
  <c r="W2" i="1" a="1"/>
  <c r="W2" i="1" s="1"/>
  <c r="S31" i="1"/>
  <c r="U5" i="1"/>
  <c r="W6" i="1" a="1"/>
  <c r="W6" i="1" s="1"/>
  <c r="T31" i="1"/>
  <c r="R32" i="1" a="1"/>
  <c r="R32" i="1" s="1"/>
  <c r="W4" i="1" a="1"/>
  <c r="W4" i="1" s="1"/>
  <c r="U31" i="1"/>
  <c r="S32" i="1" a="1"/>
  <c r="S32" i="1" s="1"/>
  <c r="V31" i="1"/>
  <c r="T32" i="1" a="1"/>
  <c r="T32" i="1" s="1"/>
  <c r="U6" i="1"/>
  <c r="U32" i="1" a="1"/>
  <c r="U32" i="1" s="1"/>
  <c r="U4" i="1"/>
  <c r="U3" i="1"/>
  <c r="U2" i="1"/>
  <c r="S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<sst xmlns="http://schemas.openxmlformats.org/spreadsheetml/2006/main" count="112" uniqueCount="42">
  <si>
    <t>programming</t>
  </si>
  <si>
    <t>java</t>
  </si>
  <si>
    <t>python</t>
  </si>
  <si>
    <t>nlp</t>
  </si>
  <si>
    <t>requirements</t>
  </si>
  <si>
    <t>frustration</t>
  </si>
  <si>
    <t>correction</t>
  </si>
  <si>
    <t>ease</t>
  </si>
  <si>
    <t>timestamp</t>
  </si>
  <si>
    <t>duuiRating</t>
  </si>
  <si>
    <t>False</t>
  </si>
  <si>
    <t>True</t>
  </si>
  <si>
    <t>Programming</t>
  </si>
  <si>
    <t>Java</t>
  </si>
  <si>
    <t>Python</t>
  </si>
  <si>
    <t>NLP</t>
  </si>
  <si>
    <t>Experienced</t>
  </si>
  <si>
    <t>Inexperienced</t>
  </si>
  <si>
    <t>Requirements</t>
  </si>
  <si>
    <t>Frustration</t>
  </si>
  <si>
    <t>Correction</t>
  </si>
  <si>
    <t>Ease</t>
  </si>
  <si>
    <t>DUUI</t>
  </si>
  <si>
    <t>UMUX</t>
  </si>
  <si>
    <t>Start Datum</t>
  </si>
  <si>
    <t xml:space="preserve">UMUX </t>
  </si>
  <si>
    <t>Anzahl</t>
  </si>
  <si>
    <t>Used DUUI</t>
  </si>
  <si>
    <t>Never used DUUI</t>
  </si>
  <si>
    <t>Web interface</t>
  </si>
  <si>
    <t>Korrellationen</t>
  </si>
  <si>
    <t>Spalte A</t>
  </si>
  <si>
    <t>Spalte B</t>
  </si>
  <si>
    <t>Average</t>
  </si>
  <si>
    <t>Progamming</t>
  </si>
  <si>
    <t>No Programming</t>
  </si>
  <si>
    <t>Count</t>
  </si>
  <si>
    <t>Deviation</t>
  </si>
  <si>
    <t>Group</t>
  </si>
  <si>
    <t>All Participants</t>
  </si>
  <si>
    <t>duuiUsedBefore</t>
  </si>
  <si>
    <t>interestedInUsingNLP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</si>
</sst>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0\ 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Linux Libertine"/>
    </font>
    <font>
      <b/>
      <sz val="12"/>
      <color theme="1"/>
      <name val="Linux Libertin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0" xfId="1" applyNumberFormat="1" applyFont="1" applyBorder="1" applyAlignment="1">
      <alignment vertical="center"/>
    </xf>
    <xf numFmtId="43" fontId="0" fillId="0" borderId="0" xfId="1" applyFont="1" applyAlignment="1">
      <alignment vertical="center"/>
    </xf>
    <xf numFmtId="0" fontId="0" fillId="0" borderId="10" xfId="0" applyBorder="1" applyAlignment="1">
      <alignment horizontal="left" vertical="center" indent="1"/>
    </xf>
    <xf numFmtId="14" fontId="0" fillId="33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4" fontId="0" fillId="0" borderId="0" xfId="1" applyNumberFormat="1" applyFont="1" applyAlignment="1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2" fontId="18" fillId="0" borderId="16" xfId="0" applyNumberFormat="1" applyFont="1" applyBorder="1" applyAlignment="1">
      <alignment horizontal="center" vertical="center"/>
    </xf>
    <xf numFmtId="2" fontId="18" fillId="0" borderId="17" xfId="0" applyNumberFormat="1" applyFont="1" applyBorder="1" applyAlignment="1">
      <alignment horizontal="center" vertical="center"/>
    </xf>
    <xf numFmtId="2" fontId="18" fillId="0" borderId="18" xfId="0" applyNumberFormat="1" applyFont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165" fontId="0" fillId="0" borderId="0" xfId="0" applyNumberFormat="1" applyAlignment="1">
      <alignment vertical="center"/>
    </xf>
    <xf numFmtId="164" fontId="0" fillId="0" borderId="0" xfId="1" applyNumberFormat="1" applyFont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0" borderId="26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34" borderId="27" xfId="0" applyFill="1" applyBorder="1" applyAlignment="1">
      <alignment horizontal="left" vertical="center" indent="1"/>
    </xf>
    <xf numFmtId="0" fontId="0" fillId="34" borderId="28" xfId="0" applyFill="1" applyBorder="1" applyAlignment="1">
      <alignment horizontal="left" vertical="center" indent="1"/>
    </xf>
    <xf numFmtId="2" fontId="0" fillId="0" borderId="21" xfId="1" applyNumberFormat="1" applyFont="1" applyBorder="1" applyAlignment="1">
      <alignment horizontal="center" vertical="center"/>
    </xf>
    <xf numFmtId="2" fontId="0" fillId="0" borderId="24" xfId="1" applyNumberFormat="1" applyFont="1" applyBorder="1" applyAlignment="1">
      <alignment horizontal="center" vertical="center"/>
    </xf>
    <xf numFmtId="2" fontId="0" fillId="34" borderId="21" xfId="1" applyNumberFormat="1" applyFont="1" applyFill="1" applyBorder="1" applyAlignment="1">
      <alignment horizontal="center" vertical="center"/>
    </xf>
    <xf numFmtId="2" fontId="0" fillId="34" borderId="22" xfId="1" applyNumberFormat="1" applyFont="1" applyFill="1" applyBorder="1" applyAlignment="1">
      <alignment horizontal="center" vertical="center"/>
    </xf>
    <xf numFmtId="2" fontId="0" fillId="0" borderId="27" xfId="1" applyNumberFormat="1" applyFont="1" applyBorder="1" applyAlignment="1">
      <alignment horizontal="center" vertical="center"/>
    </xf>
    <xf numFmtId="2" fontId="0" fillId="0" borderId="23" xfId="1" applyNumberFormat="1" applyFont="1" applyBorder="1" applyAlignment="1">
      <alignment horizontal="center" vertical="center"/>
    </xf>
    <xf numFmtId="2" fontId="0" fillId="34" borderId="27" xfId="1" applyNumberFormat="1" applyFont="1" applyFill="1" applyBorder="1" applyAlignment="1">
      <alignment horizontal="center" vertical="center"/>
    </xf>
    <xf numFmtId="2" fontId="0" fillId="34" borderId="28" xfId="1" applyNumberFormat="1" applyFont="1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1" fontId="0" fillId="0" borderId="26" xfId="1" applyNumberFormat="1" applyFont="1" applyBorder="1" applyAlignment="1">
      <alignment horizontal="center" vertical="center"/>
    </xf>
    <xf numFmtId="1" fontId="0" fillId="0" borderId="21" xfId="1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2" fontId="0" fillId="0" borderId="0" xfId="1" applyNumberFormat="1" applyFont="1" applyAlignment="1">
      <alignment horizontal="center" vertical="center"/>
    </xf>
    <xf numFmtId="0" fontId="19" fillId="0" borderId="12" xfId="1" applyNumberFormat="1" applyFont="1" applyFill="1" applyBorder="1" applyAlignment="1">
      <alignment horizontal="center" vertical="center"/>
    </xf>
    <xf numFmtId="2" fontId="18" fillId="0" borderId="19" xfId="1" applyNumberFormat="1" applyFont="1" applyFill="1" applyBorder="1" applyAlignment="1">
      <alignment horizontal="center" vertical="center"/>
    </xf>
    <xf numFmtId="164" fontId="0" fillId="0" borderId="0" xfId="0" applyNumberFormat="1"/>
    <xf numFmtId="43" fontId="0" fillId="0" borderId="0" xfId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Komma" xfId="1" builtinId="3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15">
    <dxf>
      <alignment vertical="center" textRotation="0" wrapText="0" indent="0" justifyLastLine="0" shrinkToFit="0" readingOrder="0"/>
    </dxf>
    <dxf>
      <numFmt numFmtId="27" formatCode="dd/mm/yyyy\ hh:mm"/>
      <alignment horizontal="center" vertical="center" textRotation="0" wrapText="0" indent="0" justifyLastLine="0" shrinkToFit="0" readingOrder="0"/>
    </dxf>
    <dxf>
      <numFmt numFmtId="164" formatCode="_-* #,##0_-;\-* #,##0_-;_-* &quot;-&quot;??_-;_-@_-"/>
      <alignment vertical="center" textRotation="0" wrapText="0" indent="0" justifyLastLine="0" shrinkToFit="0" readingOrder="0"/>
    </dxf>
    <dxf>
      <numFmt numFmtId="164" formatCode="_-* #,##0_-;\-* #,##0_-;_-* &quot;-&quot;??_-;_-@_-"/>
      <alignment horizontal="general" vertical="center" textRotation="0" wrapText="0" indent="0" justifyLastLine="0" shrinkToFit="0" readingOrder="0"/>
    </dxf>
    <dxf>
      <numFmt numFmtId="164" formatCode="_-* #,##0_-;\-* #,##0_-;_-* &quot;-&quot;??_-;_-@_-"/>
      <alignment vertical="center" textRotation="0" wrapText="0" indent="0" justifyLastLine="0" shrinkToFit="0" readingOrder="0"/>
    </dxf>
    <dxf>
      <numFmt numFmtId="164" formatCode="_-* #,##0_-;\-* #,##0_-;_-* &quot;-&quot;??_-;_-@_-"/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-* #,##0_-;\-* #,##0_-;_-* &quot;-&quot;??_-;_-@_-"/>
      <alignment vertical="center" textRotation="0" wrapText="0" indent="0" justifyLastLine="0" shrinkToFit="0" readingOrder="0"/>
    </dxf>
    <dxf>
      <numFmt numFmtId="164" formatCode="_-* #,##0_-;\-* #,##0_-;_-* &quot;-&quot;??_-;_-@_-"/>
      <alignment horizontal="center" vertical="center" textRotation="0" wrapText="0" indent="0" justifyLastLine="0" shrinkToFit="0" readingOrder="0"/>
    </dxf>
    <dxf>
      <numFmt numFmtId="164" formatCode="_-* #,##0_-;\-* #,##0_-;_-* &quot;-&quot;??_-;_-@_-"/>
      <alignment horizontal="center" vertical="center" textRotation="0" wrapText="0" indent="0" justifyLastLine="0" shrinkToFit="0" readingOrder="0"/>
    </dxf>
    <dxf>
      <numFmt numFmtId="164" formatCode="_-* #,##0_-;\-* #,##0_-;_-* &quot;-&quot;??_-;_-@_-"/>
      <alignment vertical="center" textRotation="0" wrapText="0" indent="0" justifyLastLine="0" shrinkToFit="0" readingOrder="0"/>
    </dxf>
    <dxf>
      <numFmt numFmtId="164" formatCode="_-* #,##0_-;\-* #,##0_-;_-* &quot;-&quot;??_-;_-@_-"/>
      <alignment vertical="center" textRotation="0" wrapText="0" indent="0" justifyLastLine="0" shrinkToFit="0" readingOrder="0"/>
    </dxf>
    <dxf>
      <numFmt numFmtId="164" formatCode="_-* #,##0_-;\-* #,##0_-;_-* &quot;-&quot;??_-;_-@_-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99353104310418E-2"/>
          <c:y val="8.8103697635879483E-2"/>
          <c:w val="0.90397890263535008"/>
          <c:h val="0.74574688071286577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Feedback!$D$2</c:f>
              <c:strCache>
                <c:ptCount val="1"/>
                <c:pt idx="0">
                  <c:v>Experienced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Feedback!$E$1:$I$1</c:f>
              <c:strCache>
                <c:ptCount val="5"/>
                <c:pt idx="0">
                  <c:v>Programming</c:v>
                </c:pt>
                <c:pt idx="1">
                  <c:v>Java</c:v>
                </c:pt>
                <c:pt idx="2">
                  <c:v>Python</c:v>
                </c:pt>
                <c:pt idx="3">
                  <c:v>NLP</c:v>
                </c:pt>
                <c:pt idx="4">
                  <c:v>DUUI</c:v>
                </c:pt>
              </c:strCache>
            </c:strRef>
          </c:cat>
          <c:val>
            <c:numRef>
              <c:f>Feedback!$E$2:$I$2</c:f>
              <c:numCache>
                <c:formatCode>_-* #,##0_-;\-* #,##0_-;_-* "-"??_-;_-@_-</c:formatCode>
                <c:ptCount val="5"/>
                <c:pt idx="0">
                  <c:v>14</c:v>
                </c:pt>
                <c:pt idx="1">
                  <c:v>10</c:v>
                </c:pt>
                <c:pt idx="2">
                  <c:v>13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F-4400-BB86-A7A30109FBD0}"/>
            </c:ext>
          </c:extLst>
        </c:ser>
        <c:ser>
          <c:idx val="1"/>
          <c:order val="1"/>
          <c:tx>
            <c:strRef>
              <c:f>Feedback!$D$3</c:f>
              <c:strCache>
                <c:ptCount val="1"/>
                <c:pt idx="0">
                  <c:v>Inexperienced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Feedback!$E$1:$I$1</c:f>
              <c:strCache>
                <c:ptCount val="5"/>
                <c:pt idx="0">
                  <c:v>Programming</c:v>
                </c:pt>
                <c:pt idx="1">
                  <c:v>Java</c:v>
                </c:pt>
                <c:pt idx="2">
                  <c:v>Python</c:v>
                </c:pt>
                <c:pt idx="3">
                  <c:v>NLP</c:v>
                </c:pt>
                <c:pt idx="4">
                  <c:v>DUUI</c:v>
                </c:pt>
              </c:strCache>
            </c:strRef>
          </c:cat>
          <c:val>
            <c:numRef>
              <c:f>Feedback!$E$3:$I$3</c:f>
              <c:numCache>
                <c:formatCode>_-* #,##0_-;\-* #,##0_-;_-* "-"??_-;_-@_-</c:formatCode>
                <c:ptCount val="5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11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F-4400-BB86-A7A30109F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68978736"/>
        <c:axId val="768979456"/>
      </c:barChart>
      <c:catAx>
        <c:axId val="76897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Libertine" panose="02000503000000000000" pitchFamily="2" charset="0"/>
                <a:ea typeface="Linux Libertine" panose="02000503000000000000" pitchFamily="2" charset="0"/>
                <a:cs typeface="Linux Libertine" panose="02000503000000000000" pitchFamily="2" charset="0"/>
              </a:defRPr>
            </a:pPr>
            <a:endParaRPr lang="de-DE"/>
          </a:p>
        </c:txPr>
        <c:crossAx val="768979456"/>
        <c:crosses val="autoZero"/>
        <c:auto val="1"/>
        <c:lblAlgn val="ctr"/>
        <c:lblOffset val="100"/>
        <c:noMultiLvlLbl val="0"/>
      </c:catAx>
      <c:valAx>
        <c:axId val="76897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Libertine" panose="02000503000000000000" pitchFamily="2" charset="0"/>
                <a:ea typeface="Linux Libertine" panose="02000503000000000000" pitchFamily="2" charset="0"/>
                <a:cs typeface="Linux Libertine" panose="02000503000000000000" pitchFamily="2" charset="0"/>
              </a:defRPr>
            </a:pPr>
            <a:endParaRPr lang="de-DE"/>
          </a:p>
        </c:txPr>
        <c:crossAx val="76897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inux Libertine" panose="02000503000000000000" pitchFamily="2" charset="0"/>
              <a:ea typeface="Linux Libertine" panose="02000503000000000000" pitchFamily="2" charset="0"/>
              <a:cs typeface="Linux Libertine" panose="02000503000000000000" pitchFamily="2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510183811992612"/>
          <c:y val="9.6548330791742756E-2"/>
          <c:w val="0.54536248718744273"/>
          <c:h val="0.7583678731307848"/>
        </c:manualLayout>
      </c:layout>
      <c:radarChart>
        <c:radarStyle val="marker"/>
        <c:varyColors val="0"/>
        <c:ser>
          <c:idx val="0"/>
          <c:order val="0"/>
          <c:tx>
            <c:strRef>
              <c:f>Feedback!$K$3</c:f>
              <c:strCache>
                <c:ptCount val="1"/>
                <c:pt idx="0">
                  <c:v>Used DUUI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bg1"/>
                </a:solidFill>
                <a:ln w="127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B0-4F3C-8A45-11F71AD2AE5C}"/>
              </c:ext>
            </c:extLst>
          </c:dPt>
          <c:cat>
            <c:strRef>
              <c:f>Feedback!$P$1:$T$1</c:f>
              <c:strCache>
                <c:ptCount val="5"/>
                <c:pt idx="0">
                  <c:v>Web interface</c:v>
                </c:pt>
                <c:pt idx="1">
                  <c:v>Requirements</c:v>
                </c:pt>
                <c:pt idx="2">
                  <c:v>Frustration</c:v>
                </c:pt>
                <c:pt idx="3">
                  <c:v>Ease</c:v>
                </c:pt>
                <c:pt idx="4">
                  <c:v>Correction</c:v>
                </c:pt>
              </c:strCache>
            </c:strRef>
          </c:cat>
          <c:val>
            <c:numRef>
              <c:f>Feedback!$P$3:$T$3</c:f>
              <c:numCache>
                <c:formatCode>_(* #,##0.00_);_(* \(#,##0.00\);_(* "-"??_);_(@_)</c:formatCode>
                <c:ptCount val="5"/>
                <c:pt idx="0">
                  <c:v>6.5</c:v>
                </c:pt>
                <c:pt idx="1">
                  <c:v>6.125</c:v>
                </c:pt>
                <c:pt idx="2">
                  <c:v>1.75</c:v>
                </c:pt>
                <c:pt idx="3">
                  <c:v>5.875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B0-4F3C-8A45-11F71AD2AE5C}"/>
            </c:ext>
          </c:extLst>
        </c:ser>
        <c:ser>
          <c:idx val="1"/>
          <c:order val="1"/>
          <c:tx>
            <c:strRef>
              <c:f>Feedback!$K$4</c:f>
              <c:strCache>
                <c:ptCount val="1"/>
                <c:pt idx="0">
                  <c:v>Never used DUUI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cat>
            <c:strRef>
              <c:f>Feedback!$P$1:$T$1</c:f>
              <c:strCache>
                <c:ptCount val="5"/>
                <c:pt idx="0">
                  <c:v>Web interface</c:v>
                </c:pt>
                <c:pt idx="1">
                  <c:v>Requirements</c:v>
                </c:pt>
                <c:pt idx="2">
                  <c:v>Frustration</c:v>
                </c:pt>
                <c:pt idx="3">
                  <c:v>Ease</c:v>
                </c:pt>
                <c:pt idx="4">
                  <c:v>Correction</c:v>
                </c:pt>
              </c:strCache>
            </c:strRef>
          </c:cat>
          <c:val>
            <c:numRef>
              <c:f>Feedback!$P$4:$T$4</c:f>
              <c:numCache>
                <c:formatCode>_(* #,##0.00_);_(* \(#,##0.00\);_(* "-"??_);_(@_)</c:formatCode>
                <c:ptCount val="5"/>
                <c:pt idx="0">
                  <c:v>5.4545454545454541</c:v>
                </c:pt>
                <c:pt idx="1">
                  <c:v>5.4545454545454541</c:v>
                </c:pt>
                <c:pt idx="2">
                  <c:v>2.4545454545454546</c:v>
                </c:pt>
                <c:pt idx="3">
                  <c:v>5.1818181818181817</c:v>
                </c:pt>
                <c:pt idx="4">
                  <c:v>2.2727272727272729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B0-4F3C-8A45-11F71AD2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148560"/>
        <c:axId val="703148920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Feedback!$K$5</c15:sqref>
                        </c15:formulaRef>
                      </c:ext>
                    </c:extLst>
                    <c:strCache>
                      <c:ptCount val="1"/>
                      <c:pt idx="0">
                        <c:v>Progamming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Feedback!$P$1:$T$1</c15:sqref>
                        </c15:formulaRef>
                      </c:ext>
                    </c:extLst>
                    <c:strCache>
                      <c:ptCount val="5"/>
                      <c:pt idx="0">
                        <c:v>Web interface</c:v>
                      </c:pt>
                      <c:pt idx="1">
                        <c:v>Requirements</c:v>
                      </c:pt>
                      <c:pt idx="2">
                        <c:v>Frustration</c:v>
                      </c:pt>
                      <c:pt idx="3">
                        <c:v>Ease</c:v>
                      </c:pt>
                      <c:pt idx="4">
                        <c:v>Correction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Feedback!$P$5:$T$5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6.2857142857142856</c:v>
                      </c:pt>
                      <c:pt idx="1">
                        <c:v>6.2142857142857144</c:v>
                      </c:pt>
                      <c:pt idx="2">
                        <c:v>2</c:v>
                      </c:pt>
                      <c:pt idx="3">
                        <c:v>5.8571428571428568</c:v>
                      </c:pt>
                      <c:pt idx="4">
                        <c:v>1.6428571428571428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21E-45F8-9C03-4FEB9B17B75F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Feedback!$K$6</c15:sqref>
                        </c15:formulaRef>
                      </c:ext>
                    </c:extLst>
                    <c:strCache>
                      <c:ptCount val="1"/>
                      <c:pt idx="0">
                        <c:v>No Programming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Feedback!$P$1:$T$1</c15:sqref>
                        </c15:formulaRef>
                      </c:ext>
                    </c:extLst>
                    <c:strCache>
                      <c:ptCount val="5"/>
                      <c:pt idx="0">
                        <c:v>Web interface</c:v>
                      </c:pt>
                      <c:pt idx="1">
                        <c:v>Requirements</c:v>
                      </c:pt>
                      <c:pt idx="2">
                        <c:v>Frustration</c:v>
                      </c:pt>
                      <c:pt idx="3">
                        <c:v>Ease</c:v>
                      </c:pt>
                      <c:pt idx="4">
                        <c:v>Correction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Feedback!$P$6:$T$6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4.8</c:v>
                      </c:pt>
                      <c:pt idx="1">
                        <c:v>4.4000000000000004</c:v>
                      </c:pt>
                      <c:pt idx="2">
                        <c:v>2.6</c:v>
                      </c:pt>
                      <c:pt idx="3">
                        <c:v>4.4000000000000004</c:v>
                      </c:pt>
                      <c:pt idx="4">
                        <c:v>2.8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1E-45F8-9C03-4FEB9B17B75F}"/>
                  </c:ext>
                </c:extLst>
              </c15:ser>
            </c15:filteredRadarSeries>
          </c:ext>
        </c:extLst>
      </c:radarChart>
      <c:catAx>
        <c:axId val="70314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Libertine" panose="02000503000000000000" pitchFamily="2" charset="0"/>
                <a:ea typeface="Linux Libertine" panose="02000503000000000000" pitchFamily="2" charset="0"/>
                <a:cs typeface="Linux Libertine" panose="02000503000000000000" pitchFamily="2" charset="0"/>
              </a:defRPr>
            </a:pPr>
            <a:endParaRPr lang="de-DE"/>
          </a:p>
        </c:txPr>
        <c:crossAx val="703148920"/>
        <c:crosses val="autoZero"/>
        <c:auto val="1"/>
        <c:lblAlgn val="ctr"/>
        <c:lblOffset val="100"/>
        <c:noMultiLvlLbl val="0"/>
      </c:catAx>
      <c:valAx>
        <c:axId val="703148920"/>
        <c:scaling>
          <c:orientation val="minMax"/>
          <c:max val="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cross"/>
        <c:minorTickMark val="none"/>
        <c:tickLblPos val="low"/>
        <c:spPr>
          <a:noFill/>
          <a:ln>
            <a:solidFill>
              <a:schemeClr val="tx1">
                <a:alpha val="10000"/>
              </a:schemeClr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Libertine" panose="02000503000000000000"/>
                <a:ea typeface="+mn-ea"/>
                <a:cs typeface="+mn-cs"/>
              </a:defRPr>
            </a:pPr>
            <a:endParaRPr lang="de-DE"/>
          </a:p>
        </c:txPr>
        <c:crossAx val="703148560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510183811992612"/>
          <c:y val="9.6548330791742756E-2"/>
          <c:w val="0.54536248718744273"/>
          <c:h val="0.7583678731307848"/>
        </c:manualLayout>
      </c:layout>
      <c:radarChart>
        <c:radarStyle val="marker"/>
        <c:varyColors val="0"/>
        <c:ser>
          <c:idx val="2"/>
          <c:order val="0"/>
          <c:tx>
            <c:strRef>
              <c:f>Feedback!$K$5</c:f>
              <c:strCache>
                <c:ptCount val="1"/>
                <c:pt idx="0">
                  <c:v>Progamming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strRef>
              <c:f>Feedback!$P$1:$T$1</c:f>
              <c:strCache>
                <c:ptCount val="5"/>
                <c:pt idx="0">
                  <c:v>Web interface</c:v>
                </c:pt>
                <c:pt idx="1">
                  <c:v>Requirements</c:v>
                </c:pt>
                <c:pt idx="2">
                  <c:v>Frustration</c:v>
                </c:pt>
                <c:pt idx="3">
                  <c:v>Ease</c:v>
                </c:pt>
                <c:pt idx="4">
                  <c:v>Correction</c:v>
                </c:pt>
              </c:strCache>
              <c:extLst xmlns:c15="http://schemas.microsoft.com/office/drawing/2012/chart"/>
            </c:strRef>
          </c:cat>
          <c:val>
            <c:numRef>
              <c:f>Feedback!$P$5:$T$5</c:f>
              <c:numCache>
                <c:formatCode>_(* #,##0.00_);_(* \(#,##0.00\);_(* "-"??_);_(@_)</c:formatCode>
                <c:ptCount val="5"/>
                <c:pt idx="0">
                  <c:v>6.2857142857142856</c:v>
                </c:pt>
                <c:pt idx="1">
                  <c:v>6.2142857142857144</c:v>
                </c:pt>
                <c:pt idx="2">
                  <c:v>2</c:v>
                </c:pt>
                <c:pt idx="3">
                  <c:v>5.8571428571428568</c:v>
                </c:pt>
                <c:pt idx="4">
                  <c:v>1.6428571428571428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4-9B90-4C76-B7DF-050E03D879D3}"/>
            </c:ext>
          </c:extLst>
        </c:ser>
        <c:ser>
          <c:idx val="3"/>
          <c:order val="1"/>
          <c:tx>
            <c:strRef>
              <c:f>Feedback!$K$6</c:f>
              <c:strCache>
                <c:ptCount val="1"/>
                <c:pt idx="0">
                  <c:v>No Programming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cat>
            <c:strRef>
              <c:f>Feedback!$P$1:$T$1</c:f>
              <c:strCache>
                <c:ptCount val="5"/>
                <c:pt idx="0">
                  <c:v>Web interface</c:v>
                </c:pt>
                <c:pt idx="1">
                  <c:v>Requirements</c:v>
                </c:pt>
                <c:pt idx="2">
                  <c:v>Frustration</c:v>
                </c:pt>
                <c:pt idx="3">
                  <c:v>Ease</c:v>
                </c:pt>
                <c:pt idx="4">
                  <c:v>Correction</c:v>
                </c:pt>
              </c:strCache>
              <c:extLst xmlns:c15="http://schemas.microsoft.com/office/drawing/2012/chart"/>
            </c:strRef>
          </c:cat>
          <c:val>
            <c:numRef>
              <c:f>Feedback!$P$6:$T$6</c:f>
              <c:numCache>
                <c:formatCode>_(* #,##0.00_);_(* \(#,##0.00\);_(* "-"??_);_(@_)</c:formatCode>
                <c:ptCount val="5"/>
                <c:pt idx="0">
                  <c:v>4.8</c:v>
                </c:pt>
                <c:pt idx="1">
                  <c:v>4.4000000000000004</c:v>
                </c:pt>
                <c:pt idx="2">
                  <c:v>2.6</c:v>
                </c:pt>
                <c:pt idx="3">
                  <c:v>4.4000000000000004</c:v>
                </c:pt>
                <c:pt idx="4">
                  <c:v>2.8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9B90-4C76-B7DF-050E03D87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148560"/>
        <c:axId val="703148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Feedback!$K$3</c15:sqref>
                        </c15:formulaRef>
                      </c:ext>
                    </c:extLst>
                    <c:strCache>
                      <c:ptCount val="1"/>
                      <c:pt idx="0">
                        <c:v>Used DUUI</c:v>
                      </c:pt>
                    </c:strCache>
                  </c:strRef>
                </c:tx>
                <c:spPr>
                  <a:ln w="127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/>
                    </a:solidFill>
                    <a:ln w="12700">
                      <a:solidFill>
                        <a:schemeClr val="accent1"/>
                      </a:solidFill>
                    </a:ln>
                    <a:effectLst/>
                  </c:spPr>
                </c:marker>
                <c:dPt>
                  <c:idx val="8"/>
                  <c:marker>
                    <c:symbol val="circle"/>
                    <c:size val="5"/>
                    <c:spPr>
                      <a:solidFill>
                        <a:schemeClr val="bg1"/>
                      </a:solidFill>
                      <a:ln w="12700">
                        <a:solidFill>
                          <a:schemeClr val="accent1"/>
                        </a:solidFill>
                      </a:ln>
                      <a:effectLst/>
                    </c:spPr>
                  </c:marker>
                  <c:bubble3D val="0"/>
                  <c:spPr>
                    <a:ln w="12700" cap="rnd">
                      <a:solidFill>
                        <a:schemeClr val="accent1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9B90-4C76-B7DF-050E03D879D3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Feedback!$P$1:$T$1</c15:sqref>
                        </c15:formulaRef>
                      </c:ext>
                    </c:extLst>
                    <c:strCache>
                      <c:ptCount val="5"/>
                      <c:pt idx="0">
                        <c:v>Web interface</c:v>
                      </c:pt>
                      <c:pt idx="1">
                        <c:v>Requirements</c:v>
                      </c:pt>
                      <c:pt idx="2">
                        <c:v>Frustration</c:v>
                      </c:pt>
                      <c:pt idx="3">
                        <c:v>Ease</c:v>
                      </c:pt>
                      <c:pt idx="4">
                        <c:v>Correction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Feedback!$P$3:$T$3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6.5</c:v>
                      </c:pt>
                      <c:pt idx="1">
                        <c:v>6.125</c:v>
                      </c:pt>
                      <c:pt idx="2">
                        <c:v>1.75</c:v>
                      </c:pt>
                      <c:pt idx="3">
                        <c:v>5.875</c:v>
                      </c:pt>
                      <c:pt idx="4">
                        <c:v>1.5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B90-4C76-B7DF-050E03D879D3}"/>
                  </c:ext>
                </c:extLst>
              </c15:ser>
            </c15:filteredRadarSeries>
            <c15:filteredRad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Feedback!$K$4</c15:sqref>
                        </c15:formulaRef>
                      </c:ext>
                    </c:extLst>
                    <c:strCache>
                      <c:ptCount val="1"/>
                      <c:pt idx="0">
                        <c:v>Never used DUUI</c:v>
                      </c:pt>
                    </c:strCache>
                  </c:strRef>
                </c:tx>
                <c:spPr>
                  <a:ln w="127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/>
                    </a:solidFill>
                    <a:ln w="12700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Feedback!$P$1:$T$1</c15:sqref>
                        </c15:formulaRef>
                      </c:ext>
                    </c:extLst>
                    <c:strCache>
                      <c:ptCount val="5"/>
                      <c:pt idx="0">
                        <c:v>Web interface</c:v>
                      </c:pt>
                      <c:pt idx="1">
                        <c:v>Requirements</c:v>
                      </c:pt>
                      <c:pt idx="2">
                        <c:v>Frustration</c:v>
                      </c:pt>
                      <c:pt idx="3">
                        <c:v>Ease</c:v>
                      </c:pt>
                      <c:pt idx="4">
                        <c:v>Correction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Feedback!$P$4:$T$4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5.4545454545454541</c:v>
                      </c:pt>
                      <c:pt idx="1">
                        <c:v>5.4545454545454541</c:v>
                      </c:pt>
                      <c:pt idx="2">
                        <c:v>2.4545454545454546</c:v>
                      </c:pt>
                      <c:pt idx="3">
                        <c:v>5.1818181818181817</c:v>
                      </c:pt>
                      <c:pt idx="4">
                        <c:v>2.2727272727272729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B90-4C76-B7DF-050E03D879D3}"/>
                  </c:ext>
                </c:extLst>
              </c15:ser>
            </c15:filteredRadarSeries>
          </c:ext>
        </c:extLst>
      </c:radarChart>
      <c:catAx>
        <c:axId val="70314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Libertine" panose="02000503000000000000" pitchFamily="2" charset="0"/>
                <a:ea typeface="Linux Libertine" panose="02000503000000000000" pitchFamily="2" charset="0"/>
                <a:cs typeface="Linux Libertine" panose="02000503000000000000" pitchFamily="2" charset="0"/>
              </a:defRPr>
            </a:pPr>
            <a:endParaRPr lang="de-DE"/>
          </a:p>
        </c:txPr>
        <c:crossAx val="703148920"/>
        <c:crosses val="autoZero"/>
        <c:auto val="1"/>
        <c:lblAlgn val="ctr"/>
        <c:lblOffset val="100"/>
        <c:noMultiLvlLbl val="0"/>
      </c:catAx>
      <c:valAx>
        <c:axId val="703148920"/>
        <c:scaling>
          <c:orientation val="minMax"/>
          <c:max val="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cross"/>
        <c:minorTickMark val="none"/>
        <c:tickLblPos val="low"/>
        <c:spPr>
          <a:noFill/>
          <a:ln>
            <a:solidFill>
              <a:schemeClr val="tx1">
                <a:alpha val="10000"/>
              </a:schemeClr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Libertine" panose="02000503000000000000"/>
                <a:ea typeface="+mn-ea"/>
                <a:cs typeface="+mn-cs"/>
              </a:defRPr>
            </a:pPr>
            <a:endParaRPr lang="de-DE"/>
          </a:p>
        </c:txPr>
        <c:crossAx val="703148560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Linux Libertine" panose="02000503000000000000" pitchFamily="2" charset="0"/>
              <a:ea typeface="Linux Libertine" panose="02000503000000000000" pitchFamily="2" charset="0"/>
              <a:cs typeface="Linux Libertine" panose="02000503000000000000" pitchFamily="2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Daten!$Q$1</c:f>
              <c:strCache>
                <c:ptCount val="1"/>
                <c:pt idx="0">
                  <c:v>Korrellationen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Linux Libertine" panose="02000503000000000000" pitchFamily="2" charset="0"/>
                    <a:ea typeface="Linux Libertine" panose="02000503000000000000" pitchFamily="2" charset="0"/>
                    <a:cs typeface="Linux Libertine" panose="02000503000000000000" pitchFamily="2" charset="0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Daten!$O$2:$P$7</c:f>
              <c:multiLvlStrCache>
                <c:ptCount val="6"/>
                <c:lvl>
                  <c:pt idx="0">
                    <c:v>duuiRating</c:v>
                  </c:pt>
                  <c:pt idx="1">
                    <c:v>duuiRating</c:v>
                  </c:pt>
                  <c:pt idx="2">
                    <c:v>duuiRating</c:v>
                  </c:pt>
                  <c:pt idx="3">
                    <c:v>duuiRating</c:v>
                  </c:pt>
                  <c:pt idx="4">
                    <c:v>duuiRating</c:v>
                  </c:pt>
                  <c:pt idx="5">
                    <c:v>duuiRating</c:v>
                  </c:pt>
                </c:lvl>
                <c:lvl>
                  <c:pt idx="0">
                    <c:v>NLP</c:v>
                  </c:pt>
                  <c:pt idx="1">
                    <c:v>Frustration</c:v>
                  </c:pt>
                  <c:pt idx="2">
                    <c:v>Ease</c:v>
                  </c:pt>
                  <c:pt idx="3">
                    <c:v>Programming</c:v>
                  </c:pt>
                  <c:pt idx="4">
                    <c:v>Correction</c:v>
                  </c:pt>
                  <c:pt idx="5">
                    <c:v>Requirements</c:v>
                  </c:pt>
                </c:lvl>
              </c:multiLvlStrCache>
            </c:multiLvlStrRef>
          </c:cat>
          <c:val>
            <c:numRef>
              <c:f>Daten!$Q$2:$Q$7</c:f>
              <c:numCache>
                <c:formatCode>#,##0.00\ </c:formatCode>
                <c:ptCount val="6"/>
                <c:pt idx="0">
                  <c:v>0.42859492805025129</c:v>
                </c:pt>
                <c:pt idx="1">
                  <c:v>-0.68941302435293528</c:v>
                </c:pt>
                <c:pt idx="2">
                  <c:v>0.75172960737049754</c:v>
                </c:pt>
                <c:pt idx="3">
                  <c:v>0.52497980167365144</c:v>
                </c:pt>
                <c:pt idx="4">
                  <c:v>-0.82813094725463887</c:v>
                </c:pt>
                <c:pt idx="5">
                  <c:v>0.91458909887384243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7-4245-B458-A45ADDD1D3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69273520"/>
        <c:axId val="669268480"/>
      </c:barChart>
      <c:catAx>
        <c:axId val="66927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accent1"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Libertine" panose="02000503000000000000" pitchFamily="2" charset="0"/>
                <a:ea typeface="Linux Libertine" panose="02000503000000000000" pitchFamily="2" charset="0"/>
                <a:cs typeface="Linux Libertine" panose="02000503000000000000" pitchFamily="2" charset="0"/>
              </a:defRPr>
            </a:pPr>
            <a:endParaRPr lang="de-DE"/>
          </a:p>
        </c:txPr>
        <c:crossAx val="669268480"/>
        <c:crosses val="autoZero"/>
        <c:auto val="1"/>
        <c:lblAlgn val="ctr"/>
        <c:lblOffset val="100"/>
        <c:noMultiLvlLbl val="0"/>
      </c:catAx>
      <c:valAx>
        <c:axId val="669268480"/>
        <c:scaling>
          <c:orientation val="minMax"/>
        </c:scaling>
        <c:delete val="1"/>
        <c:axPos val="l"/>
        <c:numFmt formatCode="#,##0.00\ " sourceLinked="1"/>
        <c:majorTickMark val="none"/>
        <c:minorTickMark val="none"/>
        <c:tickLblPos val="nextTo"/>
        <c:crossAx val="66927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943614</xdr:colOff>
      <xdr:row>3</xdr:row>
      <xdr:rowOff>33995</xdr:rowOff>
    </xdr:from>
    <xdr:to>
      <xdr:col>9</xdr:col>
      <xdr:colOff>257019</xdr:colOff>
      <xdr:row>12</xdr:row>
      <xdr:rowOff>208703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CBF1E8F-408D-7DD4-EC8B-C541422A79D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964344</xdr:colOff>
      <xdr:row>7</xdr:row>
      <xdr:rowOff>335439</xdr:rowOff>
    </xdr:from>
    <xdr:to>
      <xdr:col>24</xdr:col>
      <xdr:colOff>24701</xdr:colOff>
      <xdr:row>17</xdr:row>
      <xdr:rowOff>149470</xdr:rowOff>
    </xdr:to>
    <xdr:grpSp>
      <xdr:nvGrpSpPr>
        <xdr:cNvPr id="8" name="Gruppieren 7">
          <a:extLst>
            <a:ext uri="{FF2B5EF4-FFF2-40B4-BE49-F238E27FC236}">
              <a16:creationId xmlns:a16="http://schemas.microsoft.com/office/drawing/2014/main" id="{E963D84D-600C-0FA7-6BB4-E754017618AE}"/>
            </a:ext>
          </a:extLst>
        </xdr:cNvPr>
        <xdr:cNvGrpSpPr/>
      </xdr:nvGrpSpPr>
      <xdr:grpSpPr>
        <a:xfrm>
          <a:off x="11535301" y="3000534"/>
          <a:ext cx="10314649" cy="3625936"/>
          <a:chOff x="19168524" y="3002439"/>
          <a:chExt cx="10322717" cy="3624031"/>
        </a:xfrm>
      </xdr:grpSpPr>
      <xdr:graphicFrame macro="">
        <xdr:nvGraphicFramePr>
          <xdr:cNvPr id="3" name="Diagramm 2">
            <a:extLst>
              <a:ext uri="{FF2B5EF4-FFF2-40B4-BE49-F238E27FC236}">
                <a16:creationId xmlns:a16="http://schemas.microsoft.com/office/drawing/2014/main" id="{2FDADE07-723B-4587-8CCF-DCDA506D1C91}"/>
              </a:ext>
            </a:extLst>
          </xdr:cNvPr>
          <xdr:cNvGraphicFramePr>
            <a:graphicFrameLocks noChangeAspect="1"/>
          </xdr:cNvGraphicFramePr>
        </xdr:nvGraphicFramePr>
        <xdr:xfrm>
          <a:off x="19168524" y="3004680"/>
          <a:ext cx="5113517" cy="361954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7" name="Diagramm 6">
            <a:extLst>
              <a:ext uri="{FF2B5EF4-FFF2-40B4-BE49-F238E27FC236}">
                <a16:creationId xmlns:a16="http://schemas.microsoft.com/office/drawing/2014/main" id="{94EDC3D8-EE70-4179-996F-09E2DB9E805D}"/>
              </a:ext>
            </a:extLst>
          </xdr:cNvPr>
          <xdr:cNvGraphicFramePr>
            <a:graphicFrameLocks noChangeAspect="1"/>
          </xdr:cNvGraphicFramePr>
        </xdr:nvGraphicFramePr>
        <xdr:xfrm>
          <a:off x="24396551" y="3002439"/>
          <a:ext cx="5094690" cy="362403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113628</xdr:colOff>
      <xdr:row>1</xdr:row>
      <xdr:rowOff>6387</xdr:rowOff>
    </xdr:from>
    <xdr:to>
      <xdr:col>27</xdr:col>
      <xdr:colOff>442541</xdr:colOff>
      <xdr:row>21</xdr:row>
      <xdr:rowOff>11542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7C30AEB-F3BF-7D5F-967A-717CD48AB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9AE55-2843-44F8-9C4B-AE41E496DD4A}" name="Daten" displayName="Daten" ref="A1:M20" totalsRowShown="0" headerRowDxfId="14" dataDxfId="13">
  <autoFilter ref="A1:M20" xr:uid="{13E9AE55-2843-44F8-9C4B-AE41E496DD4A}"/>
  <sortState xmlns:xlrd2="http://schemas.microsoft.com/office/spreadsheetml/2017/richdata2" ref="A2:M16">
    <sortCondition ref="L2:L16"/>
  </sortState>
  <tableColumns count="13">
    <tableColumn id="1" xr3:uid="{6E737BC3-A2BE-4747-A221-E822D514C2BE}" name="programming" dataDxfId="12" dataCellStyle="Komma"/>
    <tableColumn id="2" xr3:uid="{056C9CFD-D5E0-4FA6-AEFE-95C5B8DDB0FD}" name="java" dataDxfId="11" dataCellStyle="Komma"/>
    <tableColumn id="3" xr3:uid="{55701ED4-76F1-40CC-AEB4-CF59885C97F6}" name="python" dataDxfId="10" dataCellStyle="Komma"/>
    <tableColumn id="11" xr3:uid="{3A065C6D-2073-4B37-8196-6CF41A033CA8}" name="duuiUsedBefore" dataDxfId="9" dataCellStyle="Komma"/>
    <tableColumn id="9" xr3:uid="{C1909844-1051-4E53-BD96-B53EBE9E8D91}" name="duuiRating" dataDxfId="8" dataCellStyle="Komma"/>
    <tableColumn id="4" xr3:uid="{C726CCC4-4A27-43D0-BA49-8F903E1290A6}" name="nlp" dataDxfId="7" dataCellStyle="Komma"/>
    <tableColumn id="10" xr3:uid="{5B7F40DB-57CA-4D84-A037-664938AF36E7}" name="interestedInUsingNLP" dataDxfId="6"/>
    <tableColumn id="5" xr3:uid="{0C465086-D0C9-4AF6-BA5B-102FE7C5714E}" name="requirements" dataDxfId="5" dataCellStyle="Komma"/>
    <tableColumn id="6" xr3:uid="{DA8E1ECA-DDB5-4A21-8560-FA15D4EEAB39}" name="frustration" dataDxfId="4" dataCellStyle="Komma"/>
    <tableColumn id="7" xr3:uid="{D67CA7CF-6A9F-42E9-A1AA-42A9F43968F3}" name="correction" dataDxfId="3" dataCellStyle="Komma"/>
    <tableColumn id="8" xr3:uid="{769E4C0E-8A12-4AC8-BD2D-8828983257D6}" name="ease" dataDxfId="2" dataCellStyle="Komma"/>
    <tableColumn id="12" xr3:uid="{122B2669-49AD-4F42-9E7B-CCE505B8D6E3}" name="timestamp" dataDxfId="1"/>
    <tableColumn id="13" xr3:uid="{97E33FD6-43DE-4BE0-90EC-322BC36C7CA4}" name="UMUX" dataDxfId="0" dataCellStyle="Komma">
      <calculatedColumnFormula>(H2-1+7-I2+K2-1+7-J2)/24*100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showGridLines="0" zoomScale="85" zoomScaleNormal="8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K12" sqref="K12"/>
    </sheetView>
  </sheetViews>
  <sheetFormatPr baseColWidth="10" defaultRowHeight="30" customHeight="1" x14ac:dyDescent="0.3"/>
  <cols>
    <col min="1" max="1" width="11.5546875" style="1"/>
    <col min="2" max="2" width="19.6640625" style="1" customWidth="1"/>
    <col min="3" max="3" width="14.5546875" style="1" customWidth="1"/>
    <col min="4" max="4" width="15.5546875" style="1" customWidth="1"/>
    <col min="5" max="5" width="16.88671875" style="1" customWidth="1"/>
    <col min="6" max="6" width="11.5546875" style="1"/>
    <col min="7" max="7" width="16.33203125" style="1" customWidth="1"/>
    <col min="8" max="9" width="16.88671875" style="1" customWidth="1"/>
    <col min="10" max="10" width="13.77734375" style="1" customWidth="1"/>
    <col min="11" max="11" width="25.5546875" style="1" customWidth="1"/>
    <col min="12" max="12" width="23.5546875" style="1" hidden="1" customWidth="1"/>
    <col min="13" max="13" width="13.77734375" style="1" hidden="1" customWidth="1"/>
    <col min="14" max="14" width="19.77734375" style="1" hidden="1" customWidth="1"/>
    <col min="15" max="15" width="14.21875" style="1" hidden="1" customWidth="1"/>
    <col min="16" max="16" width="14.21875" style="1" customWidth="1"/>
    <col min="17" max="19" width="16" style="1" customWidth="1"/>
    <col min="20" max="20" width="16" customWidth="1"/>
    <col min="21" max="22" width="16" style="1" customWidth="1"/>
    <col min="23" max="24" width="14.21875" style="1" customWidth="1"/>
    <col min="25" max="25" width="11.5546875" style="1"/>
    <col min="26" max="27" width="18.5546875" style="1" customWidth="1"/>
    <col min="28" max="16384" width="11.5546875" style="1"/>
  </cols>
  <sheetData>
    <row r="1" spans="1:30" ht="30" customHeight="1" x14ac:dyDescent="0.3">
      <c r="A1" s="3" t="s">
        <v>24</v>
      </c>
      <c r="B1" s="7">
        <v>45363</v>
      </c>
      <c r="D1" s="2" t="s">
        <v>38</v>
      </c>
      <c r="E1" s="2" t="s">
        <v>12</v>
      </c>
      <c r="F1" s="8" t="s">
        <v>13</v>
      </c>
      <c r="G1" s="8" t="s">
        <v>14</v>
      </c>
      <c r="H1" s="2" t="s">
        <v>15</v>
      </c>
      <c r="I1" s="2" t="s">
        <v>22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29</v>
      </c>
      <c r="Q1" s="3" t="s">
        <v>18</v>
      </c>
      <c r="R1" s="3" t="s">
        <v>19</v>
      </c>
      <c r="S1" s="3" t="s">
        <v>21</v>
      </c>
      <c r="T1" s="3" t="s">
        <v>20</v>
      </c>
      <c r="U1" s="3" t="s">
        <v>23</v>
      </c>
      <c r="V1" s="3" t="s">
        <v>36</v>
      </c>
      <c r="W1" s="3" t="s">
        <v>37</v>
      </c>
      <c r="Y1" s="3"/>
      <c r="Z1" s="3"/>
      <c r="AA1" s="3"/>
      <c r="AB1" s="3"/>
      <c r="AC1" s="3"/>
      <c r="AD1" s="3"/>
    </row>
    <row r="2" spans="1:30" ht="30" customHeight="1" x14ac:dyDescent="0.3">
      <c r="A2" s="3" t="s">
        <v>26</v>
      </c>
      <c r="B2" s="4" cm="1">
        <f t="array" ref="B2">COUNTA(_xlfn._xlws.FILTER(Daten[timestamp],Daten[timestamp]&gt;=$B$1))</f>
        <v>19</v>
      </c>
      <c r="D2" s="6" t="s">
        <v>16</v>
      </c>
      <c r="E2" s="4">
        <f>COUNTIFS(Daten[[timestamp]:[timestamp]],"&gt;="&amp;$B$1,Daten[programming],"&gt;4")</f>
        <v>14</v>
      </c>
      <c r="F2" s="4">
        <f>COUNTIFS(Daten[[timestamp]:[timestamp]],"&gt;="&amp;$B$1,Daten[java],"&gt;4")</f>
        <v>10</v>
      </c>
      <c r="G2" s="4">
        <f>COUNTIFS(Daten[[timestamp]:[timestamp]],"&gt;="&amp;$B$1,Daten[python],"&gt;4")</f>
        <v>13</v>
      </c>
      <c r="H2" s="4">
        <f>COUNTIFS(Daten[[timestamp]:[timestamp]],"&gt;="&amp;$B$1,Daten[nlp],"&gt;4")</f>
        <v>8</v>
      </c>
      <c r="I2" s="4">
        <f>COUNTIFS(Daten[[timestamp]:[timestamp]],"&gt;="&amp;$B$1,Daten[duuiUsedBefore],"True")</f>
        <v>8</v>
      </c>
      <c r="K2" s="11" t="s">
        <v>33</v>
      </c>
      <c r="L2" s="5">
        <f>IFERROR(AVERAGEIF(Daten[[timestamp]:[timestamp]],"&gt;="&amp;$B$1,Daten[programming]),0)</f>
        <v>5.5263157894736841</v>
      </c>
      <c r="M2" s="5">
        <f>IFERROR(AVERAGEIF(Daten[[timestamp]:[timestamp]],"&gt;="&amp;$B$1,Daten[java]),0)</f>
        <v>4.2105263157894735</v>
      </c>
      <c r="N2" s="5">
        <f>IFERROR(AVERAGEIF(Daten[[timestamp]:[timestamp]],"&gt;="&amp;$B$1,Daten[python]),0)</f>
        <v>5.1052631578947372</v>
      </c>
      <c r="O2" s="5">
        <f>IFERROR(AVERAGEIF(Daten[[timestamp]:[timestamp]],"&gt;="&amp;$B$1,Daten[nlp]),0)</f>
        <v>3.6842105263157894</v>
      </c>
      <c r="P2" s="5">
        <f>IFERROR(AVERAGEIF(Daten[[timestamp]:[timestamp]],"&gt;="&amp;$B$1,Daten[duuiRating]),0)</f>
        <v>5.8947368421052628</v>
      </c>
      <c r="Q2" s="5">
        <f>IFERROR(AVERAGEIF(Daten[[timestamp]:[timestamp]],"&gt;="&amp;$B$1,Daten[requirements]),0)</f>
        <v>5.7368421052631575</v>
      </c>
      <c r="R2" s="5">
        <f>IFERROR(AVERAGEIF(Daten[[timestamp]:[timestamp]],"&gt;="&amp;$B$1,Daten[frustration]),0)</f>
        <v>2.1578947368421053</v>
      </c>
      <c r="S2" s="5">
        <f>IFERROR(AVERAGEIF(Daten[[timestamp]:[timestamp]],"&gt;="&amp;$B$1,Daten[ease]),0)</f>
        <v>5.4736842105263159</v>
      </c>
      <c r="T2" s="5">
        <f>IFERROR(AVERAGEIF(Daten[[timestamp]:[timestamp]],"&gt;="&amp;$B$1,Daten[correction]),0)</f>
        <v>1.9473684210526316</v>
      </c>
      <c r="U2" s="5">
        <f>IFERROR(AVERAGEIF(Daten[[timestamp]:[timestamp]],"&gt;="&amp;$B$1,Daten[UMUX]),0)</f>
        <v>79.60526315789474</v>
      </c>
      <c r="V2" s="9">
        <f>IFERROR(COUNTIF(Daten[[timestamp]:[timestamp]],"&gt;="&amp;$B$1),0)</f>
        <v>19</v>
      </c>
      <c r="W2" s="5" cm="1">
        <f t="array" ref="W2">IFERROR(AVEDEV(_xlfn._xlws.FILTER(Daten[UMUX],(Daten[[timestamp]:[timestamp]]&gt;=$B$1))),0)</f>
        <v>14.796860572483839</v>
      </c>
      <c r="Y2" s="5"/>
      <c r="Z2" s="5"/>
      <c r="AA2" s="5"/>
      <c r="AB2" s="5"/>
      <c r="AC2" s="5"/>
      <c r="AD2" s="5"/>
    </row>
    <row r="3" spans="1:30" ht="30" customHeight="1" x14ac:dyDescent="0.3">
      <c r="D3" s="6" t="s">
        <v>17</v>
      </c>
      <c r="E3" s="4">
        <f>COUNTIFS(Daten[[timestamp]:[timestamp]],"&gt;="&amp;$B$1,Daten[programming],"&lt;=4")</f>
        <v>5</v>
      </c>
      <c r="F3" s="4">
        <f>COUNTIFS(Daten[[timestamp]:[timestamp]],"&gt;="&amp;$B$1,Daten[java],"&lt;=4")</f>
        <v>9</v>
      </c>
      <c r="G3" s="4">
        <f>COUNTIFS(Daten[[timestamp]:[timestamp]],"&gt;="&amp;$B$1,Daten[python],"&lt;=4")</f>
        <v>6</v>
      </c>
      <c r="H3" s="4">
        <f>COUNTIFS(Daten[[timestamp]:[timestamp]],"&gt;="&amp;$B$1,Daten[nlp],"&lt;=4")</f>
        <v>11</v>
      </c>
      <c r="I3" s="4">
        <f>COUNTIFS(Daten[[timestamp]:[timestamp]],"&gt;="&amp;$B$1,Daten[duuiUsedBefore],"False")</f>
        <v>11</v>
      </c>
      <c r="K3" s="11" t="s">
        <v>27</v>
      </c>
      <c r="L3" s="5">
        <f>IFERROR(AVERAGEIFS(Daten[programming],Daten[[timestamp]:[timestamp]],"&gt;="&amp;$B$1,Daten[[duuiUsedBefore]:[duuiUsedBefore]],"True"),0)</f>
        <v>6.125</v>
      </c>
      <c r="M3" s="5"/>
      <c r="N3" s="5"/>
      <c r="O3" s="5"/>
      <c r="P3" s="5">
        <f>IFERROR(AVERAGEIFS(Daten[duuiRating],Daten[[timestamp]:[timestamp]],"&gt;="&amp;$B$1,Daten[[duuiUsedBefore]:[duuiUsedBefore]],"True"),0)</f>
        <v>6.5</v>
      </c>
      <c r="Q3" s="5">
        <f>IFERROR(AVERAGEIFS(Daten[requirements],Daten[[timestamp]:[timestamp]],"&gt;="&amp;$B$1,Daten[[duuiUsedBefore]:[duuiUsedBefore]],"True"),0)</f>
        <v>6.125</v>
      </c>
      <c r="R3" s="5">
        <f>IFERROR(AVERAGEIFS(Daten[frustration],Daten[[timestamp]:[timestamp]],"&gt;="&amp;$B$1,Daten[[duuiUsedBefore]:[duuiUsedBefore]],"True"),0)</f>
        <v>1.75</v>
      </c>
      <c r="S3" s="5">
        <f>IFERROR(AVERAGEIFS(Daten[ease],Daten[[timestamp]:[timestamp]],"&gt;="&amp;$B$1,Daten[[duuiUsedBefore]:[duuiUsedBefore]],"True"),0)</f>
        <v>5.875</v>
      </c>
      <c r="T3" s="5">
        <f>IFERROR(AVERAGEIFS(Daten[correction],Daten[[timestamp]:[timestamp]],"&gt;="&amp;$B$1,Daten[[duuiUsedBefore]:[duuiUsedBefore]],"True"),0)</f>
        <v>1.5</v>
      </c>
      <c r="U3" s="5">
        <f>IFERROR(AVERAGEIFS(Daten[UMUX],Daten[[timestamp]:[timestamp]],"&gt;="&amp;$B$1,Daten[[duuiUsedBefore]:[duuiUsedBefore]],"True"),0)</f>
        <v>86.458333333333343</v>
      </c>
      <c r="V3" s="9">
        <f>IFERROR(COUNTIFS(Daten[[timestamp]:[timestamp]],"&gt;="&amp;$B$1,Daten[duuiUsedBefore],"True"),0)</f>
        <v>8</v>
      </c>
      <c r="W3" s="5" cm="1">
        <f t="array" ref="W3">IFERROR(AVEDEV(_xlfn._xlws.FILTER(Daten[UMUX],(Daten[[timestamp]:[timestamp]]&gt;=$B$1)*(Daten[duuiUsedBefore]="True"))),0)</f>
        <v>6.7708333333333286</v>
      </c>
    </row>
    <row r="4" spans="1:30" ht="30" customHeight="1" x14ac:dyDescent="0.3">
      <c r="E4" s="42"/>
      <c r="K4" s="11" t="s">
        <v>28</v>
      </c>
      <c r="L4" s="5"/>
      <c r="M4" s="5"/>
      <c r="N4" s="5"/>
      <c r="O4" s="5"/>
      <c r="P4" s="5">
        <f>IFERROR(AVERAGEIFS(Daten[duuiRating],Daten[[timestamp]:[timestamp]],"&gt;="&amp;$B$1,Daten[[duuiUsedBefore]:[duuiUsedBefore]],"False"),0)</f>
        <v>5.4545454545454541</v>
      </c>
      <c r="Q4" s="5">
        <f>IFERROR(AVERAGEIFS(Daten[requirements],Daten[[timestamp]:[timestamp]],"&gt;="&amp;$B$1,Daten[[duuiUsedBefore]:[duuiUsedBefore]],"False"),0)</f>
        <v>5.4545454545454541</v>
      </c>
      <c r="R4" s="5">
        <f>IFERROR(AVERAGEIFS(Daten[frustration],Daten[[timestamp]:[timestamp]],"&gt;="&amp;$B$1,Daten[[duuiUsedBefore]:[duuiUsedBefore]],"False"),0)</f>
        <v>2.4545454545454546</v>
      </c>
      <c r="S4" s="5">
        <f>IFERROR(AVERAGEIFS(Daten[ease],Daten[[timestamp]:[timestamp]],"&gt;="&amp;$B$1,Daten[[duuiUsedBefore]:[duuiUsedBefore]],"False"),0)</f>
        <v>5.1818181818181817</v>
      </c>
      <c r="T4" s="5">
        <f>IFERROR(AVERAGEIFS(Daten[correction],Daten[[timestamp]:[timestamp]],"&gt;="&amp;$B$1,Daten[[duuiUsedBefore]:[duuiUsedBefore]],"False"),0)</f>
        <v>2.2727272727272729</v>
      </c>
      <c r="U4" s="5">
        <f>IFERROR(AVERAGEIFS(Daten[UMUX],Daten[[timestamp]:[timestamp]],"&gt;="&amp;$B$1,Daten[[duuiUsedBefore]:[duuiUsedBefore]],"False"),0)</f>
        <v>74.62121212121211</v>
      </c>
      <c r="V4" s="1">
        <f>IFERROR(COUNTIFS(Daten[[timestamp]:[timestamp]],"&gt;="&amp;$B$1,Daten[duuiUsedBefore],"False"),0)</f>
        <v>11</v>
      </c>
      <c r="W4" s="5" cm="1">
        <f t="array" ref="W4">IFERROR(AVEDEV(_xlfn._xlws.FILTER(Daten[UMUX],(Daten[[timestamp]:[timestamp]]&gt;=$B$1)*(Daten[duuiUsedBefore]="False"))),0)</f>
        <v>18.663911845730027</v>
      </c>
    </row>
    <row r="5" spans="1:30" ht="30" customHeight="1" x14ac:dyDescent="0.3">
      <c r="K5" s="11" t="s">
        <v>34</v>
      </c>
      <c r="P5" s="5">
        <f>IFERROR(AVERAGEIFS(Daten[duuiRating],Daten[[timestamp]:[timestamp]],"&gt;="&amp;$B$1,Daten[[programming]:[programming]],"&gt;4"),0)</f>
        <v>6.2857142857142856</v>
      </c>
      <c r="Q5" s="5">
        <f>IFERROR(AVERAGEIFS(Daten[requirements],Daten[[timestamp]:[timestamp]],"&gt;="&amp;$B$1,Daten[[programming]:[programming]],"&gt;4"),0)</f>
        <v>6.2142857142857144</v>
      </c>
      <c r="R5" s="5">
        <f>IFERROR(AVERAGEIFS(Daten[frustration],Daten[[timestamp]:[timestamp]],"&gt;="&amp;$B$1,Daten[[programming]:[programming]],"&gt;4"),0)</f>
        <v>2</v>
      </c>
      <c r="S5" s="5">
        <f>IFERROR(AVERAGEIFS(Daten[ease],Daten[[timestamp]:[timestamp]],"&gt;="&amp;$B$1,Daten[[programming]:[programming]],"&gt;4"),0)</f>
        <v>5.8571428571428568</v>
      </c>
      <c r="T5" s="5">
        <f>IFERROR(AVERAGEIFS(Daten[correction],Daten[[timestamp]:[timestamp]],"&gt;="&amp;$B$1,Daten[[programming]:[programming]],"&gt;4"),0)</f>
        <v>1.6428571428571428</v>
      </c>
      <c r="U5" s="5">
        <f>IFERROR(AVERAGEIFS(Daten[UMUX],Daten[[timestamp]:[timestamp]],"&gt;="&amp;$B$1,Daten[[programming]:[programming]],"&gt;4"),0)</f>
        <v>85.11904761904762</v>
      </c>
      <c r="V5" s="1">
        <f>IFERROR(COUNTIFS(Daten[[timestamp]:[timestamp]],"&gt;="&amp;$B$1,Daten[programming],"&gt;4"),0)</f>
        <v>14</v>
      </c>
      <c r="W5" s="5" cm="1">
        <f t="array" ref="W5">IFERROR(AVEDEV(_xlfn._xlws.FILTER(Daten[UMUX],(Daten[[timestamp]:[timestamp]]&gt;=$B$1)*(Daten[programming]&gt;4))),0)</f>
        <v>8.7585034013605458</v>
      </c>
    </row>
    <row r="6" spans="1:30" ht="30" customHeight="1" x14ac:dyDescent="0.3">
      <c r="K6" s="11" t="s">
        <v>35</v>
      </c>
      <c r="P6" s="5">
        <f>IFERROR(AVERAGEIFS(Daten[duuiRating],Daten[[timestamp]:[timestamp]],"&gt;="&amp;$B$1,Daten[[programming]:[programming]],"&lt;=4"),0)</f>
        <v>4.8</v>
      </c>
      <c r="Q6" s="5">
        <f>IFERROR(AVERAGEIFS(Daten[requirements],Daten[[timestamp]:[timestamp]],"&gt;="&amp;$B$1,Daten[[programming]:[programming]],"&lt;=4"),0)</f>
        <v>4.4000000000000004</v>
      </c>
      <c r="R6" s="5">
        <f>IFERROR(AVERAGEIFS(Daten[frustration],Daten[[timestamp]:[timestamp]],"&gt;="&amp;$B$1,Daten[[programming]:[programming]],"&lt;=4"),0)</f>
        <v>2.6</v>
      </c>
      <c r="S6" s="5">
        <f>IFERROR(AVERAGEIFS(Daten[ease],Daten[[timestamp]:[timestamp]],"&gt;="&amp;$B$1,Daten[[programming]:[programming]],"&lt;=4"),0)</f>
        <v>4.4000000000000004</v>
      </c>
      <c r="T6" s="5">
        <f>IFERROR(AVERAGEIFS(Daten[correction],Daten[[timestamp]:[timestamp]],"&gt;="&amp;$B$1,Daten[[programming]:[programming]],"&lt;=4"),0)</f>
        <v>2.8</v>
      </c>
      <c r="U6" s="5">
        <f>IFERROR(AVERAGEIFS(Daten[UMUX],Daten[[timestamp]:[timestamp]],"&gt;="&amp;$B$1,Daten[[programming]:[programming]],"&lt;=4"),0)</f>
        <v>64.166666666666657</v>
      </c>
      <c r="V6" s="1">
        <f>IFERROR(COUNTIFS(Daten[[timestamp]:[timestamp]],"&gt;="&amp;$B$1,Daten[programming],"&lt;=4"),0)</f>
        <v>5</v>
      </c>
      <c r="W6" s="5" cm="1">
        <f t="array" ref="W6">IFERROR(AVEDEV(_xlfn._xlws.FILTER(Daten[UMUX],(Daten[[timestamp]:[timestamp]]&gt;=$B$1)*(Daten[programming]&lt;=4))),0)</f>
        <v>26.333333333333332</v>
      </c>
    </row>
    <row r="7" spans="1:30" ht="30" customHeight="1" x14ac:dyDescent="0.3">
      <c r="W7" s="5"/>
    </row>
    <row r="18" spans="17:25" ht="30" customHeight="1" thickBot="1" x14ac:dyDescent="0.35"/>
    <row r="19" spans="17:25" ht="30" customHeight="1" thickTop="1" x14ac:dyDescent="0.3">
      <c r="R19" s="13"/>
      <c r="S19" s="44" t="s">
        <v>25</v>
      </c>
      <c r="T19" s="44"/>
      <c r="U19" s="14"/>
    </row>
    <row r="20" spans="17:25" ht="30" customHeight="1" thickBot="1" x14ac:dyDescent="0.35">
      <c r="R20" s="15"/>
      <c r="S20" s="45">
        <f>AVERAGEIF(Daten[[timestamp]:[timestamp]],"&gt;="&amp;$B$1,Daten[UMUX])</f>
        <v>79.60526315789474</v>
      </c>
      <c r="T20" s="45"/>
      <c r="U20" s="16"/>
      <c r="Y20"/>
    </row>
    <row r="21" spans="17:25" ht="30" customHeight="1" thickTop="1" x14ac:dyDescent="0.3">
      <c r="R21" s="17" t="s">
        <v>18</v>
      </c>
      <c r="S21" s="12" t="s">
        <v>19</v>
      </c>
      <c r="T21" s="12" t="s">
        <v>21</v>
      </c>
      <c r="U21" s="18" t="s">
        <v>20</v>
      </c>
    </row>
    <row r="22" spans="17:25" ht="30" customHeight="1" thickBot="1" x14ac:dyDescent="0.35">
      <c r="R22" s="19">
        <f>Q2</f>
        <v>5.7368421052631575</v>
      </c>
      <c r="S22" s="20">
        <f>R2</f>
        <v>2.1578947368421053</v>
      </c>
      <c r="T22" s="20">
        <f>S2</f>
        <v>5.4736842105263159</v>
      </c>
      <c r="U22" s="21">
        <f>T2</f>
        <v>1.9473684210526316</v>
      </c>
    </row>
    <row r="23" spans="17:25" ht="30" customHeight="1" thickTop="1" thickBot="1" x14ac:dyDescent="0.35"/>
    <row r="24" spans="17:25" ht="30" customHeight="1" thickBot="1" x14ac:dyDescent="0.35">
      <c r="Q24" s="25" t="s">
        <v>38</v>
      </c>
      <c r="R24" s="25" t="s">
        <v>39</v>
      </c>
      <c r="S24" s="39" t="s">
        <v>27</v>
      </c>
      <c r="T24" s="39" t="s">
        <v>28</v>
      </c>
      <c r="U24" s="39" t="s">
        <v>34</v>
      </c>
      <c r="V24" s="39" t="s">
        <v>35</v>
      </c>
      <c r="Y24"/>
    </row>
    <row r="25" spans="17:25" ht="30" customHeight="1" x14ac:dyDescent="0.3">
      <c r="Q25" s="26" t="s">
        <v>36</v>
      </c>
      <c r="R25" s="40">
        <f>IFERROR(COUNTIF(Daten[[timestamp]:[timestamp]],"&gt;="&amp;$B$1),0)</f>
        <v>19</v>
      </c>
      <c r="S25" s="40">
        <f>IFERROR(COUNTIFS(Daten[[timestamp]:[timestamp]],"&gt;="&amp;$B$1,Daten[duuiUsedBefore],"True"),0)</f>
        <v>8</v>
      </c>
      <c r="T25" s="40">
        <f>IFERROR(COUNTIFS(Daten[[timestamp]:[timestamp]],"&gt;="&amp;$B$1,Daten[duuiUsedBefore],"False"),0)</f>
        <v>11</v>
      </c>
      <c r="U25" s="40">
        <f>IFERROR(COUNTIFS(Daten[[timestamp]:[timestamp]],"&gt;="&amp;$B$1,Daten[programming],"&gt;4"),0)</f>
        <v>14</v>
      </c>
      <c r="V25" s="41">
        <f>IFERROR(COUNTIFS(Daten[[timestamp]:[timestamp]],"&gt;="&amp;$B$1,Daten[programming],"&lt;=4"),0)</f>
        <v>5</v>
      </c>
    </row>
    <row r="26" spans="17:25" ht="30" customHeight="1" x14ac:dyDescent="0.3">
      <c r="Q26" s="27" t="s">
        <v>29</v>
      </c>
      <c r="R26" s="35">
        <f>IFERROR(AVERAGEIF(Daten[[timestamp]:[timestamp]],"&gt;="&amp;$B$1,Daten[duuiRating]),0)</f>
        <v>5.8947368421052628</v>
      </c>
      <c r="S26" s="35">
        <f>IFERROR(AVERAGEIFS(Daten[duuiRating],Daten[[timestamp]:[timestamp]],"&gt;="&amp;$B$1,Daten[[duuiUsedBefore]:[duuiUsedBefore]],"True"),0)</f>
        <v>6.5</v>
      </c>
      <c r="T26" s="35">
        <f>IFERROR(AVERAGEIFS(Daten[duuiRating],Daten[[timestamp]:[timestamp]],"&gt;="&amp;$B$1,Daten[[duuiUsedBefore]:[duuiUsedBefore]],"False"),0)</f>
        <v>5.4545454545454541</v>
      </c>
      <c r="U26" s="35">
        <f>IFERROR(AVERAGEIFS(Daten[duuiRating],Daten[[timestamp]:[timestamp]],"&gt;="&amp;$B$1,Daten[[programming]:[programming]],"&gt;4"),0)</f>
        <v>6.2857142857142856</v>
      </c>
      <c r="V26" s="31">
        <f>IFERROR(AVERAGEIFS(Daten[duuiRating],Daten[[timestamp]:[timestamp]],"&gt;="&amp;$B$1,Daten[[programming]:[programming]],"&lt;=4"),0)</f>
        <v>4.8</v>
      </c>
    </row>
    <row r="27" spans="17:25" ht="30" customHeight="1" x14ac:dyDescent="0.3">
      <c r="Q27" s="27" t="s">
        <v>18</v>
      </c>
      <c r="R27" s="35">
        <f>IFERROR(AVERAGEIF(Daten[[timestamp]:[timestamp]],"&gt;="&amp;$B$1,Daten[requirements]),0)</f>
        <v>5.7368421052631575</v>
      </c>
      <c r="S27" s="35">
        <f>IFERROR(AVERAGEIFS(Daten[requirements],Daten[[timestamp]:[timestamp]],"&gt;="&amp;$B$1,Daten[[duuiUsedBefore]:[duuiUsedBefore]],"True"),0)</f>
        <v>6.125</v>
      </c>
      <c r="T27" s="35">
        <f>IFERROR(AVERAGEIFS(Daten[requirements],Daten[[timestamp]:[timestamp]],"&gt;="&amp;$B$1,Daten[[duuiUsedBefore]:[duuiUsedBefore]],"False"),0)</f>
        <v>5.4545454545454541</v>
      </c>
      <c r="U27" s="35">
        <f>IFERROR(AVERAGEIFS(Daten[requirements],Daten[[timestamp]:[timestamp]],"&gt;="&amp;$B$1,Daten[[programming]:[programming]],"&gt;4"),0)</f>
        <v>6.2142857142857144</v>
      </c>
      <c r="V27" s="31">
        <f>IFERROR(AVERAGEIFS(Daten[requirements],Daten[[timestamp]:[timestamp]],"&gt;="&amp;$B$1,Daten[[programming]:[programming]],"&lt;=4"),0)</f>
        <v>4.4000000000000004</v>
      </c>
    </row>
    <row r="28" spans="17:25" ht="30" customHeight="1" x14ac:dyDescent="0.3">
      <c r="Q28" s="27" t="s">
        <v>19</v>
      </c>
      <c r="R28" s="35">
        <f>IFERROR(AVERAGEIF(Daten[[timestamp]:[timestamp]],"&gt;="&amp;$B$1,Daten[frustration]),0)</f>
        <v>2.1578947368421053</v>
      </c>
      <c r="S28" s="35">
        <f>IFERROR(AVERAGEIFS(Daten[frustration],Daten[[timestamp]:[timestamp]],"&gt;="&amp;$B$1,Daten[[duuiUsedBefore]:[duuiUsedBefore]],"True"),0)</f>
        <v>1.75</v>
      </c>
      <c r="T28" s="35">
        <f>IFERROR(AVERAGEIFS(Daten[frustration],Daten[[timestamp]:[timestamp]],"&gt;="&amp;$B$1,Daten[[duuiUsedBefore]:[duuiUsedBefore]],"False"),0)</f>
        <v>2.4545454545454546</v>
      </c>
      <c r="U28" s="35">
        <f>IFERROR(AVERAGEIFS(Daten[frustration],Daten[[timestamp]:[timestamp]],"&gt;="&amp;$B$1,Daten[[programming]:[programming]],"&gt;4"),0)</f>
        <v>2</v>
      </c>
      <c r="V28" s="31">
        <f>IFERROR(AVERAGEIFS(Daten[frustration],Daten[[timestamp]:[timestamp]],"&gt;="&amp;$B$1,Daten[[programming]:[programming]],"&lt;=4"),0)</f>
        <v>2.6</v>
      </c>
    </row>
    <row r="29" spans="17:25" ht="30" customHeight="1" x14ac:dyDescent="0.3">
      <c r="Q29" s="27" t="s">
        <v>21</v>
      </c>
      <c r="R29" s="35">
        <f>IFERROR(AVERAGEIF(Daten[[timestamp]:[timestamp]],"&gt;="&amp;$B$1,Daten[ease]),0)</f>
        <v>5.4736842105263159</v>
      </c>
      <c r="S29" s="35">
        <f>IFERROR(AVERAGEIFS(Daten[ease],Daten[[timestamp]:[timestamp]],"&gt;="&amp;$B$1,Daten[[duuiUsedBefore]:[duuiUsedBefore]],"True"),0)</f>
        <v>5.875</v>
      </c>
      <c r="T29" s="35">
        <f>IFERROR(AVERAGEIFS(Daten[ease],Daten[[timestamp]:[timestamp]],"&gt;="&amp;$B$1,Daten[[duuiUsedBefore]:[duuiUsedBefore]],"False"),0)</f>
        <v>5.1818181818181817</v>
      </c>
      <c r="U29" s="35">
        <f>IFERROR(AVERAGEIFS(Daten[ease],Daten[[timestamp]:[timestamp]],"&gt;="&amp;$B$1,Daten[[programming]:[programming]],"&gt;4"),0)</f>
        <v>5.8571428571428568</v>
      </c>
      <c r="V29" s="31">
        <f>IFERROR(AVERAGEIFS(Daten[ease],Daten[[timestamp]:[timestamp]],"&gt;="&amp;$B$1,Daten[[programming]:[programming]],"&lt;=4"),0)</f>
        <v>4.4000000000000004</v>
      </c>
    </row>
    <row r="30" spans="17:25" ht="30" customHeight="1" thickBot="1" x14ac:dyDescent="0.35">
      <c r="Q30" s="28" t="s">
        <v>20</v>
      </c>
      <c r="R30" s="36">
        <f>IFERROR(AVERAGEIF(Daten[[timestamp]:[timestamp]],"&gt;="&amp;$B$1,Daten[correction]),0)</f>
        <v>1.9473684210526316</v>
      </c>
      <c r="S30" s="36">
        <f>IFERROR(AVERAGEIFS(Daten[correction],Daten[[timestamp]:[timestamp]],"&gt;="&amp;$B$1,Daten[[duuiUsedBefore]:[duuiUsedBefore]],"True"),0)</f>
        <v>1.5</v>
      </c>
      <c r="T30" s="36">
        <f>IFERROR(AVERAGEIFS(Daten[correction],Daten[[timestamp]:[timestamp]],"&gt;="&amp;$B$1,Daten[[duuiUsedBefore]:[duuiUsedBefore]],"False"),0)</f>
        <v>2.2727272727272729</v>
      </c>
      <c r="U30" s="36">
        <f>IFERROR(AVERAGEIFS(Daten[correction],Daten[[timestamp]:[timestamp]],"&gt;="&amp;$B$1,Daten[[programming]:[programming]],"&gt;4"),0)</f>
        <v>1.6428571428571428</v>
      </c>
      <c r="V30" s="32">
        <f>IFERROR(AVERAGEIFS(Daten[correction],Daten[[timestamp]:[timestamp]],"&gt;="&amp;$B$1,Daten[[programming]:[programming]],"&lt;=4"),0)</f>
        <v>2.8</v>
      </c>
    </row>
    <row r="31" spans="17:25" ht="30" customHeight="1" thickTop="1" x14ac:dyDescent="0.3">
      <c r="Q31" s="29" t="s">
        <v>23</v>
      </c>
      <c r="R31" s="37">
        <f>IFERROR(AVERAGEIF(Daten[[timestamp]:[timestamp]],"&gt;="&amp;$B$1,Daten[UMUX]),0)</f>
        <v>79.60526315789474</v>
      </c>
      <c r="S31" s="37">
        <f>IFERROR(AVERAGEIFS(Daten[UMUX],Daten[[timestamp]:[timestamp]],"&gt;="&amp;$B$1,Daten[[duuiUsedBefore]:[duuiUsedBefore]],"True"),0)</f>
        <v>86.458333333333343</v>
      </c>
      <c r="T31" s="37">
        <f>IFERROR(AVERAGEIFS(Daten[UMUX],Daten[[timestamp]:[timestamp]],"&gt;="&amp;$B$1,Daten[[duuiUsedBefore]:[duuiUsedBefore]],"False"),0)</f>
        <v>74.62121212121211</v>
      </c>
      <c r="U31" s="37">
        <f>IFERROR(AVERAGEIFS(Daten[UMUX],Daten[[timestamp]:[timestamp]],"&gt;="&amp;$B$1,Daten[[programming]:[programming]],"&gt;4"),0)</f>
        <v>85.11904761904762</v>
      </c>
      <c r="V31" s="33">
        <f>IFERROR(AVERAGEIFS(Daten[UMUX],Daten[[timestamp]:[timestamp]],"&gt;="&amp;$B$1,Daten[[programming]:[programming]],"&lt;=4"),0)</f>
        <v>64.166666666666657</v>
      </c>
    </row>
    <row r="32" spans="17:25" ht="30" customHeight="1" thickBot="1" x14ac:dyDescent="0.35">
      <c r="Q32" s="30" t="s">
        <v>37</v>
      </c>
      <c r="R32" s="38" cm="1">
        <f t="array" ref="R32">IFERROR(AVEDEV(_xlfn._xlws.FILTER(Daten[UMUX],(Daten[[timestamp]:[timestamp]]&gt;=$B$1))),0)</f>
        <v>14.796860572483839</v>
      </c>
      <c r="S32" s="38" cm="1">
        <f t="array" ref="S32">IFERROR(AVEDEV(_xlfn._xlws.FILTER(Daten[UMUX],(Daten[[timestamp]:[timestamp]]&gt;=$B$1)*(Daten[duuiUsedBefore]="True"))),0)</f>
        <v>6.7708333333333286</v>
      </c>
      <c r="T32" s="38" cm="1">
        <f t="array" ref="T32">IFERROR(AVEDEV(_xlfn._xlws.FILTER(Daten[UMUX],(Daten[[timestamp]:[timestamp]]&gt;=$B$1)*(Daten[duuiUsedBefore]="False"))),0)</f>
        <v>18.663911845730027</v>
      </c>
      <c r="U32" s="38" cm="1">
        <f t="array" ref="U32">IFERROR(AVEDEV(_xlfn._xlws.FILTER(Daten[UMUX],(Daten[[timestamp]:[timestamp]]&gt;=$B$1)*(Daten[programming]&gt;4))),0)</f>
        <v>8.7585034013605458</v>
      </c>
      <c r="V32" s="34" cm="1">
        <f t="array" ref="V32">IFERROR(AVEDEV(_xlfn._xlws.FILTER(Daten[UMUX],(Daten[[timestamp]:[timestamp]]&gt;=$B$1)*(Daten[programming]&lt;=4))),0)</f>
        <v>26.333333333333332</v>
      </c>
    </row>
  </sheetData>
  <mergeCells count="2">
    <mergeCell ref="S19:T19"/>
    <mergeCell ref="S20:T20"/>
  </mergeCells>
  <conditionalFormatting sqref="W2:W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  <ignoredErrors>
    <ignoredError sqref="W4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73-9702-45F3-BB3D-090EF5E9298B}">
  <dimension ref="A1:T38"/>
  <sheetViews>
    <sheetView tabSelected="1" zoomScale="85" zoomScaleNormal="85" workbookViewId="0">
      <selection activeCell="O9" sqref="O9"/>
    </sheetView>
  </sheetViews>
  <sheetFormatPr baseColWidth="10" defaultRowHeight="22.05" customHeight="1" x14ac:dyDescent="0.3"/>
  <cols>
    <col min="1" max="4" width="15.77734375" style="1" customWidth="1"/>
    <col min="6" max="6" width="15.77734375" style="1" customWidth="1"/>
    <col min="7" max="7" width="23.109375" customWidth="1"/>
    <col min="8" max="11" width="15.77734375" style="1" customWidth="1"/>
    <col min="12" max="12" width="26.33203125" hidden="1" customWidth="1"/>
    <col min="13" max="14" width="18.33203125" customWidth="1"/>
    <col min="15" max="15" width="18.21875" style="1" customWidth="1"/>
    <col min="16" max="16" width="18.21875" customWidth="1"/>
    <col min="17" max="17" width="18.21875" style="1" customWidth="1"/>
    <col min="18" max="18" width="15.77734375" style="1" customWidth="1"/>
    <col min="19" max="19" width="11.5546875" style="1"/>
    <col min="20" max="20" width="15.77734375" style="1" customWidth="1"/>
    <col min="21" max="22" width="11.5546875" style="1"/>
    <col min="23" max="23" width="12" style="1" bestFit="1" customWidth="1"/>
    <col min="24" max="16384" width="11.5546875" style="1"/>
  </cols>
  <sheetData>
    <row r="1" spans="1:20" ht="22.05" customHeight="1" x14ac:dyDescent="0.3">
      <c r="A1" s="3" t="s">
        <v>0</v>
      </c>
      <c r="B1" s="3" t="s">
        <v>1</v>
      </c>
      <c r="C1" s="3" t="s">
        <v>2</v>
      </c>
      <c r="D1" s="3" t="s">
        <v>40</v>
      </c>
      <c r="E1" s="3" t="s">
        <v>9</v>
      </c>
      <c r="F1" s="3" t="s">
        <v>3</v>
      </c>
      <c r="G1" s="3" t="s">
        <v>41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23</v>
      </c>
      <c r="N1" s="3"/>
      <c r="O1" s="3" t="s">
        <v>31</v>
      </c>
      <c r="P1" s="3" t="s">
        <v>32</v>
      </c>
      <c r="Q1" s="11" t="s">
        <v>30</v>
      </c>
    </row>
    <row r="2" spans="1:20" ht="22.05" customHeight="1" x14ac:dyDescent="0.3">
      <c r="A2" s="9">
        <v>7</v>
      </c>
      <c r="B2" s="9">
        <v>6</v>
      </c>
      <c r="C2" s="9">
        <v>7</v>
      </c>
      <c r="D2" s="3" t="s">
        <v>11</v>
      </c>
      <c r="E2" s="9">
        <v>5</v>
      </c>
      <c r="F2" s="9">
        <v>7</v>
      </c>
      <c r="G2" s="3" t="s">
        <v>11</v>
      </c>
      <c r="H2" s="9">
        <v>5</v>
      </c>
      <c r="I2" s="9">
        <v>2</v>
      </c>
      <c r="J2" s="9">
        <v>3</v>
      </c>
      <c r="K2" s="9">
        <v>5</v>
      </c>
      <c r="L2" s="10">
        <v>45363.60733796296</v>
      </c>
      <c r="M2" s="5">
        <f t="shared" ref="M2:M15" si="0">(H2-1+7-I2+K2-1+7-J2)/24*100</f>
        <v>70.833333333333343</v>
      </c>
      <c r="N2" s="5"/>
      <c r="O2" s="11" t="s">
        <v>15</v>
      </c>
      <c r="P2" s="11" t="s">
        <v>9</v>
      </c>
      <c r="Q2" s="23">
        <f t="shared" ref="Q2:Q7" ca="1" si="1">IFERROR(CORREL(INDIRECT("Daten["&amp;LOWER(P2)&amp;"]"),INDIRECT("Daten["&amp;LOWER(O2)&amp;"]")),"")</f>
        <v>0.42859492805025129</v>
      </c>
    </row>
    <row r="3" spans="1:20" ht="22.05" customHeight="1" x14ac:dyDescent="0.3">
      <c r="A3" s="9">
        <v>3</v>
      </c>
      <c r="B3" s="9">
        <v>1</v>
      </c>
      <c r="C3" s="9">
        <v>3</v>
      </c>
      <c r="D3" s="3" t="s">
        <v>10</v>
      </c>
      <c r="E3" s="9">
        <v>7</v>
      </c>
      <c r="F3" s="9">
        <v>4</v>
      </c>
      <c r="G3" s="3" t="s">
        <v>11</v>
      </c>
      <c r="H3" s="9">
        <v>6</v>
      </c>
      <c r="I3" s="9">
        <v>1</v>
      </c>
      <c r="J3" s="9">
        <v>1</v>
      </c>
      <c r="K3" s="9">
        <v>6</v>
      </c>
      <c r="L3" s="10">
        <v>45363.628425925926</v>
      </c>
      <c r="M3" s="5">
        <f t="shared" si="0"/>
        <v>91.666666666666657</v>
      </c>
      <c r="N3" s="5"/>
      <c r="O3" s="11" t="s">
        <v>19</v>
      </c>
      <c r="P3" s="11" t="s">
        <v>9</v>
      </c>
      <c r="Q3" s="23">
        <f t="shared" ca="1" si="1"/>
        <v>-0.68941302435293528</v>
      </c>
    </row>
    <row r="4" spans="1:20" ht="22.05" customHeight="1" x14ac:dyDescent="0.3">
      <c r="A4" s="9">
        <v>5</v>
      </c>
      <c r="B4" s="9">
        <v>1</v>
      </c>
      <c r="C4" s="9">
        <v>5</v>
      </c>
      <c r="D4" s="3" t="s">
        <v>10</v>
      </c>
      <c r="E4" s="9">
        <v>6</v>
      </c>
      <c r="F4" s="9">
        <v>1</v>
      </c>
      <c r="G4" s="3" t="s">
        <v>10</v>
      </c>
      <c r="H4" s="9">
        <v>7</v>
      </c>
      <c r="I4" s="9">
        <v>1</v>
      </c>
      <c r="J4" s="9">
        <v>2</v>
      </c>
      <c r="K4" s="9">
        <v>7</v>
      </c>
      <c r="L4" s="10">
        <v>45363.710277777776</v>
      </c>
      <c r="M4" s="5">
        <f>(H4-1+7-I4+K4-1+7-J4)/24*100</f>
        <v>95.833333333333343</v>
      </c>
      <c r="N4" s="5"/>
      <c r="O4" s="11" t="s">
        <v>21</v>
      </c>
      <c r="P4" s="11" t="s">
        <v>9</v>
      </c>
      <c r="Q4" s="23">
        <f t="shared" ca="1" si="1"/>
        <v>0.75172960737049754</v>
      </c>
    </row>
    <row r="5" spans="1:20" ht="22.05" customHeight="1" x14ac:dyDescent="0.3">
      <c r="A5" s="9">
        <v>3</v>
      </c>
      <c r="B5" s="9">
        <v>2</v>
      </c>
      <c r="C5" s="9">
        <v>2</v>
      </c>
      <c r="D5" s="3" t="s">
        <v>11</v>
      </c>
      <c r="E5" s="9">
        <v>7</v>
      </c>
      <c r="F5" s="9">
        <v>1</v>
      </c>
      <c r="G5" s="3" t="s">
        <v>10</v>
      </c>
      <c r="H5" s="9">
        <v>6</v>
      </c>
      <c r="I5" s="9">
        <v>1</v>
      </c>
      <c r="J5" s="9">
        <v>1</v>
      </c>
      <c r="K5" s="9">
        <v>6</v>
      </c>
      <c r="L5" s="10">
        <v>45363.719375000001</v>
      </c>
      <c r="M5" s="5">
        <f t="shared" si="0"/>
        <v>91.666666666666657</v>
      </c>
      <c r="N5" s="5"/>
      <c r="O5" s="11" t="s">
        <v>12</v>
      </c>
      <c r="P5" s="11" t="s">
        <v>9</v>
      </c>
      <c r="Q5" s="23">
        <f t="shared" ca="1" si="1"/>
        <v>0.52497980167365144</v>
      </c>
    </row>
    <row r="6" spans="1:20" ht="22.05" customHeight="1" x14ac:dyDescent="0.3">
      <c r="A6" s="9">
        <v>7</v>
      </c>
      <c r="B6" s="9">
        <v>7</v>
      </c>
      <c r="C6" s="9">
        <v>7</v>
      </c>
      <c r="D6" s="3" t="s">
        <v>11</v>
      </c>
      <c r="E6" s="9">
        <v>7</v>
      </c>
      <c r="F6" s="9">
        <v>7</v>
      </c>
      <c r="G6" s="3" t="s">
        <v>11</v>
      </c>
      <c r="H6" s="9">
        <v>6</v>
      </c>
      <c r="I6" s="9">
        <v>2</v>
      </c>
      <c r="J6" s="9">
        <v>1</v>
      </c>
      <c r="K6" s="9">
        <v>6</v>
      </c>
      <c r="L6" s="10">
        <v>45363.751840277779</v>
      </c>
      <c r="M6" s="5">
        <f t="shared" si="0"/>
        <v>87.5</v>
      </c>
      <c r="N6" s="5"/>
      <c r="O6" s="11" t="s">
        <v>20</v>
      </c>
      <c r="P6" s="11" t="s">
        <v>9</v>
      </c>
      <c r="Q6" s="23">
        <f t="shared" ca="1" si="1"/>
        <v>-0.82813094725463887</v>
      </c>
      <c r="S6" s="5"/>
      <c r="T6" s="5"/>
    </row>
    <row r="7" spans="1:20" ht="22.05" customHeight="1" x14ac:dyDescent="0.3">
      <c r="A7" s="9">
        <v>7</v>
      </c>
      <c r="B7" s="9">
        <v>7</v>
      </c>
      <c r="C7" s="9">
        <v>7</v>
      </c>
      <c r="D7" s="3" t="s">
        <v>10</v>
      </c>
      <c r="E7" s="9">
        <v>4</v>
      </c>
      <c r="F7" s="9">
        <v>1</v>
      </c>
      <c r="G7" s="3" t="s">
        <v>10</v>
      </c>
      <c r="H7" s="9">
        <v>5</v>
      </c>
      <c r="I7" s="9">
        <v>3</v>
      </c>
      <c r="J7" s="9">
        <v>4</v>
      </c>
      <c r="K7" s="9">
        <v>6</v>
      </c>
      <c r="L7" s="10">
        <v>45363.950486111113</v>
      </c>
      <c r="M7" s="5">
        <f t="shared" si="0"/>
        <v>66.666666666666657</v>
      </c>
      <c r="N7" s="5"/>
      <c r="O7" s="11" t="s">
        <v>18</v>
      </c>
      <c r="P7" s="11" t="s">
        <v>9</v>
      </c>
      <c r="Q7" s="23">
        <f t="shared" ca="1" si="1"/>
        <v>0.91458909887384243</v>
      </c>
    </row>
    <row r="8" spans="1:20" ht="22.05" customHeight="1" x14ac:dyDescent="0.3">
      <c r="A8" s="9">
        <v>7</v>
      </c>
      <c r="B8" s="9">
        <v>6</v>
      </c>
      <c r="C8" s="9">
        <v>6</v>
      </c>
      <c r="D8" s="3" t="s">
        <v>10</v>
      </c>
      <c r="E8" s="9">
        <v>6</v>
      </c>
      <c r="F8" s="9">
        <v>6</v>
      </c>
      <c r="G8" s="3" t="s">
        <v>11</v>
      </c>
      <c r="H8" s="9">
        <v>6</v>
      </c>
      <c r="I8" s="9">
        <v>2</v>
      </c>
      <c r="J8" s="9">
        <v>1</v>
      </c>
      <c r="K8" s="9">
        <v>6</v>
      </c>
      <c r="L8" s="10">
        <v>45364.344976851855</v>
      </c>
      <c r="M8" s="5">
        <f t="shared" si="0"/>
        <v>87.5</v>
      </c>
      <c r="N8" s="5"/>
      <c r="P8" s="11"/>
      <c r="Q8" s="23"/>
    </row>
    <row r="9" spans="1:20" ht="22.05" customHeight="1" x14ac:dyDescent="0.3">
      <c r="A9" s="9">
        <v>6</v>
      </c>
      <c r="B9" s="9">
        <v>5</v>
      </c>
      <c r="C9" s="9">
        <v>6</v>
      </c>
      <c r="D9" s="3" t="s">
        <v>11</v>
      </c>
      <c r="E9" s="9">
        <v>6</v>
      </c>
      <c r="F9" s="9">
        <v>5</v>
      </c>
      <c r="G9" s="3" t="s">
        <v>10</v>
      </c>
      <c r="H9" s="9">
        <v>6</v>
      </c>
      <c r="I9" s="9">
        <v>1</v>
      </c>
      <c r="J9" s="9">
        <v>2</v>
      </c>
      <c r="K9" s="9">
        <v>6</v>
      </c>
      <c r="L9" s="10">
        <v>45364.440520833334</v>
      </c>
      <c r="M9" s="5">
        <f t="shared" si="0"/>
        <v>87.5</v>
      </c>
      <c r="N9" s="5"/>
      <c r="O9" s="11"/>
      <c r="P9" s="11"/>
      <c r="Q9" s="23"/>
    </row>
    <row r="10" spans="1:20" ht="22.05" customHeight="1" x14ac:dyDescent="0.3">
      <c r="A10" s="9">
        <v>6</v>
      </c>
      <c r="B10" s="9">
        <v>1</v>
      </c>
      <c r="C10" s="9">
        <v>6</v>
      </c>
      <c r="D10" s="3" t="s">
        <v>10</v>
      </c>
      <c r="E10" s="9">
        <v>7</v>
      </c>
      <c r="F10" s="9">
        <v>1</v>
      </c>
      <c r="G10" s="3" t="s">
        <v>10</v>
      </c>
      <c r="H10" s="9">
        <v>7</v>
      </c>
      <c r="I10" s="9">
        <v>1</v>
      </c>
      <c r="J10" s="9">
        <v>1</v>
      </c>
      <c r="K10" s="9">
        <v>5</v>
      </c>
      <c r="L10" s="10">
        <v>45364.450636574074</v>
      </c>
      <c r="M10" s="5">
        <f t="shared" si="0"/>
        <v>91.666666666666657</v>
      </c>
      <c r="N10" s="5"/>
      <c r="O10" s="11"/>
      <c r="P10" s="11"/>
      <c r="Q10" s="23"/>
    </row>
    <row r="11" spans="1:20" ht="22.05" customHeight="1" x14ac:dyDescent="0.3">
      <c r="A11" s="9">
        <v>7</v>
      </c>
      <c r="B11" s="9">
        <v>7</v>
      </c>
      <c r="C11" s="9">
        <v>7</v>
      </c>
      <c r="D11" s="3" t="s">
        <v>11</v>
      </c>
      <c r="E11" s="9">
        <v>7</v>
      </c>
      <c r="F11" s="9">
        <v>7</v>
      </c>
      <c r="G11" s="3" t="s">
        <v>11</v>
      </c>
      <c r="H11" s="9">
        <v>7</v>
      </c>
      <c r="I11" s="9">
        <v>1</v>
      </c>
      <c r="J11" s="9">
        <v>2</v>
      </c>
      <c r="K11" s="9">
        <v>7</v>
      </c>
      <c r="L11" s="10">
        <v>45364.483715277776</v>
      </c>
      <c r="M11" s="5">
        <f t="shared" si="0"/>
        <v>95.833333333333343</v>
      </c>
      <c r="N11" s="5"/>
      <c r="O11" s="11"/>
      <c r="Q11" s="23"/>
    </row>
    <row r="12" spans="1:20" ht="22.05" customHeight="1" x14ac:dyDescent="0.3">
      <c r="A12" s="9">
        <v>7</v>
      </c>
      <c r="B12" s="9">
        <v>7</v>
      </c>
      <c r="C12" s="9">
        <v>7</v>
      </c>
      <c r="D12" s="3" t="s">
        <v>11</v>
      </c>
      <c r="E12" s="9">
        <v>7</v>
      </c>
      <c r="F12" s="9">
        <v>7</v>
      </c>
      <c r="G12" s="3" t="s">
        <v>11</v>
      </c>
      <c r="H12" s="9">
        <v>6</v>
      </c>
      <c r="I12" s="9">
        <v>1</v>
      </c>
      <c r="J12" s="9">
        <v>1</v>
      </c>
      <c r="K12" s="9">
        <v>7</v>
      </c>
      <c r="L12" s="10">
        <v>45364.524201388886</v>
      </c>
      <c r="M12" s="5">
        <f t="shared" si="0"/>
        <v>95.833333333333343</v>
      </c>
      <c r="N12" s="5"/>
      <c r="O12" s="11"/>
      <c r="P12" s="11"/>
      <c r="Q12" s="23"/>
    </row>
    <row r="13" spans="1:20" ht="22.05" customHeight="1" x14ac:dyDescent="0.3">
      <c r="A13" s="9">
        <v>7</v>
      </c>
      <c r="B13" s="9">
        <v>4</v>
      </c>
      <c r="C13" s="9">
        <v>7</v>
      </c>
      <c r="D13" s="3" t="s">
        <v>10</v>
      </c>
      <c r="E13" s="9">
        <v>6</v>
      </c>
      <c r="F13" s="9">
        <v>3</v>
      </c>
      <c r="G13" s="3" t="s">
        <v>10</v>
      </c>
      <c r="H13" s="9">
        <v>6</v>
      </c>
      <c r="I13" s="9">
        <v>5</v>
      </c>
      <c r="J13" s="9">
        <v>2</v>
      </c>
      <c r="K13" s="9">
        <v>5</v>
      </c>
      <c r="L13" s="10">
        <v>45364.561296296299</v>
      </c>
      <c r="M13" s="5">
        <f t="shared" si="0"/>
        <v>66.666666666666657</v>
      </c>
      <c r="N13" s="5"/>
      <c r="O13" s="11"/>
      <c r="P13" s="11"/>
      <c r="Q13" s="23"/>
    </row>
    <row r="14" spans="1:20" ht="22.05" customHeight="1" x14ac:dyDescent="0.3">
      <c r="A14" s="9">
        <v>2</v>
      </c>
      <c r="B14" s="9">
        <v>2</v>
      </c>
      <c r="C14" s="9">
        <v>1</v>
      </c>
      <c r="D14" s="24" t="s">
        <v>10</v>
      </c>
      <c r="E14" s="24">
        <v>2</v>
      </c>
      <c r="F14" s="9">
        <v>1</v>
      </c>
      <c r="G14" s="3" t="s">
        <v>10</v>
      </c>
      <c r="H14" s="9">
        <v>2</v>
      </c>
      <c r="I14" s="9">
        <v>5</v>
      </c>
      <c r="J14" s="9">
        <v>3</v>
      </c>
      <c r="K14" s="9">
        <v>2</v>
      </c>
      <c r="L14" s="10">
        <v>45364.634166666663</v>
      </c>
      <c r="M14" s="5">
        <f>(H14-1+7-I14+K14-1+7-J14)/24*100</f>
        <v>33.333333333333329</v>
      </c>
      <c r="N14" s="5"/>
      <c r="O14" s="11"/>
      <c r="P14" s="11"/>
      <c r="Q14" s="23"/>
    </row>
    <row r="15" spans="1:20" ht="22.05" customHeight="1" x14ac:dyDescent="0.3">
      <c r="A15" s="9">
        <v>5</v>
      </c>
      <c r="B15" s="9">
        <v>3</v>
      </c>
      <c r="C15" s="9">
        <v>5</v>
      </c>
      <c r="D15" s="24" t="s">
        <v>11</v>
      </c>
      <c r="E15" s="24">
        <v>6</v>
      </c>
      <c r="F15" s="9">
        <v>6</v>
      </c>
      <c r="G15" s="3" t="s">
        <v>11</v>
      </c>
      <c r="H15" s="9">
        <v>6</v>
      </c>
      <c r="I15" s="9">
        <v>4</v>
      </c>
      <c r="J15" s="9">
        <v>1</v>
      </c>
      <c r="K15" s="9">
        <v>5</v>
      </c>
      <c r="L15" s="10">
        <v>45364.683541666665</v>
      </c>
      <c r="M15" s="5">
        <f t="shared" si="0"/>
        <v>75</v>
      </c>
      <c r="N15" s="5"/>
      <c r="O15"/>
    </row>
    <row r="16" spans="1:20" ht="22.05" customHeight="1" x14ac:dyDescent="0.3">
      <c r="A16" s="9">
        <v>2</v>
      </c>
      <c r="B16" s="9">
        <v>1</v>
      </c>
      <c r="C16" s="9">
        <v>1</v>
      </c>
      <c r="D16" s="24" t="s">
        <v>10</v>
      </c>
      <c r="E16" s="24">
        <v>3</v>
      </c>
      <c r="F16" s="9">
        <v>1</v>
      </c>
      <c r="G16" s="3" t="s">
        <v>10</v>
      </c>
      <c r="H16" s="9">
        <v>3</v>
      </c>
      <c r="I16" s="9">
        <v>5</v>
      </c>
      <c r="J16" s="9">
        <v>5</v>
      </c>
      <c r="K16" s="9">
        <v>2</v>
      </c>
      <c r="L16" s="10">
        <v>45365.69</v>
      </c>
      <c r="M16" s="5">
        <f>(H16-1+7-I16+K16-1+7-J16)/24*100</f>
        <v>29.166666666666668</v>
      </c>
      <c r="N16" s="5"/>
    </row>
    <row r="17" spans="1:19" ht="22.05" customHeight="1" x14ac:dyDescent="0.3">
      <c r="A17" s="9">
        <v>7</v>
      </c>
      <c r="B17" s="9">
        <v>5</v>
      </c>
      <c r="C17" s="9">
        <v>4</v>
      </c>
      <c r="D17" s="24" t="s">
        <v>10</v>
      </c>
      <c r="E17" s="24">
        <v>7</v>
      </c>
      <c r="F17" s="9">
        <v>3</v>
      </c>
      <c r="G17" s="3" t="s">
        <v>11</v>
      </c>
      <c r="H17" s="9">
        <v>7</v>
      </c>
      <c r="I17" s="9">
        <v>1</v>
      </c>
      <c r="J17" s="9">
        <v>1</v>
      </c>
      <c r="K17" s="9">
        <v>6</v>
      </c>
      <c r="L17" s="10">
        <v>45365.834687499999</v>
      </c>
      <c r="M17" s="5">
        <f t="shared" ref="M17:M19" si="2">(H17-1+7-I17+K17-1+7-J17)/24*100</f>
        <v>95.833333333333343</v>
      </c>
      <c r="N17" s="5"/>
    </row>
    <row r="18" spans="1:19" ht="22.05" customHeight="1" x14ac:dyDescent="0.3">
      <c r="A18" s="9">
        <v>7</v>
      </c>
      <c r="B18" s="9">
        <v>7</v>
      </c>
      <c r="C18" s="9">
        <v>7</v>
      </c>
      <c r="D18" s="24" t="s">
        <v>10</v>
      </c>
      <c r="E18" s="24">
        <v>7</v>
      </c>
      <c r="F18" s="9">
        <v>3</v>
      </c>
      <c r="G18" s="3" t="s">
        <v>10</v>
      </c>
      <c r="H18" s="9">
        <v>6</v>
      </c>
      <c r="I18" s="9">
        <v>2</v>
      </c>
      <c r="J18" s="9">
        <v>1</v>
      </c>
      <c r="K18" s="9">
        <v>6</v>
      </c>
      <c r="L18" s="10">
        <v>45365.860659722224</v>
      </c>
      <c r="M18" s="5">
        <f t="shared" si="2"/>
        <v>87.5</v>
      </c>
      <c r="N18" s="5"/>
    </row>
    <row r="19" spans="1:19" ht="22.05" customHeight="1" x14ac:dyDescent="0.3">
      <c r="A19" s="9">
        <v>7</v>
      </c>
      <c r="B19" s="9">
        <v>7</v>
      </c>
      <c r="C19" s="9">
        <v>7</v>
      </c>
      <c r="D19" s="24" t="s">
        <v>11</v>
      </c>
      <c r="E19" s="24">
        <v>7</v>
      </c>
      <c r="F19" s="9">
        <v>5</v>
      </c>
      <c r="G19" s="3" t="s">
        <v>11</v>
      </c>
      <c r="H19" s="9">
        <v>7</v>
      </c>
      <c r="I19" s="9">
        <v>2</v>
      </c>
      <c r="J19" s="9">
        <v>1</v>
      </c>
      <c r="K19" s="9">
        <v>5</v>
      </c>
      <c r="L19" s="10">
        <v>45366.360729166663</v>
      </c>
      <c r="M19" s="5">
        <f t="shared" si="2"/>
        <v>87.5</v>
      </c>
      <c r="N19" s="5"/>
    </row>
    <row r="20" spans="1:19" ht="22.05" customHeight="1" x14ac:dyDescent="0.3">
      <c r="A20" s="9">
        <v>3</v>
      </c>
      <c r="B20" s="9">
        <v>1</v>
      </c>
      <c r="C20" s="9">
        <v>2</v>
      </c>
      <c r="D20" s="24" t="s">
        <v>10</v>
      </c>
      <c r="E20" s="24">
        <v>5</v>
      </c>
      <c r="F20" s="9">
        <v>1</v>
      </c>
      <c r="G20" s="3" t="s">
        <v>10</v>
      </c>
      <c r="H20" s="9">
        <v>5</v>
      </c>
      <c r="I20" s="9">
        <v>1</v>
      </c>
      <c r="J20" s="9">
        <v>4</v>
      </c>
      <c r="K20" s="9">
        <v>6</v>
      </c>
      <c r="L20" s="10">
        <v>45366.814502314817</v>
      </c>
      <c r="M20" s="5">
        <f>(H20-1+7-I20+K20-1+7-J20)/24*100</f>
        <v>75</v>
      </c>
    </row>
    <row r="22" spans="1:19" ht="22.05" customHeight="1" x14ac:dyDescent="0.3">
      <c r="E22" s="46"/>
    </row>
    <row r="25" spans="1:19" ht="22.05" customHeight="1" x14ac:dyDescent="0.3">
      <c r="E25" s="3"/>
      <c r="F25" s="3"/>
      <c r="G25" s="3"/>
      <c r="H25" s="3"/>
      <c r="I25" s="3"/>
      <c r="J25" s="3"/>
      <c r="O25"/>
    </row>
    <row r="26" spans="1:19" ht="22.05" customHeight="1" x14ac:dyDescent="0.3">
      <c r="E26" s="9"/>
      <c r="F26" s="9"/>
      <c r="G26" s="9"/>
      <c r="H26" s="9"/>
      <c r="I26" s="9"/>
      <c r="J26" s="5"/>
    </row>
    <row r="27" spans="1:19" ht="22.05" customHeight="1" x14ac:dyDescent="0.3">
      <c r="E27" s="9"/>
      <c r="F27" s="9"/>
      <c r="G27" s="9"/>
      <c r="H27" s="9"/>
      <c r="I27" s="9"/>
      <c r="J27" s="5"/>
      <c r="O27" s="3"/>
    </row>
    <row r="28" spans="1:19" ht="22.05" customHeight="1" x14ac:dyDescent="0.3">
      <c r="E28" s="24"/>
      <c r="F28" s="9"/>
      <c r="G28" s="9"/>
      <c r="H28" s="9"/>
      <c r="I28" s="9"/>
      <c r="J28" s="5"/>
      <c r="M28" s="3"/>
      <c r="N28" s="3"/>
      <c r="O28" s="43"/>
      <c r="Q28" s="3"/>
      <c r="R28" s="3"/>
      <c r="S28" s="3"/>
    </row>
    <row r="29" spans="1:19" ht="22.05" customHeight="1" x14ac:dyDescent="0.3">
      <c r="E29" s="24"/>
      <c r="F29" s="9"/>
      <c r="G29" s="9"/>
      <c r="H29" s="9"/>
      <c r="I29" s="9"/>
      <c r="J29" s="5"/>
      <c r="M29" s="9"/>
      <c r="N29" s="9"/>
      <c r="O29" s="43"/>
      <c r="Q29" s="9"/>
      <c r="R29" s="9"/>
      <c r="S29" s="9"/>
    </row>
    <row r="30" spans="1:19" ht="22.05" customHeight="1" x14ac:dyDescent="0.3">
      <c r="E30" s="24"/>
      <c r="F30" s="9"/>
      <c r="G30" s="9"/>
      <c r="H30" s="9"/>
      <c r="I30" s="9"/>
      <c r="J30" s="5"/>
      <c r="M30" s="9"/>
      <c r="N30" s="9"/>
      <c r="O30" s="43"/>
      <c r="Q30" s="9"/>
      <c r="R30" s="9"/>
      <c r="S30" s="9"/>
    </row>
    <row r="31" spans="1:19" ht="22.05" customHeight="1" x14ac:dyDescent="0.3">
      <c r="E31" s="46"/>
      <c r="F31" s="46"/>
      <c r="G31" s="46"/>
      <c r="H31" s="46"/>
      <c r="I31" s="46"/>
      <c r="J31" s="47"/>
      <c r="M31" s="9"/>
      <c r="N31" s="9"/>
      <c r="O31" s="43"/>
      <c r="Q31" s="9"/>
      <c r="R31" s="9"/>
      <c r="S31" s="9"/>
    </row>
    <row r="32" spans="1:19" ht="22.05" customHeight="1" x14ac:dyDescent="0.3">
      <c r="M32" s="9"/>
      <c r="N32" s="9"/>
      <c r="O32" s="9"/>
      <c r="Q32" s="9"/>
      <c r="R32" s="9"/>
      <c r="S32" s="9"/>
    </row>
    <row r="33" spans="13:19" ht="22.05" customHeight="1" x14ac:dyDescent="0.3">
      <c r="M33" s="9"/>
      <c r="N33" s="9"/>
      <c r="O33" s="43"/>
      <c r="Q33" s="9"/>
      <c r="R33" s="9"/>
      <c r="S33" s="9"/>
    </row>
    <row r="34" spans="13:19" ht="22.05" customHeight="1" x14ac:dyDescent="0.3">
      <c r="M34" s="9"/>
      <c r="N34" s="9"/>
      <c r="O34" s="9"/>
      <c r="Q34" s="9"/>
      <c r="R34" s="9"/>
      <c r="S34" s="9"/>
    </row>
    <row r="35" spans="13:19" ht="22.05" customHeight="1" x14ac:dyDescent="0.3">
      <c r="M35" s="9"/>
      <c r="N35" s="9"/>
      <c r="O35" s="9"/>
    </row>
    <row r="36" spans="13:19" ht="22.05" customHeight="1" x14ac:dyDescent="0.3">
      <c r="M36" s="1"/>
      <c r="N36" s="1"/>
    </row>
    <row r="37" spans="13:19" ht="22.05" customHeight="1" x14ac:dyDescent="0.3">
      <c r="M37" s="22"/>
      <c r="N37" s="22"/>
      <c r="Q37" s="22"/>
      <c r="R37" s="3"/>
    </row>
    <row r="38" spans="13:19" ht="22.05" customHeight="1" x14ac:dyDescent="0.3">
      <c r="M38" s="5"/>
      <c r="N38" s="5"/>
      <c r="Q38" s="5"/>
      <c r="R38" s="5"/>
    </row>
  </sheetData>
  <conditionalFormatting sqref="N2:N19">
    <cfRule type="iconSet" priority="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4379FC84-A371-4264-A515-FA63A31E520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N2:N19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Feedback</vt:lpstr>
      <vt:lpstr>Daten</vt:lpstr>
      <vt:lpstr>UMUX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Borkowski</dc:creator>
  <cp:lastModifiedBy>Cedric Borkowski</cp:lastModifiedBy>
  <dcterms:created xsi:type="dcterms:W3CDTF">2024-03-09T17:02:07Z</dcterms:created>
  <dcterms:modified xsi:type="dcterms:W3CDTF">2024-03-16T10:03:10Z</dcterms:modified>
</cp:coreProperties>
</file>